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9"/>
  <workbookPr codeName="EstaPasta_de_trabalho" hidePivotFieldList="1"/>
  <mc:AlternateContent xmlns:mc="http://schemas.openxmlformats.org/markup-compatibility/2006">
    <mc:Choice Requires="x15">
      <x15ac:absPath xmlns:x15ac="http://schemas.microsoft.com/office/spreadsheetml/2010/11/ac" url="https://d.docs.live.net/e89e6a22accf765e/Documentos/SUPARC - GERAL/SUPARC/1 - Projetos em Estruturação/Potycabana/"/>
    </mc:Choice>
  </mc:AlternateContent>
  <xr:revisionPtr revIDLastSave="1623" documentId="11_9B72E1CBCD9243B089F869B22DCBAA04A89237B4" xr6:coauthVersionLast="47" xr6:coauthVersionMax="47" xr10:uidLastSave="{728718C0-D590-4E40-B0AD-B74BAB126BD7}"/>
  <bookViews>
    <workbookView xWindow="-108" yWindow="-108" windowWidth="23256" windowHeight="12456" tabRatio="582" activeTab="12" xr2:uid="{00000000-000D-0000-FFFF-FFFF00000000}"/>
  </bookViews>
  <sheets>
    <sheet name="INPUTS&amp;OUTPUTS" sheetId="28" r:id="rId1"/>
    <sheet name="DFs" sheetId="9" r:id="rId2"/>
    <sheet name="Planilha1" sheetId="34" state="hidden" r:id="rId3"/>
    <sheet name="Out. x Subsídio " sheetId="32" r:id="rId4"/>
    <sheet name="DEMANDA" sheetId="3" r:id="rId5"/>
    <sheet name="Aux.Demanda" sheetId="29" r:id="rId6"/>
    <sheet name="RECEITAS " sheetId="1" r:id="rId7"/>
    <sheet name="Aux. Receita" sheetId="30" r:id="rId8"/>
    <sheet name="OPEX" sheetId="5" r:id="rId9"/>
    <sheet name="Aux. OPEX" sheetId="12" r:id="rId10"/>
    <sheet name="Aux. OPEX Energia" sheetId="19" r:id="rId11"/>
    <sheet name="Quadro de áreas" sheetId="16" r:id="rId12"/>
    <sheet name="CAPEX" sheetId="10" r:id="rId13"/>
    <sheet name="AUX. CAPEX Resumo" sheetId="27" r:id="rId14"/>
    <sheet name="CAPEX - Aquisições" sheetId="14" r:id="rId15"/>
    <sheet name="Aux.BDI" sheetId="31" r:id="rId16"/>
    <sheet name="WACC" sheetId="24" r:id="rId17"/>
    <sheet name="Financiamento" sheetId="6" r:id="rId18"/>
    <sheet name="Tributação" sheetId="11" r:id="rId19"/>
    <sheet name="Seguros" sheetId="25" r:id="rId20"/>
    <sheet name="VfM" sheetId="20" r:id="rId21"/>
    <sheet name="TABELAS" sheetId="21" state="hidden" r:id="rId22"/>
    <sheet name="Gráficos" sheetId="22" r:id="rId23"/>
  </sheets>
  <definedNames>
    <definedName name="___r">#REF!</definedName>
    <definedName name="__aga14">#REF!</definedName>
    <definedName name="__ali4">#REF!</definedName>
    <definedName name="__cap20">#REF!</definedName>
    <definedName name="__cve90100">#REF!</definedName>
    <definedName name="__cve9040">#REF!</definedName>
    <definedName name="__djm10">#REF!</definedName>
    <definedName name="__djm15">#REF!</definedName>
    <definedName name="__fic1">#REF!</definedName>
    <definedName name="__fil2">#REF!</definedName>
    <definedName name="__fio12">#REF!</definedName>
    <definedName name="__fis5">#REF!</definedName>
    <definedName name="__for4">#REF!</definedName>
    <definedName name="__fpd12">#REF!</definedName>
    <definedName name="__fvr10">#REF!</definedName>
    <definedName name="__itu1">#REF!</definedName>
    <definedName name="__lpi100">#REF!</definedName>
    <definedName name="__ope2">#REF!</definedName>
    <definedName name="__ope3">#REF!</definedName>
    <definedName name="__pfc80">#REF!</definedName>
    <definedName name="__pne2">#REF!</definedName>
    <definedName name="__ptm6">#REF!</definedName>
    <definedName name="__qdm3">#REF!</definedName>
    <definedName name="__rcm20">#REF!</definedName>
    <definedName name="__tba20">#REF!</definedName>
    <definedName name="__tba50">#REF!</definedName>
    <definedName name="__tbe100">#REF!</definedName>
    <definedName name="__tbe40">#REF!</definedName>
    <definedName name="__tub7512">#REF!</definedName>
    <definedName name="__tub7515">#REF!</definedName>
    <definedName name="_aga14">#REF!</definedName>
    <definedName name="_ali4">#REF!</definedName>
    <definedName name="_cap20">#REF!</definedName>
    <definedName name="_cve90100">#REF!</definedName>
    <definedName name="_cve9040">#REF!</definedName>
    <definedName name="_djm10">#REF!</definedName>
    <definedName name="_djm15">#REF!</definedName>
    <definedName name="_fic1">#REF!</definedName>
    <definedName name="_fil2">#REF!</definedName>
    <definedName name="_xlnm._FilterDatabase" localSheetId="7" hidden="1">'Aux. Receita'!$F$50:$F$75</definedName>
    <definedName name="_fio12">#REF!</definedName>
    <definedName name="_fis5">#REF!</definedName>
    <definedName name="_for4">#REF!</definedName>
    <definedName name="_fpd12">#REF!</definedName>
    <definedName name="_fvr10">#REF!</definedName>
    <definedName name="_itu1">#REF!</definedName>
    <definedName name="_lpi100">#REF!</definedName>
    <definedName name="_ope2">#REF!</definedName>
    <definedName name="_ope3">#REF!</definedName>
    <definedName name="_pfc80">#REF!</definedName>
    <definedName name="_pne2">#REF!</definedName>
    <definedName name="_ptm6">#REF!</definedName>
    <definedName name="_qdm3">#REF!</definedName>
    <definedName name="_r">#REF!</definedName>
    <definedName name="_rcm20">#REF!</definedName>
    <definedName name="_tba20">#REF!</definedName>
    <definedName name="_tba50">#REF!</definedName>
    <definedName name="_tbe100">#REF!</definedName>
    <definedName name="_tbe40">#REF!</definedName>
    <definedName name="_tub7512">#REF!</definedName>
    <definedName name="_tub7515">#REF!</definedName>
    <definedName name="a">#REF!</definedName>
    <definedName name="ab">#REF!</definedName>
    <definedName name="aço">#REF!</definedName>
    <definedName name="ad">#REF!</definedName>
    <definedName name="af">#REF!</definedName>
    <definedName name="afi">#REF!</definedName>
    <definedName name="afp">#REF!</definedName>
    <definedName name="ag">#REF!</definedName>
    <definedName name="agr">#REF!</definedName>
    <definedName name="ajudante">#REF!</definedName>
    <definedName name="amm">#REF!</definedName>
    <definedName name="ANEXOA">#REF!</definedName>
    <definedName name="APAC">#REF!</definedName>
    <definedName name="apmfs">#REF!</definedName>
    <definedName name="ar">#REF!</definedName>
    <definedName name="are">#REF!</definedName>
    <definedName name="area">#REF!</definedName>
    <definedName name="_xlnm.Print_Area" localSheetId="13">'AUX. CAPEX Resumo'!$A$1:$K$60</definedName>
    <definedName name="areia">#REF!</definedName>
    <definedName name="areia_fina">#REF!</definedName>
    <definedName name="areia_media">#REF!</definedName>
    <definedName name="bcc5.20">#REF!</definedName>
    <definedName name="bcp">#REF!</definedName>
    <definedName name="BDI">#REF!</definedName>
    <definedName name="C_">#REF!</definedName>
    <definedName name="ca_25">#REF!</definedName>
    <definedName name="cal">#REF!</definedName>
    <definedName name="calceteiro">#REF!</definedName>
    <definedName name="caminhao">#REF!</definedName>
    <definedName name="carpinteiro">#REF!</definedName>
    <definedName name="cds">#REF!</definedName>
    <definedName name="cer1\2">#REF!</definedName>
    <definedName name="cha">#REF!</definedName>
    <definedName name="ci">#REF!</definedName>
    <definedName name="cim">#REF!</definedName>
    <definedName name="CIMENTADO">#REF!</definedName>
    <definedName name="cimento">#REF!</definedName>
    <definedName name="clp">#REF!</definedName>
    <definedName name="coeC">#REF!</definedName>
    <definedName name="coeK">#REF!</definedName>
    <definedName name="coeU">#REF!</definedName>
    <definedName name="comp">#REF!</definedName>
    <definedName name="compactador">#REF!</definedName>
    <definedName name="COMPOSICAO1">#REF!</definedName>
    <definedName name="COMPOSICAO2">#REF!</definedName>
    <definedName name="CPA">#REF!</definedName>
    <definedName name="cxp4x2">#REF!</definedName>
    <definedName name="DADO">#REF!</definedName>
    <definedName name="DAT">#REF!</definedName>
    <definedName name="dcr">#REF!</definedName>
    <definedName name="desembolso">#REF!</definedName>
    <definedName name="DESONERADA">#REF!</definedName>
    <definedName name="DIF">#REF!</definedName>
    <definedName name="DKM">#REF!</definedName>
    <definedName name="ele">#REF!</definedName>
    <definedName name="elr1\2">#REF!</definedName>
    <definedName name="elv50x40">#REF!</definedName>
    <definedName name="em">#REF!</definedName>
    <definedName name="enc">#REF!</definedName>
    <definedName name="epm2.5">#REF!</definedName>
    <definedName name="esm">#REF!</definedName>
    <definedName name="FASE1">#REF!</definedName>
    <definedName name="FASE10">#REF!</definedName>
    <definedName name="FASE11">#REF!</definedName>
    <definedName name="FASE12">#REF!</definedName>
    <definedName name="FASE13">#REF!</definedName>
    <definedName name="FASE14">#REF!</definedName>
    <definedName name="FASE15">#REF!</definedName>
    <definedName name="FASE16">#REF!</definedName>
    <definedName name="FASE17">#REF!</definedName>
    <definedName name="FASE18">#REF!</definedName>
    <definedName name="FASE2">#REF!</definedName>
    <definedName name="FASE3">#REF!</definedName>
    <definedName name="FASE4">#REF!</definedName>
    <definedName name="FASE5">#REF!</definedName>
    <definedName name="FASE6">#REF!</definedName>
    <definedName name="FASE7">#REF!</definedName>
    <definedName name="FASE8">#REF!</definedName>
    <definedName name="FASE9">#REF!</definedName>
    <definedName name="fcm">#REF!</definedName>
    <definedName name="FT">#REF!</definedName>
    <definedName name="grx">#REF!</definedName>
    <definedName name="hmed">#REF!</definedName>
    <definedName name="i">#REF!</definedName>
    <definedName name="INI">#REF!</definedName>
    <definedName name="ipf">#REF!</definedName>
    <definedName name="j">#REF!</definedName>
    <definedName name="jla1\220">#REF!</definedName>
    <definedName name="kjsdg">#REF!</definedName>
    <definedName name="LASTRO">#REF!</definedName>
    <definedName name="leis_sociais">#REF!</definedName>
    <definedName name="lnm">#REF!</definedName>
    <definedName name="lpb">#REF!</definedName>
    <definedName name="ls">#REF!</definedName>
    <definedName name="LSO">#REF!</definedName>
    <definedName name="lub">#REF!</definedName>
    <definedName name="lxa">#REF!</definedName>
    <definedName name="m">#REF!</definedName>
    <definedName name="M.QUADRA">#REF!</definedName>
    <definedName name="M.REFORMA">#REF!</definedName>
    <definedName name="mad">#REF!</definedName>
    <definedName name="map">#REF!</definedName>
    <definedName name="meio_fio">#REF!</definedName>
    <definedName name="MERCADO">#REF!</definedName>
    <definedName name="motoniveladora">#REF!</definedName>
    <definedName name="mpm2.5">#REF!</definedName>
    <definedName name="msv">#REF!</definedName>
    <definedName name="NDESONERADA">#REF!</definedName>
    <definedName name="o">#REF!</definedName>
    <definedName name="odi">#REF!</definedName>
    <definedName name="of">#REF!</definedName>
    <definedName name="ofi">#REF!</definedName>
    <definedName name="OGU">#REF!</definedName>
    <definedName name="OP">#REF!</definedName>
    <definedName name="ORÇAMENTO">#REF!</definedName>
    <definedName name="ORSE">#REF!</definedName>
    <definedName name="ORSE_COMP">#REF!</definedName>
    <definedName name="ORSE_INS">#REF!</definedName>
    <definedName name="pal80x210">#REF!</definedName>
    <definedName name="parcial">#REF!</definedName>
    <definedName name="Payment_Needed">"Pagamento necessário"</definedName>
    <definedName name="pcf80x210">#REF!</definedName>
    <definedName name="pdm">#REF!</definedName>
    <definedName name="pedra">#REF!</definedName>
    <definedName name="pedra_poliedr">#REF!</definedName>
    <definedName name="pedreiro">#REF!</definedName>
    <definedName name="pg">#REF!</definedName>
    <definedName name="PISO">#REF!</definedName>
    <definedName name="plc">#REF!</definedName>
    <definedName name="plc2.5">#REF!</definedName>
    <definedName name="prg">#REF!</definedName>
    <definedName name="ptt3x2">#REF!</definedName>
    <definedName name="qgm">#REF!</definedName>
    <definedName name="rdt13.8">#REF!</definedName>
    <definedName name="Reimbursement">"Reembolso"</definedName>
    <definedName name="rgp1\2">#REF!</definedName>
    <definedName name="Rmm">#REF!</definedName>
    <definedName name="ruas">#REF!</definedName>
    <definedName name="se">#REF!</definedName>
    <definedName name="seat15">#REF!</definedName>
    <definedName name="SEINFRA">#REF!</definedName>
    <definedName name="SEINFRAINS">#REF!</definedName>
    <definedName name="seixo">#REF!</definedName>
    <definedName name="servente">#REF!</definedName>
    <definedName name="SINAPI">#REF!</definedName>
    <definedName name="SINAPI_INS">#REF!</definedName>
    <definedName name="SINAPIINS">#REF!</definedName>
    <definedName name="SM">#REF!</definedName>
    <definedName name="srv">#REF!</definedName>
    <definedName name="svt">#REF!</definedName>
    <definedName name="sx">#REF!</definedName>
    <definedName name="sxo">#REF!</definedName>
    <definedName name="TA">#REF!</definedName>
    <definedName name="tbv">#REF!</definedName>
    <definedName name="te">#REF!</definedName>
    <definedName name="tes">#REF!</definedName>
    <definedName name="TID">#REF!</definedName>
    <definedName name="tj">#REF!</definedName>
    <definedName name="tjf">#REF!</definedName>
    <definedName name="tlc">#REF!</definedName>
    <definedName name="tlf">#REF!</definedName>
    <definedName name="tnp1\2">#REF!</definedName>
    <definedName name="TOT">#REF!</definedName>
    <definedName name="total">#REF!</definedName>
    <definedName name="tpmfs">#REF!</definedName>
    <definedName name="ttc">#REF!</definedName>
    <definedName name="tte">#REF!</definedName>
    <definedName name="tus">#REF!</definedName>
    <definedName name="tv">#REF!</definedName>
    <definedName name="u">#REF!</definedName>
    <definedName name="V">#REF!</definedName>
    <definedName name="vazao">#REF!</definedName>
    <definedName name="vol">#REF!</definedName>
    <definedName name="vsb">#REF!</definedName>
    <definedName name="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7" i="10" l="1"/>
  <c r="E39" i="20"/>
  <c r="G37" i="34"/>
  <c r="H37" i="34"/>
  <c r="I37" i="34"/>
  <c r="E51" i="34" s="1"/>
  <c r="J37" i="34"/>
  <c r="K37" i="34"/>
  <c r="L37" i="34"/>
  <c r="M37" i="34"/>
  <c r="N37" i="34"/>
  <c r="F51" i="34" s="1"/>
  <c r="O37" i="34"/>
  <c r="P37" i="34"/>
  <c r="Q37" i="34"/>
  <c r="R37" i="34"/>
  <c r="S37" i="34"/>
  <c r="G51" i="34" s="1"/>
  <c r="T37" i="34"/>
  <c r="U37" i="34"/>
  <c r="V37" i="34"/>
  <c r="W37" i="34"/>
  <c r="X37" i="34"/>
  <c r="H51" i="34" s="1"/>
  <c r="Y37" i="34"/>
  <c r="Z37" i="34"/>
  <c r="AA37" i="34"/>
  <c r="AB37" i="34"/>
  <c r="AC37" i="34"/>
  <c r="I51" i="34" s="1"/>
  <c r="AD37" i="34"/>
  <c r="AE37" i="34"/>
  <c r="AF37" i="34"/>
  <c r="AG37" i="34"/>
  <c r="AH37" i="34"/>
  <c r="J51" i="34" s="1"/>
  <c r="AI37" i="34"/>
  <c r="AJ37" i="34"/>
  <c r="AK37" i="34"/>
  <c r="AL37" i="34"/>
  <c r="AM37" i="34"/>
  <c r="K51" i="34" s="1"/>
  <c r="D41" i="34"/>
  <c r="D55" i="34" s="1"/>
  <c r="D40" i="34"/>
  <c r="D54" i="34" s="1"/>
  <c r="D38" i="34"/>
  <c r="D52" i="34" s="1"/>
  <c r="D39" i="34"/>
  <c r="D53" i="34" s="1"/>
  <c r="D31" i="34"/>
  <c r="D45" i="34" s="1"/>
  <c r="D32" i="34"/>
  <c r="D46" i="34" s="1"/>
  <c r="D33" i="34"/>
  <c r="D47" i="34" s="1"/>
  <c r="D34" i="34"/>
  <c r="D48" i="34" s="1"/>
  <c r="D35" i="34"/>
  <c r="D49" i="34" s="1"/>
  <c r="D36" i="34"/>
  <c r="D50" i="34" s="1"/>
  <c r="D37" i="34"/>
  <c r="D51" i="34" s="1"/>
  <c r="D30" i="34"/>
  <c r="D44" i="34" s="1"/>
  <c r="AK5" i="34"/>
  <c r="AK29" i="34" s="1"/>
  <c r="AL5" i="34"/>
  <c r="AL29" i="34" s="1"/>
  <c r="AM5" i="34"/>
  <c r="F5" i="34"/>
  <c r="F29" i="34" s="1"/>
  <c r="G5" i="34"/>
  <c r="G29" i="34" s="1"/>
  <c r="H5" i="34"/>
  <c r="H29" i="34" s="1"/>
  <c r="I5" i="34"/>
  <c r="J5" i="34"/>
  <c r="J29" i="34" s="1"/>
  <c r="K5" i="34"/>
  <c r="K29" i="34" s="1"/>
  <c r="L5" i="34"/>
  <c r="L29" i="34" s="1"/>
  <c r="M5" i="34"/>
  <c r="M29" i="34" s="1"/>
  <c r="N5" i="34"/>
  <c r="O5" i="34"/>
  <c r="O29" i="34" s="1"/>
  <c r="P5" i="34"/>
  <c r="P29" i="34" s="1"/>
  <c r="Q5" i="34"/>
  <c r="Q29" i="34" s="1"/>
  <c r="R5" i="34"/>
  <c r="R29" i="34" s="1"/>
  <c r="S5" i="34"/>
  <c r="T5" i="34"/>
  <c r="T29" i="34" s="1"/>
  <c r="U5" i="34"/>
  <c r="U29" i="34" s="1"/>
  <c r="V5" i="34"/>
  <c r="V29" i="34" s="1"/>
  <c r="W5" i="34"/>
  <c r="W29" i="34" s="1"/>
  <c r="X5" i="34"/>
  <c r="Y5" i="34"/>
  <c r="Y29" i="34" s="1"/>
  <c r="Z5" i="34"/>
  <c r="Z29" i="34" s="1"/>
  <c r="AA5" i="34"/>
  <c r="AA29" i="34" s="1"/>
  <c r="AB5" i="34"/>
  <c r="AB29" i="34" s="1"/>
  <c r="AC5" i="34"/>
  <c r="AD5" i="34"/>
  <c r="AD29" i="34" s="1"/>
  <c r="AE5" i="34"/>
  <c r="AE29" i="34" s="1"/>
  <c r="AF5" i="34"/>
  <c r="AF29" i="34" s="1"/>
  <c r="AG5" i="34"/>
  <c r="AG29" i="34" s="1"/>
  <c r="AH5" i="34"/>
  <c r="AI5" i="34"/>
  <c r="AI29" i="34" s="1"/>
  <c r="AJ5" i="34"/>
  <c r="AJ29" i="34" s="1"/>
  <c r="E5" i="34"/>
  <c r="E29" i="34" s="1"/>
  <c r="D14" i="34"/>
  <c r="D25" i="34" s="1"/>
  <c r="D13" i="34"/>
  <c r="D24" i="34" s="1"/>
  <c r="D12" i="34"/>
  <c r="D23" i="34" s="1"/>
  <c r="D11" i="34"/>
  <c r="D22" i="34" s="1"/>
  <c r="D10" i="34"/>
  <c r="D21" i="34" s="1"/>
  <c r="D9" i="34"/>
  <c r="D20" i="34" s="1"/>
  <c r="D8" i="34"/>
  <c r="D19" i="34" s="1"/>
  <c r="D7" i="34"/>
  <c r="D18" i="34" s="1"/>
  <c r="D6" i="34"/>
  <c r="D17" i="34" s="1"/>
  <c r="D74" i="12"/>
  <c r="F74" i="12" s="1"/>
  <c r="D75" i="12"/>
  <c r="F75" i="12" s="1"/>
  <c r="D76" i="12"/>
  <c r="F76" i="12" s="1"/>
  <c r="D77" i="12"/>
  <c r="F77" i="12" s="1"/>
  <c r="D78" i="12"/>
  <c r="F78" i="12" s="1"/>
  <c r="D79" i="12"/>
  <c r="F79" i="12" s="1"/>
  <c r="D80" i="12"/>
  <c r="F80" i="12" s="1"/>
  <c r="D81" i="12"/>
  <c r="F81" i="12" s="1"/>
  <c r="D82" i="12"/>
  <c r="F82" i="12" s="1"/>
  <c r="D83" i="12"/>
  <c r="F83" i="12" s="1"/>
  <c r="D84" i="12"/>
  <c r="F84" i="12" s="1"/>
  <c r="D85" i="12"/>
  <c r="F85" i="12" s="1"/>
  <c r="D86" i="12"/>
  <c r="F86" i="12" s="1"/>
  <c r="D87" i="12"/>
  <c r="F87" i="12" s="1"/>
  <c r="D73" i="12"/>
  <c r="F73" i="12" s="1"/>
  <c r="I76" i="1"/>
  <c r="D17" i="28"/>
  <c r="Q17" i="28"/>
  <c r="R17" i="28" s="1"/>
  <c r="Q18" i="28"/>
  <c r="R18" i="28" s="1"/>
  <c r="Q16" i="28"/>
  <c r="R16" i="28" s="1"/>
  <c r="O19" i="28"/>
  <c r="O20" i="28" s="1"/>
  <c r="N19" i="28"/>
  <c r="N20" i="28" s="1"/>
  <c r="N21" i="28" s="1"/>
  <c r="N22" i="28" s="1"/>
  <c r="N23" i="28" s="1"/>
  <c r="Q23" i="28" s="1"/>
  <c r="R23" i="28" s="1"/>
  <c r="K9" i="20"/>
  <c r="L9" i="20"/>
  <c r="M9" i="20"/>
  <c r="N9" i="20"/>
  <c r="O9" i="20"/>
  <c r="P9" i="20"/>
  <c r="Q9" i="20"/>
  <c r="R9" i="20"/>
  <c r="S9" i="20"/>
  <c r="T9" i="20"/>
  <c r="U9" i="20"/>
  <c r="V9" i="20"/>
  <c r="W9" i="20"/>
  <c r="X9" i="20"/>
  <c r="Y9" i="20"/>
  <c r="Z9" i="20"/>
  <c r="AA9" i="20"/>
  <c r="AB9" i="20"/>
  <c r="AC9" i="20"/>
  <c r="AD9" i="20"/>
  <c r="AE9" i="20"/>
  <c r="AF9" i="20"/>
  <c r="AG9" i="20"/>
  <c r="AH9" i="20"/>
  <c r="AI9" i="20"/>
  <c r="AJ9" i="20"/>
  <c r="AK9" i="20"/>
  <c r="AL9" i="20"/>
  <c r="AM9" i="20"/>
  <c r="AN9" i="20"/>
  <c r="AO9" i="20"/>
  <c r="AP9" i="20"/>
  <c r="AQ9" i="20"/>
  <c r="K38" i="28"/>
  <c r="F12" i="10"/>
  <c r="K29" i="21"/>
  <c r="K28" i="21"/>
  <c r="K27" i="21"/>
  <c r="K24" i="21"/>
  <c r="K25" i="21"/>
  <c r="K26" i="21"/>
  <c r="K23" i="21"/>
  <c r="S28" i="21"/>
  <c r="Q28" i="21"/>
  <c r="G11" i="10"/>
  <c r="K16" i="12"/>
  <c r="K17" i="12"/>
  <c r="F235" i="29"/>
  <c r="E16" i="24"/>
  <c r="D120" i="1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AI9" i="14"/>
  <c r="AJ9" i="14"/>
  <c r="AK9" i="14"/>
  <c r="AL9" i="14"/>
  <c r="AM9" i="14"/>
  <c r="D9" i="14"/>
  <c r="C9" i="14" s="1"/>
  <c r="L26" i="21" s="1"/>
  <c r="I50" i="27"/>
  <c r="T28" i="21" s="1"/>
  <c r="E39" i="12"/>
  <c r="D41" i="28"/>
  <c r="D211" i="1"/>
  <c r="C17" i="3"/>
  <c r="E31" i="12"/>
  <c r="E32" i="12"/>
  <c r="E33" i="12"/>
  <c r="E34" i="12"/>
  <c r="E35" i="12"/>
  <c r="E36" i="12"/>
  <c r="E37" i="12"/>
  <c r="E38" i="12"/>
  <c r="E40" i="12"/>
  <c r="E41" i="12"/>
  <c r="E42" i="12"/>
  <c r="E43" i="12"/>
  <c r="E44" i="12"/>
  <c r="E45" i="12"/>
  <c r="E46" i="12"/>
  <c r="E47" i="12"/>
  <c r="D54" i="12"/>
  <c r="J19" i="19"/>
  <c r="J20" i="19"/>
  <c r="F84" i="9"/>
  <c r="C12" i="32"/>
  <c r="C11" i="32"/>
  <c r="F7" i="32"/>
  <c r="G7" i="32"/>
  <c r="H7" i="32"/>
  <c r="I7" i="32"/>
  <c r="J7" i="32"/>
  <c r="K7" i="32"/>
  <c r="L7" i="32"/>
  <c r="M7" i="32"/>
  <c r="N7" i="32"/>
  <c r="O7" i="32"/>
  <c r="P7" i="32"/>
  <c r="Q7" i="32"/>
  <c r="R7" i="32"/>
  <c r="S7" i="32"/>
  <c r="T7" i="32"/>
  <c r="U7" i="32"/>
  <c r="V7" i="32"/>
  <c r="W7" i="32"/>
  <c r="X7" i="32"/>
  <c r="Y7" i="32"/>
  <c r="Z7" i="32"/>
  <c r="AA7" i="32"/>
  <c r="AB7" i="32"/>
  <c r="AC7" i="32"/>
  <c r="AD7" i="32"/>
  <c r="AE7" i="32"/>
  <c r="AF7" i="32"/>
  <c r="AG7" i="32"/>
  <c r="AH7" i="32"/>
  <c r="AI7" i="32"/>
  <c r="AJ7" i="32"/>
  <c r="AK7" i="32"/>
  <c r="AL7" i="32"/>
  <c r="G16" i="28"/>
  <c r="E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AI17" i="14"/>
  <c r="AJ17" i="14"/>
  <c r="AK17" i="14"/>
  <c r="AL17" i="14"/>
  <c r="AM17" i="14"/>
  <c r="E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AI18" i="14"/>
  <c r="AJ18" i="14"/>
  <c r="AK18" i="14"/>
  <c r="AL18" i="14"/>
  <c r="AM18" i="14"/>
  <c r="D18" i="14"/>
  <c r="D17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AI8" i="14"/>
  <c r="AJ8" i="14"/>
  <c r="AK8" i="14"/>
  <c r="AL8" i="14"/>
  <c r="AM8" i="14"/>
  <c r="E6" i="14"/>
  <c r="G6" i="14"/>
  <c r="E7" i="14"/>
  <c r="G7" i="14"/>
  <c r="E8" i="14"/>
  <c r="G8" i="14"/>
  <c r="D7" i="14"/>
  <c r="D6" i="14"/>
  <c r="D8" i="14"/>
  <c r="G27" i="28"/>
  <c r="AH29" i="34" l="1"/>
  <c r="J43" i="34" s="1"/>
  <c r="J16" i="34"/>
  <c r="AC29" i="34"/>
  <c r="I43" i="34" s="1"/>
  <c r="I16" i="34"/>
  <c r="X29" i="34"/>
  <c r="H43" i="34" s="1"/>
  <c r="H16" i="34"/>
  <c r="S29" i="34"/>
  <c r="G43" i="34" s="1"/>
  <c r="G16" i="34"/>
  <c r="N29" i="34"/>
  <c r="F43" i="34" s="1"/>
  <c r="F16" i="34"/>
  <c r="I29" i="34"/>
  <c r="E43" i="34" s="1"/>
  <c r="E16" i="34"/>
  <c r="AM29" i="34"/>
  <c r="K43" i="34" s="1"/>
  <c r="K16" i="34"/>
  <c r="O21" i="28"/>
  <c r="Q20" i="28"/>
  <c r="R20" i="28" s="1"/>
  <c r="Q19" i="28"/>
  <c r="R19" i="28" s="1"/>
  <c r="D19" i="14"/>
  <c r="D10" i="14"/>
  <c r="G10" i="14"/>
  <c r="E10" i="14"/>
  <c r="AM10" i="14"/>
  <c r="AL10" i="14"/>
  <c r="AK10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AM19" i="14"/>
  <c r="AL19" i="14"/>
  <c r="AK19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G313" i="14" s="1"/>
  <c r="E19" i="14"/>
  <c r="E332" i="14" s="1"/>
  <c r="E30" i="12"/>
  <c r="G40" i="31"/>
  <c r="G43" i="31"/>
  <c r="J15" i="31"/>
  <c r="F47" i="31" s="1"/>
  <c r="F43" i="31" s="1"/>
  <c r="J14" i="31"/>
  <c r="J13" i="31"/>
  <c r="J12" i="31"/>
  <c r="J11" i="31"/>
  <c r="J10" i="31"/>
  <c r="F41" i="31"/>
  <c r="F40" i="31" s="1"/>
  <c r="F38" i="31"/>
  <c r="G38" i="31" s="1"/>
  <c r="F37" i="31"/>
  <c r="G37" i="31" s="1"/>
  <c r="F36" i="31"/>
  <c r="G36" i="31" s="1"/>
  <c r="F35" i="31"/>
  <c r="O22" i="28" l="1"/>
  <c r="Q22" i="28" s="1"/>
  <c r="R22" i="28" s="1"/>
  <c r="Q21" i="28"/>
  <c r="R21" i="28" s="1"/>
  <c r="F49" i="31"/>
  <c r="AK316" i="14"/>
  <c r="U318" i="14"/>
  <c r="AA320" i="14"/>
  <c r="K323" i="14"/>
  <c r="U316" i="14"/>
  <c r="U320" i="14"/>
  <c r="U346" i="14"/>
  <c r="U334" i="14"/>
  <c r="U341" i="14"/>
  <c r="U332" i="14"/>
  <c r="U333" i="14"/>
  <c r="U345" i="14"/>
  <c r="K319" i="14"/>
  <c r="Q34" i="10"/>
  <c r="Q23" i="10"/>
  <c r="AN23" i="10"/>
  <c r="AN34" i="10"/>
  <c r="AF23" i="10"/>
  <c r="AF34" i="10"/>
  <c r="X23" i="10"/>
  <c r="X34" i="10"/>
  <c r="P23" i="10"/>
  <c r="P34" i="10"/>
  <c r="E344" i="14"/>
  <c r="E340" i="14"/>
  <c r="E336" i="14"/>
  <c r="AG34" i="10"/>
  <c r="AG23" i="10"/>
  <c r="E313" i="14"/>
  <c r="E317" i="14"/>
  <c r="E321" i="14"/>
  <c r="E325" i="14"/>
  <c r="E329" i="14"/>
  <c r="E314" i="14"/>
  <c r="E318" i="14"/>
  <c r="E322" i="14"/>
  <c r="E326" i="14"/>
  <c r="E315" i="14"/>
  <c r="E319" i="14"/>
  <c r="E323" i="14"/>
  <c r="E327" i="14"/>
  <c r="E316" i="14"/>
  <c r="E320" i="14"/>
  <c r="E324" i="14"/>
  <c r="E328" i="14"/>
  <c r="W23" i="10"/>
  <c r="W34" i="10"/>
  <c r="E312" i="14"/>
  <c r="L34" i="10"/>
  <c r="L23" i="10"/>
  <c r="AL23" i="10"/>
  <c r="AL34" i="10"/>
  <c r="AD23" i="10"/>
  <c r="AD34" i="10"/>
  <c r="V23" i="10"/>
  <c r="V34" i="10"/>
  <c r="N23" i="10"/>
  <c r="N34" i="10"/>
  <c r="E343" i="14"/>
  <c r="E339" i="14"/>
  <c r="E335" i="14"/>
  <c r="E331" i="14"/>
  <c r="Y34" i="10"/>
  <c r="Y23" i="10"/>
  <c r="AM23" i="10"/>
  <c r="AM34" i="10"/>
  <c r="O23" i="10"/>
  <c r="O34" i="10"/>
  <c r="AK23" i="10"/>
  <c r="AK34" i="10"/>
  <c r="AC23" i="10"/>
  <c r="AC34" i="10"/>
  <c r="U23" i="10"/>
  <c r="U34" i="10"/>
  <c r="M23" i="10"/>
  <c r="M34" i="10"/>
  <c r="AO34" i="10"/>
  <c r="AO23" i="10"/>
  <c r="H34" i="10"/>
  <c r="H23" i="10"/>
  <c r="AE23" i="10"/>
  <c r="AE34" i="10"/>
  <c r="I34" i="10"/>
  <c r="I23" i="10"/>
  <c r="AJ34" i="10"/>
  <c r="AJ23" i="10"/>
  <c r="AB34" i="10"/>
  <c r="AB23" i="10"/>
  <c r="T34" i="10"/>
  <c r="T23" i="10"/>
  <c r="E346" i="14"/>
  <c r="E342" i="14"/>
  <c r="E338" i="14"/>
  <c r="E334" i="14"/>
  <c r="E330" i="14"/>
  <c r="AI34" i="10"/>
  <c r="AI23" i="10"/>
  <c r="AQ34" i="10"/>
  <c r="AQ23" i="10"/>
  <c r="AA34" i="10"/>
  <c r="AA23" i="10"/>
  <c r="S34" i="10"/>
  <c r="S23" i="10"/>
  <c r="AP34" i="10"/>
  <c r="AP23" i="10"/>
  <c r="AH34" i="10"/>
  <c r="AH23" i="10"/>
  <c r="Z34" i="10"/>
  <c r="Z23" i="10"/>
  <c r="R34" i="10"/>
  <c r="R23" i="10"/>
  <c r="E345" i="14"/>
  <c r="E341" i="14"/>
  <c r="E337" i="14"/>
  <c r="E333" i="14"/>
  <c r="K34" i="10"/>
  <c r="K23" i="10"/>
  <c r="G342" i="14"/>
  <c r="G339" i="14"/>
  <c r="G326" i="14"/>
  <c r="G332" i="14"/>
  <c r="G334" i="14"/>
  <c r="G331" i="14"/>
  <c r="G312" i="14"/>
  <c r="G340" i="14"/>
  <c r="G324" i="14"/>
  <c r="G344" i="14"/>
  <c r="G320" i="14"/>
  <c r="G328" i="14"/>
  <c r="G336" i="14"/>
  <c r="G318" i="14"/>
  <c r="G323" i="14"/>
  <c r="G315" i="14"/>
  <c r="G333" i="14"/>
  <c r="G325" i="14"/>
  <c r="G317" i="14"/>
  <c r="G341" i="14"/>
  <c r="G346" i="14"/>
  <c r="G338" i="14"/>
  <c r="G330" i="14"/>
  <c r="G322" i="14"/>
  <c r="G314" i="14"/>
  <c r="G343" i="14"/>
  <c r="G335" i="14"/>
  <c r="G327" i="14"/>
  <c r="G319" i="14"/>
  <c r="G316" i="14"/>
  <c r="G345" i="14"/>
  <c r="G337" i="14"/>
  <c r="G329" i="14"/>
  <c r="G321" i="14"/>
  <c r="G35" i="31"/>
  <c r="G49" i="31" s="1"/>
  <c r="F34" i="31"/>
  <c r="F348" i="1"/>
  <c r="F353" i="1"/>
  <c r="D331" i="1"/>
  <c r="D330" i="1"/>
  <c r="G164" i="10"/>
  <c r="H164" i="10"/>
  <c r="I164" i="10"/>
  <c r="J164" i="10"/>
  <c r="K164" i="10"/>
  <c r="L164" i="10"/>
  <c r="M164" i="10"/>
  <c r="N164" i="10"/>
  <c r="O164" i="10"/>
  <c r="P164" i="10"/>
  <c r="Q164" i="10"/>
  <c r="R164" i="10"/>
  <c r="S164" i="10"/>
  <c r="T164" i="10"/>
  <c r="U164" i="10"/>
  <c r="V164" i="10"/>
  <c r="W164" i="10"/>
  <c r="X164" i="10"/>
  <c r="Y164" i="10"/>
  <c r="Z164" i="10"/>
  <c r="AA164" i="10"/>
  <c r="AB164" i="10"/>
  <c r="AC164" i="10"/>
  <c r="AD164" i="10"/>
  <c r="AE164" i="10"/>
  <c r="AF164" i="10"/>
  <c r="AG164" i="10"/>
  <c r="AH164" i="10"/>
  <c r="AI164" i="10"/>
  <c r="AJ164" i="10"/>
  <c r="AK164" i="10"/>
  <c r="AL164" i="10"/>
  <c r="AM164" i="10"/>
  <c r="AN164" i="10"/>
  <c r="AO164" i="10"/>
  <c r="F165" i="10"/>
  <c r="F166" i="10"/>
  <c r="F167" i="10"/>
  <c r="I32" i="10"/>
  <c r="E307" i="1"/>
  <c r="G20" i="28" l="1"/>
  <c r="D126" i="14"/>
  <c r="F126" i="14"/>
  <c r="G126" i="14"/>
  <c r="H126" i="14"/>
  <c r="I126" i="14"/>
  <c r="J126" i="14"/>
  <c r="K126" i="14"/>
  <c r="L126" i="14"/>
  <c r="M126" i="14"/>
  <c r="N126" i="14"/>
  <c r="O126" i="14"/>
  <c r="P126" i="14"/>
  <c r="Q126" i="14"/>
  <c r="R126" i="14"/>
  <c r="S126" i="14"/>
  <c r="T126" i="14"/>
  <c r="U126" i="14"/>
  <c r="V126" i="14"/>
  <c r="W126" i="14"/>
  <c r="X126" i="14"/>
  <c r="Y126" i="14"/>
  <c r="Z126" i="14"/>
  <c r="AA126" i="14"/>
  <c r="AB126" i="14"/>
  <c r="AC126" i="14"/>
  <c r="AD126" i="14"/>
  <c r="AE126" i="14"/>
  <c r="AF126" i="14"/>
  <c r="AG126" i="14"/>
  <c r="AH126" i="14"/>
  <c r="AI126" i="14"/>
  <c r="AJ126" i="14"/>
  <c r="AK126" i="14"/>
  <c r="AL126" i="14"/>
  <c r="D125" i="14"/>
  <c r="F125" i="14"/>
  <c r="G125" i="14"/>
  <c r="H125" i="14"/>
  <c r="I125" i="14"/>
  <c r="J125" i="14"/>
  <c r="K125" i="14"/>
  <c r="L125" i="14"/>
  <c r="M125" i="14"/>
  <c r="N125" i="14"/>
  <c r="O125" i="14"/>
  <c r="P125" i="14"/>
  <c r="Q125" i="14"/>
  <c r="R125" i="14"/>
  <c r="S125" i="14"/>
  <c r="T125" i="14"/>
  <c r="U125" i="14"/>
  <c r="V125" i="14"/>
  <c r="W125" i="14"/>
  <c r="X125" i="14"/>
  <c r="Y125" i="14"/>
  <c r="Z125" i="14"/>
  <c r="AA125" i="14"/>
  <c r="AB125" i="14"/>
  <c r="AC125" i="14"/>
  <c r="AD125" i="14"/>
  <c r="AE125" i="14"/>
  <c r="AF125" i="14"/>
  <c r="AG125" i="14"/>
  <c r="AH125" i="14"/>
  <c r="AI125" i="14"/>
  <c r="AJ125" i="14"/>
  <c r="AK125" i="14"/>
  <c r="AL125" i="14"/>
  <c r="D124" i="14"/>
  <c r="F124" i="14"/>
  <c r="G124" i="14"/>
  <c r="H124" i="14"/>
  <c r="I124" i="14"/>
  <c r="J124" i="14"/>
  <c r="K124" i="14"/>
  <c r="L124" i="14"/>
  <c r="M124" i="14"/>
  <c r="N124" i="14"/>
  <c r="O124" i="14"/>
  <c r="P124" i="14"/>
  <c r="Q124" i="14"/>
  <c r="R124" i="14"/>
  <c r="S124" i="14"/>
  <c r="T124" i="14"/>
  <c r="U124" i="14"/>
  <c r="V124" i="14"/>
  <c r="W124" i="14"/>
  <c r="X124" i="14"/>
  <c r="Y124" i="14"/>
  <c r="Z124" i="14"/>
  <c r="AA124" i="14"/>
  <c r="AB124" i="14"/>
  <c r="AC124" i="14"/>
  <c r="AD124" i="14"/>
  <c r="AE124" i="14"/>
  <c r="AF124" i="14"/>
  <c r="AG124" i="14"/>
  <c r="AH124" i="14"/>
  <c r="AI124" i="14"/>
  <c r="AJ124" i="14"/>
  <c r="AK124" i="14"/>
  <c r="AL124" i="14"/>
  <c r="D123" i="14"/>
  <c r="F123" i="14"/>
  <c r="G123" i="14"/>
  <c r="H123" i="14"/>
  <c r="I123" i="14"/>
  <c r="J123" i="14"/>
  <c r="K123" i="14"/>
  <c r="L123" i="14"/>
  <c r="M123" i="14"/>
  <c r="N123" i="14"/>
  <c r="O123" i="14"/>
  <c r="P123" i="14"/>
  <c r="Q123" i="14"/>
  <c r="R123" i="14"/>
  <c r="S123" i="14"/>
  <c r="T123" i="14"/>
  <c r="U123" i="14"/>
  <c r="V123" i="14"/>
  <c r="W123" i="14"/>
  <c r="X123" i="14"/>
  <c r="Y123" i="14"/>
  <c r="Z123" i="14"/>
  <c r="AA123" i="14"/>
  <c r="AB123" i="14"/>
  <c r="AC123" i="14"/>
  <c r="AD123" i="14"/>
  <c r="AE123" i="14"/>
  <c r="AF123" i="14"/>
  <c r="AG123" i="14"/>
  <c r="AH123" i="14"/>
  <c r="AI123" i="14"/>
  <c r="AJ123" i="14"/>
  <c r="AK123" i="14"/>
  <c r="AL123" i="14"/>
  <c r="D122" i="14"/>
  <c r="F122" i="14"/>
  <c r="G122" i="14"/>
  <c r="H122" i="14"/>
  <c r="I122" i="14"/>
  <c r="J122" i="14"/>
  <c r="K122" i="14"/>
  <c r="L122" i="14"/>
  <c r="M122" i="14"/>
  <c r="N122" i="14"/>
  <c r="O122" i="14"/>
  <c r="P122" i="14"/>
  <c r="Q122" i="14"/>
  <c r="R122" i="14"/>
  <c r="S122" i="14"/>
  <c r="T122" i="14"/>
  <c r="U122" i="14"/>
  <c r="V122" i="14"/>
  <c r="W122" i="14"/>
  <c r="X122" i="14"/>
  <c r="Y122" i="14"/>
  <c r="Z122" i="14"/>
  <c r="AA122" i="14"/>
  <c r="AB122" i="14"/>
  <c r="AC122" i="14"/>
  <c r="AD122" i="14"/>
  <c r="AE122" i="14"/>
  <c r="AF122" i="14"/>
  <c r="AG122" i="14"/>
  <c r="AH122" i="14"/>
  <c r="AI122" i="14"/>
  <c r="AJ122" i="14"/>
  <c r="AK122" i="14"/>
  <c r="AL122" i="14"/>
  <c r="D121" i="14"/>
  <c r="F121" i="14"/>
  <c r="G121" i="14"/>
  <c r="H121" i="14"/>
  <c r="I121" i="14"/>
  <c r="J121" i="14"/>
  <c r="K121" i="14"/>
  <c r="L121" i="14"/>
  <c r="M121" i="14"/>
  <c r="N121" i="14"/>
  <c r="O121" i="14"/>
  <c r="P121" i="14"/>
  <c r="Q121" i="14"/>
  <c r="R121" i="14"/>
  <c r="S121" i="14"/>
  <c r="T121" i="14"/>
  <c r="U121" i="14"/>
  <c r="V121" i="14"/>
  <c r="W121" i="14"/>
  <c r="X121" i="14"/>
  <c r="Y121" i="14"/>
  <c r="Z121" i="14"/>
  <c r="AA121" i="14"/>
  <c r="AB121" i="14"/>
  <c r="AC121" i="14"/>
  <c r="AD121" i="14"/>
  <c r="AE121" i="14"/>
  <c r="AF121" i="14"/>
  <c r="AG121" i="14"/>
  <c r="AH121" i="14"/>
  <c r="AI121" i="14"/>
  <c r="AJ121" i="14"/>
  <c r="AK121" i="14"/>
  <c r="AL121" i="14"/>
  <c r="D120" i="14"/>
  <c r="F120" i="14"/>
  <c r="G120" i="14"/>
  <c r="H120" i="14"/>
  <c r="I120" i="14"/>
  <c r="J120" i="14"/>
  <c r="K120" i="14"/>
  <c r="L120" i="14"/>
  <c r="M120" i="14"/>
  <c r="N120" i="14"/>
  <c r="O120" i="14"/>
  <c r="P120" i="14"/>
  <c r="Q120" i="14"/>
  <c r="R120" i="14"/>
  <c r="S120" i="14"/>
  <c r="T120" i="14"/>
  <c r="U120" i="14"/>
  <c r="V120" i="14"/>
  <c r="W120" i="14"/>
  <c r="X120" i="14"/>
  <c r="Y120" i="14"/>
  <c r="Z120" i="14"/>
  <c r="AA120" i="14"/>
  <c r="AB120" i="14"/>
  <c r="AC120" i="14"/>
  <c r="AD120" i="14"/>
  <c r="AE120" i="14"/>
  <c r="AF120" i="14"/>
  <c r="AG120" i="14"/>
  <c r="AH120" i="14"/>
  <c r="AI120" i="14"/>
  <c r="AJ120" i="14"/>
  <c r="AK120" i="14"/>
  <c r="AL120" i="14"/>
  <c r="D119" i="14"/>
  <c r="F119" i="14"/>
  <c r="G119" i="14"/>
  <c r="H119" i="14"/>
  <c r="I119" i="14"/>
  <c r="J119" i="14"/>
  <c r="K119" i="14"/>
  <c r="L119" i="14"/>
  <c r="M119" i="14"/>
  <c r="N119" i="14"/>
  <c r="O119" i="14"/>
  <c r="P119" i="14"/>
  <c r="Q119" i="14"/>
  <c r="R119" i="14"/>
  <c r="S119" i="14"/>
  <c r="T119" i="14"/>
  <c r="U119" i="14"/>
  <c r="V119" i="14"/>
  <c r="W119" i="14"/>
  <c r="X119" i="14"/>
  <c r="Y119" i="14"/>
  <c r="Z119" i="14"/>
  <c r="AA119" i="14"/>
  <c r="AB119" i="14"/>
  <c r="AC119" i="14"/>
  <c r="AD119" i="14"/>
  <c r="AE119" i="14"/>
  <c r="AF119" i="14"/>
  <c r="AG119" i="14"/>
  <c r="AH119" i="14"/>
  <c r="AI119" i="14"/>
  <c r="AJ119" i="14"/>
  <c r="AK119" i="14"/>
  <c r="AL119" i="14"/>
  <c r="D118" i="14"/>
  <c r="F118" i="14"/>
  <c r="G118" i="14"/>
  <c r="H118" i="14"/>
  <c r="I118" i="14"/>
  <c r="J118" i="14"/>
  <c r="K118" i="14"/>
  <c r="L118" i="14"/>
  <c r="M118" i="14"/>
  <c r="N118" i="14"/>
  <c r="O118" i="14"/>
  <c r="P118" i="14"/>
  <c r="Q118" i="14"/>
  <c r="R118" i="14"/>
  <c r="S118" i="14"/>
  <c r="T118" i="14"/>
  <c r="U118" i="14"/>
  <c r="V118" i="14"/>
  <c r="W118" i="14"/>
  <c r="X118" i="14"/>
  <c r="Y118" i="14"/>
  <c r="Z118" i="14"/>
  <c r="AA118" i="14"/>
  <c r="AB118" i="14"/>
  <c r="AC118" i="14"/>
  <c r="AD118" i="14"/>
  <c r="AE118" i="14"/>
  <c r="AF118" i="14"/>
  <c r="AG118" i="14"/>
  <c r="AH118" i="14"/>
  <c r="AI118" i="14"/>
  <c r="AJ118" i="14"/>
  <c r="AK118" i="14"/>
  <c r="AL118" i="14"/>
  <c r="D117" i="14"/>
  <c r="F117" i="14"/>
  <c r="G117" i="14"/>
  <c r="H117" i="14"/>
  <c r="I117" i="14"/>
  <c r="J117" i="14"/>
  <c r="K117" i="14"/>
  <c r="L117" i="14"/>
  <c r="M117" i="14"/>
  <c r="N117" i="14"/>
  <c r="O117" i="14"/>
  <c r="P117" i="14"/>
  <c r="Q117" i="14"/>
  <c r="R117" i="14"/>
  <c r="S117" i="14"/>
  <c r="T117" i="14"/>
  <c r="U117" i="14"/>
  <c r="V117" i="14"/>
  <c r="W117" i="14"/>
  <c r="X117" i="14"/>
  <c r="Y117" i="14"/>
  <c r="Z117" i="14"/>
  <c r="AA117" i="14"/>
  <c r="AB117" i="14"/>
  <c r="AC117" i="14"/>
  <c r="AD117" i="14"/>
  <c r="AE117" i="14"/>
  <c r="AF117" i="14"/>
  <c r="AG117" i="14"/>
  <c r="AH117" i="14"/>
  <c r="AI117" i="14"/>
  <c r="AJ117" i="14"/>
  <c r="AK117" i="14"/>
  <c r="AL117" i="14"/>
  <c r="D116" i="14"/>
  <c r="F116" i="14"/>
  <c r="G116" i="14"/>
  <c r="H116" i="14"/>
  <c r="I116" i="14"/>
  <c r="J116" i="14"/>
  <c r="K116" i="14"/>
  <c r="L116" i="14"/>
  <c r="M116" i="14"/>
  <c r="N116" i="14"/>
  <c r="O116" i="14"/>
  <c r="P116" i="14"/>
  <c r="Q116" i="14"/>
  <c r="R116" i="14"/>
  <c r="S116" i="14"/>
  <c r="T116" i="14"/>
  <c r="U116" i="14"/>
  <c r="V116" i="14"/>
  <c r="W116" i="14"/>
  <c r="X116" i="14"/>
  <c r="Y116" i="14"/>
  <c r="Z116" i="14"/>
  <c r="AA116" i="14"/>
  <c r="AB116" i="14"/>
  <c r="AC116" i="14"/>
  <c r="AD116" i="14"/>
  <c r="AE116" i="14"/>
  <c r="AF116" i="14"/>
  <c r="AG116" i="14"/>
  <c r="AH116" i="14"/>
  <c r="AI116" i="14"/>
  <c r="AJ116" i="14"/>
  <c r="AK116" i="14"/>
  <c r="AL116" i="14"/>
  <c r="D115" i="14"/>
  <c r="F115" i="14"/>
  <c r="G115" i="14"/>
  <c r="H115" i="14"/>
  <c r="I115" i="14"/>
  <c r="J115" i="14"/>
  <c r="K115" i="14"/>
  <c r="L115" i="14"/>
  <c r="M115" i="14"/>
  <c r="N115" i="14"/>
  <c r="O115" i="14"/>
  <c r="P115" i="14"/>
  <c r="Q115" i="14"/>
  <c r="R115" i="14"/>
  <c r="S115" i="14"/>
  <c r="T115" i="14"/>
  <c r="U115" i="14"/>
  <c r="V115" i="14"/>
  <c r="W115" i="14"/>
  <c r="X115" i="14"/>
  <c r="Y115" i="14"/>
  <c r="Z115" i="14"/>
  <c r="AA115" i="14"/>
  <c r="AB115" i="14"/>
  <c r="AC115" i="14"/>
  <c r="AD115" i="14"/>
  <c r="AE115" i="14"/>
  <c r="AF115" i="14"/>
  <c r="AG115" i="14"/>
  <c r="AH115" i="14"/>
  <c r="AI115" i="14"/>
  <c r="AJ115" i="14"/>
  <c r="AK115" i="14"/>
  <c r="AL115" i="14"/>
  <c r="D114" i="14"/>
  <c r="F114" i="14"/>
  <c r="G114" i="14"/>
  <c r="H114" i="14"/>
  <c r="I114" i="14"/>
  <c r="J114" i="14"/>
  <c r="K114" i="14"/>
  <c r="L114" i="14"/>
  <c r="M114" i="14"/>
  <c r="N114" i="14"/>
  <c r="O114" i="14"/>
  <c r="P114" i="14"/>
  <c r="Q114" i="14"/>
  <c r="R114" i="14"/>
  <c r="S114" i="14"/>
  <c r="T114" i="14"/>
  <c r="U114" i="14"/>
  <c r="V114" i="14"/>
  <c r="W114" i="14"/>
  <c r="X114" i="14"/>
  <c r="Y114" i="14"/>
  <c r="Z114" i="14"/>
  <c r="AA114" i="14"/>
  <c r="AB114" i="14"/>
  <c r="AC114" i="14"/>
  <c r="AD114" i="14"/>
  <c r="AE114" i="14"/>
  <c r="AF114" i="14"/>
  <c r="AG114" i="14"/>
  <c r="AH114" i="14"/>
  <c r="AI114" i="14"/>
  <c r="AJ114" i="14"/>
  <c r="AK114" i="14"/>
  <c r="AL114" i="14"/>
  <c r="D113" i="14"/>
  <c r="F113" i="14"/>
  <c r="G113" i="14"/>
  <c r="H113" i="14"/>
  <c r="I113" i="14"/>
  <c r="J113" i="14"/>
  <c r="K113" i="14"/>
  <c r="L113" i="14"/>
  <c r="M113" i="14"/>
  <c r="N113" i="14"/>
  <c r="O113" i="14"/>
  <c r="P113" i="14"/>
  <c r="Q113" i="14"/>
  <c r="R113" i="14"/>
  <c r="S113" i="14"/>
  <c r="T113" i="14"/>
  <c r="U113" i="14"/>
  <c r="V113" i="14"/>
  <c r="W113" i="14"/>
  <c r="X113" i="14"/>
  <c r="Y113" i="14"/>
  <c r="Z113" i="14"/>
  <c r="AA113" i="14"/>
  <c r="AB113" i="14"/>
  <c r="AC113" i="14"/>
  <c r="AD113" i="14"/>
  <c r="AE113" i="14"/>
  <c r="AF113" i="14"/>
  <c r="AG113" i="14"/>
  <c r="AH113" i="14"/>
  <c r="AI113" i="14"/>
  <c r="AJ113" i="14"/>
  <c r="AK113" i="14"/>
  <c r="AL113" i="14"/>
  <c r="D112" i="14"/>
  <c r="F112" i="14"/>
  <c r="G112" i="14"/>
  <c r="H112" i="14"/>
  <c r="I112" i="14"/>
  <c r="J112" i="14"/>
  <c r="K112" i="14"/>
  <c r="L112" i="14"/>
  <c r="M112" i="14"/>
  <c r="N112" i="14"/>
  <c r="O112" i="14"/>
  <c r="P112" i="14"/>
  <c r="Q112" i="14"/>
  <c r="R112" i="14"/>
  <c r="S112" i="14"/>
  <c r="T112" i="14"/>
  <c r="U112" i="14"/>
  <c r="V112" i="14"/>
  <c r="W112" i="14"/>
  <c r="X112" i="14"/>
  <c r="Y112" i="14"/>
  <c r="Z112" i="14"/>
  <c r="AA112" i="14"/>
  <c r="AB112" i="14"/>
  <c r="AC112" i="14"/>
  <c r="AD112" i="14"/>
  <c r="AE112" i="14"/>
  <c r="AF112" i="14"/>
  <c r="AG112" i="14"/>
  <c r="AH112" i="14"/>
  <c r="AI112" i="14"/>
  <c r="AJ112" i="14"/>
  <c r="AK112" i="14"/>
  <c r="AL112" i="14"/>
  <c r="C126" i="14"/>
  <c r="C125" i="14"/>
  <c r="C124" i="14"/>
  <c r="C123" i="14"/>
  <c r="C122" i="14"/>
  <c r="C121" i="14"/>
  <c r="C120" i="14"/>
  <c r="C119" i="14"/>
  <c r="C118" i="14"/>
  <c r="C117" i="14"/>
  <c r="C116" i="14"/>
  <c r="C115" i="14"/>
  <c r="C114" i="14"/>
  <c r="C113" i="14"/>
  <c r="C112" i="14"/>
  <c r="J352" i="14"/>
  <c r="F8" i="14" s="1"/>
  <c r="C8" i="14" s="1"/>
  <c r="L25" i="21" s="1"/>
  <c r="J297" i="14"/>
  <c r="F17" i="14" s="1"/>
  <c r="J298" i="14"/>
  <c r="F18" i="14" s="1"/>
  <c r="U339" i="14"/>
  <c r="U327" i="14"/>
  <c r="U331" i="14"/>
  <c r="U323" i="14"/>
  <c r="U340" i="14"/>
  <c r="U319" i="14"/>
  <c r="U312" i="14"/>
  <c r="U322" i="14"/>
  <c r="K346" i="14"/>
  <c r="U342" i="14"/>
  <c r="U314" i="14"/>
  <c r="U338" i="14"/>
  <c r="U337" i="14"/>
  <c r="U330" i="14"/>
  <c r="U336" i="14"/>
  <c r="U321" i="14"/>
  <c r="K328" i="14"/>
  <c r="K315" i="14"/>
  <c r="AA337" i="14"/>
  <c r="U313" i="14"/>
  <c r="AA341" i="14"/>
  <c r="K334" i="14"/>
  <c r="K342" i="14"/>
  <c r="U328" i="14"/>
  <c r="K332" i="14"/>
  <c r="K345" i="14"/>
  <c r="K317" i="14"/>
  <c r="U324" i="14"/>
  <c r="AK329" i="14"/>
  <c r="AK317" i="14"/>
  <c r="AK341" i="14"/>
  <c r="AK328" i="14"/>
  <c r="AK333" i="14"/>
  <c r="AK320" i="14"/>
  <c r="AK344" i="14"/>
  <c r="AK327" i="14"/>
  <c r="AK340" i="14"/>
  <c r="AK323" i="14"/>
  <c r="AK319" i="14"/>
  <c r="AK339" i="14"/>
  <c r="AK315" i="14"/>
  <c r="AK336" i="14"/>
  <c r="AK331" i="14"/>
  <c r="AK342" i="14"/>
  <c r="AK334" i="14"/>
  <c r="AA319" i="14"/>
  <c r="AK330" i="14"/>
  <c r="AA338" i="14"/>
  <c r="AA322" i="14"/>
  <c r="AA345" i="14"/>
  <c r="AA314" i="14"/>
  <c r="AA333" i="14"/>
  <c r="AA329" i="14"/>
  <c r="AA318" i="14"/>
  <c r="AA344" i="14"/>
  <c r="AA325" i="14"/>
  <c r="AA340" i="14"/>
  <c r="AA321" i="14"/>
  <c r="AA336" i="14"/>
  <c r="AA317" i="14"/>
  <c r="AA332" i="14"/>
  <c r="AA327" i="14"/>
  <c r="AA339" i="14"/>
  <c r="AA315" i="14"/>
  <c r="AA343" i="14"/>
  <c r="AK346" i="14"/>
  <c r="AA342" i="14"/>
  <c r="AA326" i="14"/>
  <c r="K312" i="14"/>
  <c r="AA334" i="14"/>
  <c r="AA335" i="14"/>
  <c r="AA313" i="14"/>
  <c r="U344" i="14"/>
  <c r="U329" i="14"/>
  <c r="U315" i="14"/>
  <c r="AK332" i="14"/>
  <c r="AK325" i="14"/>
  <c r="AK326" i="14"/>
  <c r="K341" i="14"/>
  <c r="K326" i="14"/>
  <c r="AA330" i="14"/>
  <c r="AA331" i="14"/>
  <c r="AA316" i="14"/>
  <c r="U343" i="14"/>
  <c r="U325" i="14"/>
  <c r="U326" i="14"/>
  <c r="AK343" i="14"/>
  <c r="AK321" i="14"/>
  <c r="AK322" i="14"/>
  <c r="AK318" i="14"/>
  <c r="K322" i="14"/>
  <c r="K318" i="14"/>
  <c r="AA346" i="14"/>
  <c r="AA312" i="14"/>
  <c r="AA323" i="14"/>
  <c r="U335" i="14"/>
  <c r="U317" i="14"/>
  <c r="AK335" i="14"/>
  <c r="AK313" i="14"/>
  <c r="AK314" i="14"/>
  <c r="K330" i="14"/>
  <c r="K313" i="14"/>
  <c r="AK345" i="14"/>
  <c r="AK312" i="14"/>
  <c r="AK324" i="14"/>
  <c r="K337" i="14"/>
  <c r="K324" i="14"/>
  <c r="AK337" i="14"/>
  <c r="AK338" i="14"/>
  <c r="K333" i="14"/>
  <c r="K339" i="14"/>
  <c r="K314" i="14"/>
  <c r="K320" i="14"/>
  <c r="K344" i="14"/>
  <c r="K335" i="14"/>
  <c r="K329" i="14"/>
  <c r="K316" i="14"/>
  <c r="AA328" i="14"/>
  <c r="K340" i="14"/>
  <c r="K331" i="14"/>
  <c r="K325" i="14"/>
  <c r="K327" i="14"/>
  <c r="AA324" i="14"/>
  <c r="K338" i="14"/>
  <c r="K336" i="14"/>
  <c r="K343" i="14"/>
  <c r="K321" i="14"/>
  <c r="I316" i="14"/>
  <c r="I320" i="14"/>
  <c r="I324" i="14"/>
  <c r="I328" i="14"/>
  <c r="I313" i="14"/>
  <c r="I317" i="14"/>
  <c r="I321" i="14"/>
  <c r="I325" i="14"/>
  <c r="I329" i="14"/>
  <c r="I314" i="14"/>
  <c r="I318" i="14"/>
  <c r="I322" i="14"/>
  <c r="I326" i="14"/>
  <c r="I315" i="14"/>
  <c r="I319" i="14"/>
  <c r="I323" i="14"/>
  <c r="I327" i="14"/>
  <c r="I344" i="14"/>
  <c r="I332" i="14"/>
  <c r="I336" i="14"/>
  <c r="I340" i="14"/>
  <c r="I334" i="14"/>
  <c r="I342" i="14"/>
  <c r="I346" i="14"/>
  <c r="I333" i="14"/>
  <c r="I337" i="14"/>
  <c r="I341" i="14"/>
  <c r="I345" i="14"/>
  <c r="I330" i="14"/>
  <c r="I338" i="14"/>
  <c r="I312" i="14"/>
  <c r="I331" i="14"/>
  <c r="I335" i="14"/>
  <c r="I339" i="14"/>
  <c r="I343" i="14"/>
  <c r="H316" i="14"/>
  <c r="H320" i="14"/>
  <c r="H324" i="14"/>
  <c r="H328" i="14"/>
  <c r="H313" i="14"/>
  <c r="H317" i="14"/>
  <c r="H321" i="14"/>
  <c r="H325" i="14"/>
  <c r="H329" i="14"/>
  <c r="H314" i="14"/>
  <c r="H318" i="14"/>
  <c r="H322" i="14"/>
  <c r="H326" i="14"/>
  <c r="H315" i="14"/>
  <c r="H319" i="14"/>
  <c r="H323" i="14"/>
  <c r="H327" i="14"/>
  <c r="H332" i="14"/>
  <c r="H336" i="14"/>
  <c r="H340" i="14"/>
  <c r="H344" i="14"/>
  <c r="H333" i="14"/>
  <c r="H337" i="14"/>
  <c r="H341" i="14"/>
  <c r="H345" i="14"/>
  <c r="H312" i="14"/>
  <c r="H330" i="14"/>
  <c r="H334" i="14"/>
  <c r="H338" i="14"/>
  <c r="H342" i="14"/>
  <c r="H346" i="14"/>
  <c r="H331" i="14"/>
  <c r="H335" i="14"/>
  <c r="H339" i="14"/>
  <c r="H343" i="14"/>
  <c r="AE313" i="14"/>
  <c r="AE317" i="14"/>
  <c r="AE321" i="14"/>
  <c r="AE325" i="14"/>
  <c r="AE314" i="14"/>
  <c r="AE318" i="14"/>
  <c r="AE322" i="14"/>
  <c r="AE326" i="14"/>
  <c r="AE315" i="14"/>
  <c r="AE319" i="14"/>
  <c r="AE323" i="14"/>
  <c r="AE327" i="14"/>
  <c r="AE316" i="14"/>
  <c r="AE320" i="14"/>
  <c r="AE324" i="14"/>
  <c r="AE328" i="14"/>
  <c r="AE341" i="14"/>
  <c r="AE333" i="14"/>
  <c r="AE337" i="14"/>
  <c r="AE345" i="14"/>
  <c r="AE344" i="14"/>
  <c r="AE330" i="14"/>
  <c r="AE334" i="14"/>
  <c r="AE338" i="14"/>
  <c r="AE342" i="14"/>
  <c r="AE346" i="14"/>
  <c r="AE339" i="14"/>
  <c r="AE312" i="14"/>
  <c r="AE329" i="14"/>
  <c r="AE331" i="14"/>
  <c r="AE335" i="14"/>
  <c r="AE343" i="14"/>
  <c r="AE332" i="14"/>
  <c r="AE336" i="14"/>
  <c r="AE340" i="14"/>
  <c r="P316" i="14"/>
  <c r="P320" i="14"/>
  <c r="P324" i="14"/>
  <c r="P328" i="14"/>
  <c r="P313" i="14"/>
  <c r="P317" i="14"/>
  <c r="P321" i="14"/>
  <c r="P325" i="14"/>
  <c r="P329" i="14"/>
  <c r="P314" i="14"/>
  <c r="P318" i="14"/>
  <c r="P322" i="14"/>
  <c r="P326" i="14"/>
  <c r="P315" i="14"/>
  <c r="P319" i="14"/>
  <c r="P323" i="14"/>
  <c r="P327" i="14"/>
  <c r="P332" i="14"/>
  <c r="P336" i="14"/>
  <c r="P340" i="14"/>
  <c r="P344" i="14"/>
  <c r="P333" i="14"/>
  <c r="P337" i="14"/>
  <c r="P341" i="14"/>
  <c r="P345" i="14"/>
  <c r="P330" i="14"/>
  <c r="P334" i="14"/>
  <c r="P338" i="14"/>
  <c r="P342" i="14"/>
  <c r="P346" i="14"/>
  <c r="P312" i="14"/>
  <c r="P331" i="14"/>
  <c r="P335" i="14"/>
  <c r="P339" i="14"/>
  <c r="P343" i="14"/>
  <c r="Z315" i="14"/>
  <c r="Z319" i="14"/>
  <c r="Z323" i="14"/>
  <c r="Z327" i="14"/>
  <c r="Z316" i="14"/>
  <c r="Z320" i="14"/>
  <c r="Z324" i="14"/>
  <c r="Z328" i="14"/>
  <c r="Z313" i="14"/>
  <c r="Z317" i="14"/>
  <c r="Z321" i="14"/>
  <c r="Z325" i="14"/>
  <c r="Z329" i="14"/>
  <c r="Z314" i="14"/>
  <c r="Z318" i="14"/>
  <c r="Z322" i="14"/>
  <c r="Z326" i="14"/>
  <c r="Z331" i="14"/>
  <c r="Z335" i="14"/>
  <c r="Z339" i="14"/>
  <c r="Z343" i="14"/>
  <c r="Z332" i="14"/>
  <c r="Z336" i="14"/>
  <c r="Z340" i="14"/>
  <c r="Z344" i="14"/>
  <c r="Z333" i="14"/>
  <c r="Z337" i="14"/>
  <c r="Z341" i="14"/>
  <c r="Z345" i="14"/>
  <c r="Z330" i="14"/>
  <c r="Z334" i="14"/>
  <c r="Z338" i="14"/>
  <c r="Z342" i="14"/>
  <c r="Z346" i="14"/>
  <c r="Z312" i="14"/>
  <c r="AJ314" i="14"/>
  <c r="AJ318" i="14"/>
  <c r="AJ322" i="14"/>
  <c r="AJ326" i="14"/>
  <c r="AJ315" i="14"/>
  <c r="AJ319" i="14"/>
  <c r="AJ323" i="14"/>
  <c r="AJ327" i="14"/>
  <c r="AJ316" i="14"/>
  <c r="AJ320" i="14"/>
  <c r="AJ324" i="14"/>
  <c r="AJ328" i="14"/>
  <c r="AJ313" i="14"/>
  <c r="AJ317" i="14"/>
  <c r="AJ321" i="14"/>
  <c r="AJ325" i="14"/>
  <c r="AJ330" i="14"/>
  <c r="AJ334" i="14"/>
  <c r="AJ338" i="14"/>
  <c r="AJ342" i="14"/>
  <c r="AJ346" i="14"/>
  <c r="AJ312" i="14"/>
  <c r="AJ331" i="14"/>
  <c r="AJ335" i="14"/>
  <c r="AJ339" i="14"/>
  <c r="AJ343" i="14"/>
  <c r="AJ332" i="14"/>
  <c r="AJ336" i="14"/>
  <c r="AJ340" i="14"/>
  <c r="AJ344" i="14"/>
  <c r="AJ333" i="14"/>
  <c r="AJ337" i="14"/>
  <c r="AJ341" i="14"/>
  <c r="AJ345" i="14"/>
  <c r="AJ329" i="14"/>
  <c r="R315" i="14"/>
  <c r="R319" i="14"/>
  <c r="R323" i="14"/>
  <c r="R327" i="14"/>
  <c r="R316" i="14"/>
  <c r="R320" i="14"/>
  <c r="R324" i="14"/>
  <c r="R328" i="14"/>
  <c r="R313" i="14"/>
  <c r="R317" i="14"/>
  <c r="R321" i="14"/>
  <c r="R325" i="14"/>
  <c r="R329" i="14"/>
  <c r="R314" i="14"/>
  <c r="R318" i="14"/>
  <c r="R322" i="14"/>
  <c r="R326" i="14"/>
  <c r="R331" i="14"/>
  <c r="R335" i="14"/>
  <c r="R339" i="14"/>
  <c r="R343" i="14"/>
  <c r="R332" i="14"/>
  <c r="R336" i="14"/>
  <c r="R340" i="14"/>
  <c r="R344" i="14"/>
  <c r="R333" i="14"/>
  <c r="R337" i="14"/>
  <c r="R341" i="14"/>
  <c r="R345" i="14"/>
  <c r="R330" i="14"/>
  <c r="R334" i="14"/>
  <c r="R338" i="14"/>
  <c r="R342" i="14"/>
  <c r="R346" i="14"/>
  <c r="R312" i="14"/>
  <c r="AM313" i="14"/>
  <c r="AM317" i="14"/>
  <c r="AM321" i="14"/>
  <c r="AM325" i="14"/>
  <c r="AM314" i="14"/>
  <c r="AM318" i="14"/>
  <c r="AM322" i="14"/>
  <c r="AM326" i="14"/>
  <c r="AM315" i="14"/>
  <c r="AM319" i="14"/>
  <c r="AM323" i="14"/>
  <c r="AM327" i="14"/>
  <c r="AM316" i="14"/>
  <c r="AM320" i="14"/>
  <c r="AM324" i="14"/>
  <c r="AM328" i="14"/>
  <c r="AM345" i="14"/>
  <c r="AM329" i="14"/>
  <c r="AM333" i="14"/>
  <c r="AM337" i="14"/>
  <c r="AM341" i="14"/>
  <c r="AM339" i="14"/>
  <c r="AM340" i="14"/>
  <c r="AM330" i="14"/>
  <c r="AM334" i="14"/>
  <c r="AM338" i="14"/>
  <c r="AM342" i="14"/>
  <c r="AM346" i="14"/>
  <c r="AM343" i="14"/>
  <c r="AM312" i="14"/>
  <c r="AM331" i="14"/>
  <c r="AM335" i="14"/>
  <c r="AM332" i="14"/>
  <c r="AM336" i="14"/>
  <c r="AM344" i="14"/>
  <c r="X316" i="14"/>
  <c r="X320" i="14"/>
  <c r="X324" i="14"/>
  <c r="X328" i="14"/>
  <c r="X313" i="14"/>
  <c r="X317" i="14"/>
  <c r="X321" i="14"/>
  <c r="X325" i="14"/>
  <c r="X329" i="14"/>
  <c r="X314" i="14"/>
  <c r="X318" i="14"/>
  <c r="X322" i="14"/>
  <c r="X326" i="14"/>
  <c r="X315" i="14"/>
  <c r="X319" i="14"/>
  <c r="X323" i="14"/>
  <c r="X327" i="14"/>
  <c r="X332" i="14"/>
  <c r="X336" i="14"/>
  <c r="X340" i="14"/>
  <c r="X344" i="14"/>
  <c r="X333" i="14"/>
  <c r="X337" i="14"/>
  <c r="X341" i="14"/>
  <c r="X345" i="14"/>
  <c r="X312" i="14"/>
  <c r="X330" i="14"/>
  <c r="X334" i="14"/>
  <c r="X338" i="14"/>
  <c r="X342" i="14"/>
  <c r="X346" i="14"/>
  <c r="X331" i="14"/>
  <c r="X335" i="14"/>
  <c r="X339" i="14"/>
  <c r="X343" i="14"/>
  <c r="AH315" i="14"/>
  <c r="AH319" i="14"/>
  <c r="AH323" i="14"/>
  <c r="AH327" i="14"/>
  <c r="AH316" i="14"/>
  <c r="AH320" i="14"/>
  <c r="AH324" i="14"/>
  <c r="AH328" i="14"/>
  <c r="AH313" i="14"/>
  <c r="AH317" i="14"/>
  <c r="AH321" i="14"/>
  <c r="AH325" i="14"/>
  <c r="AH329" i="14"/>
  <c r="AH314" i="14"/>
  <c r="AH318" i="14"/>
  <c r="AH322" i="14"/>
  <c r="AH326" i="14"/>
  <c r="AH331" i="14"/>
  <c r="AH335" i="14"/>
  <c r="AH339" i="14"/>
  <c r="AH343" i="14"/>
  <c r="AH332" i="14"/>
  <c r="AH336" i="14"/>
  <c r="AH340" i="14"/>
  <c r="AH344" i="14"/>
  <c r="AH312" i="14"/>
  <c r="AH333" i="14"/>
  <c r="AH337" i="14"/>
  <c r="AH341" i="14"/>
  <c r="AH345" i="14"/>
  <c r="AH330" i="14"/>
  <c r="AH334" i="14"/>
  <c r="AH338" i="14"/>
  <c r="AH342" i="14"/>
  <c r="AH346" i="14"/>
  <c r="W313" i="14"/>
  <c r="W317" i="14"/>
  <c r="W321" i="14"/>
  <c r="W325" i="14"/>
  <c r="W329" i="14"/>
  <c r="W314" i="14"/>
  <c r="W318" i="14"/>
  <c r="W322" i="14"/>
  <c r="W326" i="14"/>
  <c r="W315" i="14"/>
  <c r="W319" i="14"/>
  <c r="W323" i="14"/>
  <c r="W327" i="14"/>
  <c r="W316" i="14"/>
  <c r="W320" i="14"/>
  <c r="W324" i="14"/>
  <c r="W328" i="14"/>
  <c r="W345" i="14"/>
  <c r="W344" i="14"/>
  <c r="W333" i="14"/>
  <c r="W337" i="14"/>
  <c r="W341" i="14"/>
  <c r="W343" i="14"/>
  <c r="W330" i="14"/>
  <c r="W334" i="14"/>
  <c r="W338" i="14"/>
  <c r="W342" i="14"/>
  <c r="W346" i="14"/>
  <c r="W312" i="14"/>
  <c r="W331" i="14"/>
  <c r="W335" i="14"/>
  <c r="W339" i="14"/>
  <c r="W332" i="14"/>
  <c r="W336" i="14"/>
  <c r="W340" i="14"/>
  <c r="M314" i="14"/>
  <c r="M318" i="14"/>
  <c r="M322" i="14"/>
  <c r="M326" i="14"/>
  <c r="M315" i="14"/>
  <c r="M319" i="14"/>
  <c r="M323" i="14"/>
  <c r="M327" i="14"/>
  <c r="M316" i="14"/>
  <c r="M320" i="14"/>
  <c r="M324" i="14"/>
  <c r="M328" i="14"/>
  <c r="M313" i="14"/>
  <c r="M317" i="14"/>
  <c r="M321" i="14"/>
  <c r="M325" i="14"/>
  <c r="M329" i="14"/>
  <c r="M342" i="14"/>
  <c r="M330" i="14"/>
  <c r="M334" i="14"/>
  <c r="M338" i="14"/>
  <c r="M346" i="14"/>
  <c r="M312" i="14"/>
  <c r="M344" i="14"/>
  <c r="M331" i="14"/>
  <c r="M335" i="14"/>
  <c r="M339" i="14"/>
  <c r="M343" i="14"/>
  <c r="M332" i="14"/>
  <c r="M336" i="14"/>
  <c r="M340" i="14"/>
  <c r="M333" i="14"/>
  <c r="M337" i="14"/>
  <c r="M341" i="14"/>
  <c r="M345" i="14"/>
  <c r="AC314" i="14"/>
  <c r="AC318" i="14"/>
  <c r="AC322" i="14"/>
  <c r="AC326" i="14"/>
  <c r="AC315" i="14"/>
  <c r="AC319" i="14"/>
  <c r="AC323" i="14"/>
  <c r="AC327" i="14"/>
  <c r="AC316" i="14"/>
  <c r="AC320" i="14"/>
  <c r="AC324" i="14"/>
  <c r="AC328" i="14"/>
  <c r="AC313" i="14"/>
  <c r="AC317" i="14"/>
  <c r="AC321" i="14"/>
  <c r="AC325" i="14"/>
  <c r="AC329" i="14"/>
  <c r="AC342" i="14"/>
  <c r="AC330" i="14"/>
  <c r="AC334" i="14"/>
  <c r="AC338" i="14"/>
  <c r="AC346" i="14"/>
  <c r="AC312" i="14"/>
  <c r="AC331" i="14"/>
  <c r="AC335" i="14"/>
  <c r="AC339" i="14"/>
  <c r="AC343" i="14"/>
  <c r="AC344" i="14"/>
  <c r="AC341" i="14"/>
  <c r="AC340" i="14"/>
  <c r="AC332" i="14"/>
  <c r="AC336" i="14"/>
  <c r="AC333" i="14"/>
  <c r="AC337" i="14"/>
  <c r="AC345" i="14"/>
  <c r="N313" i="14"/>
  <c r="N317" i="14"/>
  <c r="N321" i="14"/>
  <c r="N325" i="14"/>
  <c r="N329" i="14"/>
  <c r="N314" i="14"/>
  <c r="N318" i="14"/>
  <c r="N322" i="14"/>
  <c r="N326" i="14"/>
  <c r="N315" i="14"/>
  <c r="N319" i="14"/>
  <c r="N323" i="14"/>
  <c r="N327" i="14"/>
  <c r="N316" i="14"/>
  <c r="N320" i="14"/>
  <c r="N324" i="14"/>
  <c r="N328" i="14"/>
  <c r="N333" i="14"/>
  <c r="N337" i="14"/>
  <c r="N341" i="14"/>
  <c r="N345" i="14"/>
  <c r="N330" i="14"/>
  <c r="N334" i="14"/>
  <c r="N338" i="14"/>
  <c r="N342" i="14"/>
  <c r="N346" i="14"/>
  <c r="N312" i="14"/>
  <c r="N331" i="14"/>
  <c r="N335" i="14"/>
  <c r="N339" i="14"/>
  <c r="N343" i="14"/>
  <c r="N332" i="14"/>
  <c r="N336" i="14"/>
  <c r="N340" i="14"/>
  <c r="N344" i="14"/>
  <c r="AF316" i="14"/>
  <c r="AF320" i="14"/>
  <c r="AF324" i="14"/>
  <c r="AF328" i="14"/>
  <c r="AF313" i="14"/>
  <c r="AF317" i="14"/>
  <c r="AF321" i="14"/>
  <c r="AF325" i="14"/>
  <c r="AF329" i="14"/>
  <c r="AF314" i="14"/>
  <c r="AF318" i="14"/>
  <c r="AF322" i="14"/>
  <c r="AF326" i="14"/>
  <c r="AF315" i="14"/>
  <c r="AF319" i="14"/>
  <c r="AF323" i="14"/>
  <c r="AF327" i="14"/>
  <c r="AF332" i="14"/>
  <c r="AF336" i="14"/>
  <c r="AF340" i="14"/>
  <c r="AF344" i="14"/>
  <c r="AF333" i="14"/>
  <c r="AF337" i="14"/>
  <c r="AF341" i="14"/>
  <c r="AF345" i="14"/>
  <c r="AF312" i="14"/>
  <c r="AF330" i="14"/>
  <c r="AF334" i="14"/>
  <c r="AF338" i="14"/>
  <c r="AF342" i="14"/>
  <c r="AF346" i="14"/>
  <c r="AF331" i="14"/>
  <c r="AF335" i="14"/>
  <c r="AF339" i="14"/>
  <c r="AF343" i="14"/>
  <c r="S315" i="14"/>
  <c r="S319" i="14"/>
  <c r="S323" i="14"/>
  <c r="S327" i="14"/>
  <c r="S316" i="14"/>
  <c r="S320" i="14"/>
  <c r="S324" i="14"/>
  <c r="S328" i="14"/>
  <c r="S313" i="14"/>
  <c r="S317" i="14"/>
  <c r="S321" i="14"/>
  <c r="S325" i="14"/>
  <c r="S329" i="14"/>
  <c r="S314" i="14"/>
  <c r="S318" i="14"/>
  <c r="S322" i="14"/>
  <c r="S326" i="14"/>
  <c r="S312" i="14"/>
  <c r="S339" i="14"/>
  <c r="S331" i="14"/>
  <c r="S335" i="14"/>
  <c r="S343" i="14"/>
  <c r="S332" i="14"/>
  <c r="S336" i="14"/>
  <c r="S340" i="14"/>
  <c r="S344" i="14"/>
  <c r="S341" i="14"/>
  <c r="S346" i="14"/>
  <c r="S333" i="14"/>
  <c r="S345" i="14"/>
  <c r="S337" i="14"/>
  <c r="S330" i="14"/>
  <c r="S334" i="14"/>
  <c r="S338" i="14"/>
  <c r="S342" i="14"/>
  <c r="AI315" i="14"/>
  <c r="AI319" i="14"/>
  <c r="AI323" i="14"/>
  <c r="AI327" i="14"/>
  <c r="AI316" i="14"/>
  <c r="AI320" i="14"/>
  <c r="AI324" i="14"/>
  <c r="AI328" i="14"/>
  <c r="AI313" i="14"/>
  <c r="AI317" i="14"/>
  <c r="AI321" i="14"/>
  <c r="AI325" i="14"/>
  <c r="AI314" i="14"/>
  <c r="AI318" i="14"/>
  <c r="AI322" i="14"/>
  <c r="AI326" i="14"/>
  <c r="AI312" i="14"/>
  <c r="AI331" i="14"/>
  <c r="AI335" i="14"/>
  <c r="AI339" i="14"/>
  <c r="AI343" i="14"/>
  <c r="AI332" i="14"/>
  <c r="AI336" i="14"/>
  <c r="AI340" i="14"/>
  <c r="AI344" i="14"/>
  <c r="AI333" i="14"/>
  <c r="AI337" i="14"/>
  <c r="AI341" i="14"/>
  <c r="AI345" i="14"/>
  <c r="AI329" i="14"/>
  <c r="AI330" i="14"/>
  <c r="AI334" i="14"/>
  <c r="AI338" i="14"/>
  <c r="AI342" i="14"/>
  <c r="AI346" i="14"/>
  <c r="AG316" i="14"/>
  <c r="AG320" i="14"/>
  <c r="AG324" i="14"/>
  <c r="AG328" i="14"/>
  <c r="AG313" i="14"/>
  <c r="AG317" i="14"/>
  <c r="AG321" i="14"/>
  <c r="AG325" i="14"/>
  <c r="AG329" i="14"/>
  <c r="AG314" i="14"/>
  <c r="AG318" i="14"/>
  <c r="AG322" i="14"/>
  <c r="AG326" i="14"/>
  <c r="AG315" i="14"/>
  <c r="AG319" i="14"/>
  <c r="AG323" i="14"/>
  <c r="AG327" i="14"/>
  <c r="AG332" i="14"/>
  <c r="AG336" i="14"/>
  <c r="AG340" i="14"/>
  <c r="AG344" i="14"/>
  <c r="AG338" i="14"/>
  <c r="AG342" i="14"/>
  <c r="AG333" i="14"/>
  <c r="AG337" i="14"/>
  <c r="AG341" i="14"/>
  <c r="AG345" i="14"/>
  <c r="AG330" i="14"/>
  <c r="AG334" i="14"/>
  <c r="AG346" i="14"/>
  <c r="AG312" i="14"/>
  <c r="AG331" i="14"/>
  <c r="AG335" i="14"/>
  <c r="AG339" i="14"/>
  <c r="AG343" i="14"/>
  <c r="AB314" i="14"/>
  <c r="AB318" i="14"/>
  <c r="AB322" i="14"/>
  <c r="AB326" i="14"/>
  <c r="AB315" i="14"/>
  <c r="AB319" i="14"/>
  <c r="AB323" i="14"/>
  <c r="AB327" i="14"/>
  <c r="AB316" i="14"/>
  <c r="AB320" i="14"/>
  <c r="AB324" i="14"/>
  <c r="AB328" i="14"/>
  <c r="AB313" i="14"/>
  <c r="AB317" i="14"/>
  <c r="AB321" i="14"/>
  <c r="AB325" i="14"/>
  <c r="AB329" i="14"/>
  <c r="AB330" i="14"/>
  <c r="AB334" i="14"/>
  <c r="AB338" i="14"/>
  <c r="AB342" i="14"/>
  <c r="AB346" i="14"/>
  <c r="AB312" i="14"/>
  <c r="AB331" i="14"/>
  <c r="AB335" i="14"/>
  <c r="AB339" i="14"/>
  <c r="AB343" i="14"/>
  <c r="AB332" i="14"/>
  <c r="AB336" i="14"/>
  <c r="AB340" i="14"/>
  <c r="AB344" i="14"/>
  <c r="AB333" i="14"/>
  <c r="AB337" i="14"/>
  <c r="AB341" i="14"/>
  <c r="AB345" i="14"/>
  <c r="V313" i="14"/>
  <c r="V317" i="14"/>
  <c r="V321" i="14"/>
  <c r="V325" i="14"/>
  <c r="V329" i="14"/>
  <c r="V314" i="14"/>
  <c r="V318" i="14"/>
  <c r="V322" i="14"/>
  <c r="V326" i="14"/>
  <c r="V315" i="14"/>
  <c r="V319" i="14"/>
  <c r="V323" i="14"/>
  <c r="V327" i="14"/>
  <c r="V316" i="14"/>
  <c r="V320" i="14"/>
  <c r="V324" i="14"/>
  <c r="V328" i="14"/>
  <c r="V333" i="14"/>
  <c r="V337" i="14"/>
  <c r="V341" i="14"/>
  <c r="V345" i="14"/>
  <c r="V330" i="14"/>
  <c r="V334" i="14"/>
  <c r="V338" i="14"/>
  <c r="V342" i="14"/>
  <c r="V346" i="14"/>
  <c r="V312" i="14"/>
  <c r="V331" i="14"/>
  <c r="V335" i="14"/>
  <c r="V339" i="14"/>
  <c r="V343" i="14"/>
  <c r="V332" i="14"/>
  <c r="V336" i="14"/>
  <c r="V340" i="14"/>
  <c r="V344" i="14"/>
  <c r="AD313" i="14"/>
  <c r="AD317" i="14"/>
  <c r="AD321" i="14"/>
  <c r="AD325" i="14"/>
  <c r="AD329" i="14"/>
  <c r="AD314" i="14"/>
  <c r="AD318" i="14"/>
  <c r="AD322" i="14"/>
  <c r="AD326" i="14"/>
  <c r="AD315" i="14"/>
  <c r="AD319" i="14"/>
  <c r="AD323" i="14"/>
  <c r="AD327" i="14"/>
  <c r="AD316" i="14"/>
  <c r="AD320" i="14"/>
  <c r="AD324" i="14"/>
  <c r="AD328" i="14"/>
  <c r="AD333" i="14"/>
  <c r="AD337" i="14"/>
  <c r="AD341" i="14"/>
  <c r="AD345" i="14"/>
  <c r="AD330" i="14"/>
  <c r="AD334" i="14"/>
  <c r="AD338" i="14"/>
  <c r="AD342" i="14"/>
  <c r="AD346" i="14"/>
  <c r="AD312" i="14"/>
  <c r="AD331" i="14"/>
  <c r="AD335" i="14"/>
  <c r="AD339" i="14"/>
  <c r="AD343" i="14"/>
  <c r="AD332" i="14"/>
  <c r="AD336" i="14"/>
  <c r="AD340" i="14"/>
  <c r="AD344" i="14"/>
  <c r="AL313" i="14"/>
  <c r="AL317" i="14"/>
  <c r="AL321" i="14"/>
  <c r="AL325" i="14"/>
  <c r="AL329" i="14"/>
  <c r="AL314" i="14"/>
  <c r="AL318" i="14"/>
  <c r="AL322" i="14"/>
  <c r="AL326" i="14"/>
  <c r="AL315" i="14"/>
  <c r="AL319" i="14"/>
  <c r="AL323" i="14"/>
  <c r="AL327" i="14"/>
  <c r="AL316" i="14"/>
  <c r="AL320" i="14"/>
  <c r="AL324" i="14"/>
  <c r="AL328" i="14"/>
  <c r="AL333" i="14"/>
  <c r="AL337" i="14"/>
  <c r="AL341" i="14"/>
  <c r="AL345" i="14"/>
  <c r="AL330" i="14"/>
  <c r="AL334" i="14"/>
  <c r="AL338" i="14"/>
  <c r="AL342" i="14"/>
  <c r="AL346" i="14"/>
  <c r="AL312" i="14"/>
  <c r="AL331" i="14"/>
  <c r="AL335" i="14"/>
  <c r="AL339" i="14"/>
  <c r="AL343" i="14"/>
  <c r="AL332" i="14"/>
  <c r="AL336" i="14"/>
  <c r="AL340" i="14"/>
  <c r="AL344" i="14"/>
  <c r="Q316" i="14"/>
  <c r="Q320" i="14"/>
  <c r="Q324" i="14"/>
  <c r="Q328" i="14"/>
  <c r="Q313" i="14"/>
  <c r="Q317" i="14"/>
  <c r="Q321" i="14"/>
  <c r="Q325" i="14"/>
  <c r="Q329" i="14"/>
  <c r="Q314" i="14"/>
  <c r="Q318" i="14"/>
  <c r="Q322" i="14"/>
  <c r="Q326" i="14"/>
  <c r="Q315" i="14"/>
  <c r="Q319" i="14"/>
  <c r="Q323" i="14"/>
  <c r="Q327" i="14"/>
  <c r="Q332" i="14"/>
  <c r="Q336" i="14"/>
  <c r="Q340" i="14"/>
  <c r="Q344" i="14"/>
  <c r="Q333" i="14"/>
  <c r="Q337" i="14"/>
  <c r="Q341" i="14"/>
  <c r="Q345" i="14"/>
  <c r="Q342" i="14"/>
  <c r="Q346" i="14"/>
  <c r="Q330" i="14"/>
  <c r="Q334" i="14"/>
  <c r="Q338" i="14"/>
  <c r="Q312" i="14"/>
  <c r="Q331" i="14"/>
  <c r="Q335" i="14"/>
  <c r="Q339" i="14"/>
  <c r="Q343" i="14"/>
  <c r="L314" i="14"/>
  <c r="L318" i="14"/>
  <c r="L322" i="14"/>
  <c r="L326" i="14"/>
  <c r="L315" i="14"/>
  <c r="L319" i="14"/>
  <c r="L323" i="14"/>
  <c r="L327" i="14"/>
  <c r="L316" i="14"/>
  <c r="L320" i="14"/>
  <c r="L324" i="14"/>
  <c r="L328" i="14"/>
  <c r="L313" i="14"/>
  <c r="L317" i="14"/>
  <c r="L321" i="14"/>
  <c r="L325" i="14"/>
  <c r="L329" i="14"/>
  <c r="L330" i="14"/>
  <c r="L334" i="14"/>
  <c r="L338" i="14"/>
  <c r="L342" i="14"/>
  <c r="L346" i="14"/>
  <c r="L312" i="14"/>
  <c r="L331" i="14"/>
  <c r="L335" i="14"/>
  <c r="L339" i="14"/>
  <c r="L343" i="14"/>
  <c r="L332" i="14"/>
  <c r="L336" i="14"/>
  <c r="L340" i="14"/>
  <c r="L344" i="14"/>
  <c r="L333" i="14"/>
  <c r="L337" i="14"/>
  <c r="L341" i="14"/>
  <c r="L345" i="14"/>
  <c r="O313" i="14"/>
  <c r="O317" i="14"/>
  <c r="O321" i="14"/>
  <c r="O325" i="14"/>
  <c r="O329" i="14"/>
  <c r="O314" i="14"/>
  <c r="O318" i="14"/>
  <c r="O322" i="14"/>
  <c r="O326" i="14"/>
  <c r="O315" i="14"/>
  <c r="O319" i="14"/>
  <c r="O323" i="14"/>
  <c r="O327" i="14"/>
  <c r="O316" i="14"/>
  <c r="O320" i="14"/>
  <c r="O324" i="14"/>
  <c r="O328" i="14"/>
  <c r="O333" i="14"/>
  <c r="O341" i="14"/>
  <c r="O337" i="14"/>
  <c r="O345" i="14"/>
  <c r="O330" i="14"/>
  <c r="O334" i="14"/>
  <c r="O338" i="14"/>
  <c r="O342" i="14"/>
  <c r="O346" i="14"/>
  <c r="O343" i="14"/>
  <c r="O312" i="14"/>
  <c r="O331" i="14"/>
  <c r="O335" i="14"/>
  <c r="O339" i="14"/>
  <c r="O332" i="14"/>
  <c r="O336" i="14"/>
  <c r="O340" i="14"/>
  <c r="O344" i="14"/>
  <c r="Y316" i="14"/>
  <c r="Y320" i="14"/>
  <c r="Y324" i="14"/>
  <c r="Y328" i="14"/>
  <c r="Y313" i="14"/>
  <c r="Y317" i="14"/>
  <c r="Y321" i="14"/>
  <c r="Y325" i="14"/>
  <c r="Y329" i="14"/>
  <c r="Y314" i="14"/>
  <c r="Y318" i="14"/>
  <c r="Y322" i="14"/>
  <c r="Y326" i="14"/>
  <c r="Y315" i="14"/>
  <c r="Y319" i="14"/>
  <c r="Y323" i="14"/>
  <c r="Y327" i="14"/>
  <c r="Y340" i="14"/>
  <c r="Y344" i="14"/>
  <c r="Y332" i="14"/>
  <c r="Y336" i="14"/>
  <c r="Y333" i="14"/>
  <c r="Y337" i="14"/>
  <c r="Y341" i="14"/>
  <c r="Y345" i="14"/>
  <c r="Y346" i="14"/>
  <c r="Y330" i="14"/>
  <c r="Y334" i="14"/>
  <c r="Y338" i="14"/>
  <c r="Y342" i="14"/>
  <c r="Y312" i="14"/>
  <c r="Y331" i="14"/>
  <c r="Y335" i="14"/>
  <c r="Y339" i="14"/>
  <c r="Y343" i="14"/>
  <c r="J315" i="14"/>
  <c r="J319" i="14"/>
  <c r="J323" i="14"/>
  <c r="J327" i="14"/>
  <c r="J316" i="14"/>
  <c r="J320" i="14"/>
  <c r="J324" i="14"/>
  <c r="J328" i="14"/>
  <c r="J313" i="14"/>
  <c r="J317" i="14"/>
  <c r="J321" i="14"/>
  <c r="J325" i="14"/>
  <c r="J329" i="14"/>
  <c r="J314" i="14"/>
  <c r="J318" i="14"/>
  <c r="J322" i="14"/>
  <c r="J326" i="14"/>
  <c r="J331" i="14"/>
  <c r="J335" i="14"/>
  <c r="J339" i="14"/>
  <c r="J343" i="14"/>
  <c r="J332" i="14"/>
  <c r="J336" i="14"/>
  <c r="J340" i="14"/>
  <c r="J344" i="14"/>
  <c r="J333" i="14"/>
  <c r="J337" i="14"/>
  <c r="J341" i="14"/>
  <c r="J345" i="14"/>
  <c r="J312" i="14"/>
  <c r="J330" i="14"/>
  <c r="J334" i="14"/>
  <c r="J338" i="14"/>
  <c r="J342" i="14"/>
  <c r="J346" i="14"/>
  <c r="T314" i="14"/>
  <c r="T318" i="14"/>
  <c r="T322" i="14"/>
  <c r="T326" i="14"/>
  <c r="T315" i="14"/>
  <c r="T319" i="14"/>
  <c r="T323" i="14"/>
  <c r="T327" i="14"/>
  <c r="T316" i="14"/>
  <c r="T320" i="14"/>
  <c r="T324" i="14"/>
  <c r="T328" i="14"/>
  <c r="T313" i="14"/>
  <c r="T317" i="14"/>
  <c r="T321" i="14"/>
  <c r="T325" i="14"/>
  <c r="T329" i="14"/>
  <c r="T330" i="14"/>
  <c r="T334" i="14"/>
  <c r="T338" i="14"/>
  <c r="T342" i="14"/>
  <c r="T346" i="14"/>
  <c r="T312" i="14"/>
  <c r="T331" i="14"/>
  <c r="T335" i="14"/>
  <c r="T339" i="14"/>
  <c r="T343" i="14"/>
  <c r="T332" i="14"/>
  <c r="T336" i="14"/>
  <c r="T340" i="14"/>
  <c r="T344" i="14"/>
  <c r="T333" i="14"/>
  <c r="T337" i="14"/>
  <c r="T341" i="14"/>
  <c r="T345" i="14"/>
  <c r="F78" i="1"/>
  <c r="F261" i="1"/>
  <c r="F262" i="1"/>
  <c r="G262" i="1"/>
  <c r="H262" i="1"/>
  <c r="I262" i="1"/>
  <c r="J262" i="1"/>
  <c r="F263" i="1"/>
  <c r="G263" i="1"/>
  <c r="H263" i="1"/>
  <c r="J263" i="1"/>
  <c r="F264" i="1"/>
  <c r="G264" i="1"/>
  <c r="H264" i="1"/>
  <c r="J264" i="1"/>
  <c r="F265" i="1"/>
  <c r="G265" i="1"/>
  <c r="H265" i="1"/>
  <c r="J265" i="1"/>
  <c r="F266" i="1"/>
  <c r="G266" i="1"/>
  <c r="H266" i="1"/>
  <c r="I266" i="1"/>
  <c r="J266" i="1"/>
  <c r="F267" i="1"/>
  <c r="G267" i="1"/>
  <c r="H267" i="1"/>
  <c r="F268" i="1"/>
  <c r="G268" i="1"/>
  <c r="H268" i="1"/>
  <c r="I268" i="1"/>
  <c r="J268" i="1"/>
  <c r="C265" i="1"/>
  <c r="C266" i="1"/>
  <c r="C264" i="1"/>
  <c r="H56" i="14"/>
  <c r="D275" i="1"/>
  <c r="H275" i="1" s="1"/>
  <c r="D251" i="1"/>
  <c r="D253" i="1"/>
  <c r="C29" i="14"/>
  <c r="S14" i="21"/>
  <c r="Q14" i="21"/>
  <c r="S13" i="21"/>
  <c r="Q13" i="21"/>
  <c r="S12" i="21"/>
  <c r="Q12" i="21"/>
  <c r="S11" i="21"/>
  <c r="Q11" i="21"/>
  <c r="S10" i="21"/>
  <c r="Q10" i="21"/>
  <c r="S9" i="21"/>
  <c r="Q9" i="21"/>
  <c r="S8" i="21"/>
  <c r="Q8" i="21"/>
  <c r="S7" i="21"/>
  <c r="Q7" i="21"/>
  <c r="S6" i="21"/>
  <c r="Q6" i="21"/>
  <c r="S5" i="21"/>
  <c r="Q5" i="21"/>
  <c r="S4" i="21"/>
  <c r="Q4" i="21"/>
  <c r="S3" i="21"/>
  <c r="Q3" i="21"/>
  <c r="P3" i="21"/>
  <c r="T2" i="21"/>
  <c r="S2" i="21"/>
  <c r="S16" i="21" s="1"/>
  <c r="R2" i="21"/>
  <c r="R16" i="21" s="1"/>
  <c r="Q2" i="21"/>
  <c r="Q16" i="21" s="1"/>
  <c r="S30" i="21"/>
  <c r="Q30" i="21"/>
  <c r="S29" i="21"/>
  <c r="Q29" i="21"/>
  <c r="S27" i="21"/>
  <c r="Q27" i="21"/>
  <c r="S26" i="21"/>
  <c r="Q26" i="21"/>
  <c r="S25" i="21"/>
  <c r="Q25" i="21"/>
  <c r="S24" i="21"/>
  <c r="Q24" i="21"/>
  <c r="S23" i="21"/>
  <c r="Q23" i="21"/>
  <c r="S22" i="21"/>
  <c r="Q22" i="21"/>
  <c r="S21" i="21"/>
  <c r="Q21" i="21"/>
  <c r="S20" i="21"/>
  <c r="Q20" i="21"/>
  <c r="S19" i="21"/>
  <c r="Q19" i="21"/>
  <c r="S18" i="21"/>
  <c r="Q18" i="21"/>
  <c r="S17" i="21"/>
  <c r="Q17" i="21"/>
  <c r="T16" i="21"/>
  <c r="H175" i="14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I160" i="10"/>
  <c r="I161" i="10"/>
  <c r="I127" i="10"/>
  <c r="AV161" i="10"/>
  <c r="AW161" i="10"/>
  <c r="AX161" i="10"/>
  <c r="AY161" i="10"/>
  <c r="AZ161" i="10"/>
  <c r="BA161" i="10"/>
  <c r="BB161" i="10"/>
  <c r="BC161" i="10"/>
  <c r="BD161" i="10"/>
  <c r="BE161" i="10"/>
  <c r="BF161" i="10"/>
  <c r="BG161" i="10"/>
  <c r="BH161" i="10"/>
  <c r="BI161" i="10"/>
  <c r="BJ161" i="10"/>
  <c r="BK161" i="10"/>
  <c r="BL161" i="10"/>
  <c r="BM161" i="10"/>
  <c r="BN161" i="10"/>
  <c r="BO161" i="10"/>
  <c r="BP161" i="10"/>
  <c r="BQ161" i="10"/>
  <c r="BR161" i="10"/>
  <c r="BS161" i="10"/>
  <c r="BT161" i="10"/>
  <c r="BU161" i="10"/>
  <c r="BV161" i="10"/>
  <c r="BW161" i="10"/>
  <c r="BX161" i="10"/>
  <c r="BY161" i="10"/>
  <c r="BZ161" i="10"/>
  <c r="CA161" i="10"/>
  <c r="CB161" i="10"/>
  <c r="CC161" i="10"/>
  <c r="AU161" i="10"/>
  <c r="E223" i="1"/>
  <c r="F223" i="1" s="1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H32" i="10"/>
  <c r="G53" i="27"/>
  <c r="AF236" i="29"/>
  <c r="AG236" i="29"/>
  <c r="AH236" i="29"/>
  <c r="AI236" i="29"/>
  <c r="AJ236" i="29"/>
  <c r="AK236" i="29"/>
  <c r="AL236" i="29"/>
  <c r="AM236" i="29"/>
  <c r="AN236" i="29"/>
  <c r="AO236" i="29"/>
  <c r="AP236" i="29"/>
  <c r="AQ236" i="29"/>
  <c r="AR236" i="29"/>
  <c r="AS236" i="29"/>
  <c r="AT236" i="29"/>
  <c r="AU236" i="29"/>
  <c r="AV236" i="29"/>
  <c r="AW236" i="29"/>
  <c r="AX236" i="29"/>
  <c r="AY236" i="29"/>
  <c r="AZ236" i="29"/>
  <c r="BA236" i="29"/>
  <c r="BB236" i="29"/>
  <c r="BC236" i="29"/>
  <c r="BD236" i="29"/>
  <c r="BE236" i="29"/>
  <c r="BF236" i="29"/>
  <c r="BG236" i="29"/>
  <c r="BH236" i="29"/>
  <c r="BI236" i="29"/>
  <c r="BJ236" i="29"/>
  <c r="BK236" i="29"/>
  <c r="BL236" i="29"/>
  <c r="BM236" i="29"/>
  <c r="BN236" i="29"/>
  <c r="BO236" i="29"/>
  <c r="BP236" i="29"/>
  <c r="BQ236" i="29"/>
  <c r="BR236" i="29"/>
  <c r="BS236" i="29"/>
  <c r="BT236" i="29"/>
  <c r="BU236" i="29"/>
  <c r="BV236" i="29"/>
  <c r="BW236" i="29"/>
  <c r="BX236" i="29"/>
  <c r="G229" i="29"/>
  <c r="H229" i="29"/>
  <c r="I229" i="29"/>
  <c r="I234" i="29" s="1"/>
  <c r="J229" i="29"/>
  <c r="J234" i="29" s="1"/>
  <c r="K229" i="29"/>
  <c r="K234" i="29" s="1"/>
  <c r="L229" i="29"/>
  <c r="L234" i="29" s="1"/>
  <c r="M229" i="29"/>
  <c r="M234" i="29" s="1"/>
  <c r="N229" i="29"/>
  <c r="O229" i="29"/>
  <c r="O234" i="29" s="1"/>
  <c r="P229" i="29"/>
  <c r="P234" i="29" s="1"/>
  <c r="AC234" i="29"/>
  <c r="AD229" i="29"/>
  <c r="AD234" i="29" s="1"/>
  <c r="AB229" i="29"/>
  <c r="AB234" i="29" s="1"/>
  <c r="G234" i="29"/>
  <c r="H234" i="29"/>
  <c r="N234" i="29"/>
  <c r="G235" i="29"/>
  <c r="H235" i="29"/>
  <c r="I235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Z235" i="29"/>
  <c r="AA235" i="29"/>
  <c r="AB235" i="29"/>
  <c r="AC235" i="29"/>
  <c r="AD235" i="29"/>
  <c r="AE235" i="29"/>
  <c r="F50" i="27" l="1"/>
  <c r="R28" i="21" s="1"/>
  <c r="S31" i="21"/>
  <c r="F19" i="14"/>
  <c r="S15" i="21"/>
  <c r="G32" i="10"/>
  <c r="Y177" i="14"/>
  <c r="Q193" i="14"/>
  <c r="I178" i="14"/>
  <c r="AH193" i="14"/>
  <c r="Z175" i="14"/>
  <c r="R177" i="14"/>
  <c r="J198" i="14"/>
  <c r="AF181" i="14"/>
  <c r="X191" i="14"/>
  <c r="F111" i="14"/>
  <c r="G14" i="14" s="1"/>
  <c r="AB236" i="29"/>
  <c r="AC236" i="29" s="1"/>
  <c r="AD236" i="29"/>
  <c r="N236" i="29"/>
  <c r="D36" i="28"/>
  <c r="J34" i="10"/>
  <c r="G34" i="10" s="1"/>
  <c r="J23" i="10"/>
  <c r="C18" i="14"/>
  <c r="C32" i="14"/>
  <c r="AQ127" i="10"/>
  <c r="AQ128" i="10"/>
  <c r="AQ129" i="10"/>
  <c r="AQ130" i="10"/>
  <c r="AQ131" i="10"/>
  <c r="AQ132" i="10"/>
  <c r="AQ133" i="10"/>
  <c r="AQ134" i="10"/>
  <c r="AQ135" i="10"/>
  <c r="AQ136" i="10"/>
  <c r="AQ137" i="10"/>
  <c r="AQ138" i="10"/>
  <c r="AQ139" i="10"/>
  <c r="AQ140" i="10"/>
  <c r="AQ141" i="10"/>
  <c r="AQ142" i="10"/>
  <c r="AQ143" i="10"/>
  <c r="AQ144" i="10"/>
  <c r="AQ145" i="10"/>
  <c r="AQ146" i="10"/>
  <c r="AQ147" i="10"/>
  <c r="AQ148" i="10"/>
  <c r="AQ149" i="10"/>
  <c r="AQ150" i="10"/>
  <c r="AQ151" i="10"/>
  <c r="AQ152" i="10"/>
  <c r="AQ153" i="10"/>
  <c r="AQ154" i="10"/>
  <c r="AQ155" i="10"/>
  <c r="AQ156" i="10"/>
  <c r="AQ157" i="10"/>
  <c r="AQ158" i="10"/>
  <c r="AQ159" i="10"/>
  <c r="AQ160" i="10"/>
  <c r="AQ161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P159" i="10"/>
  <c r="AP160" i="10"/>
  <c r="AP161" i="10"/>
  <c r="AO127" i="10"/>
  <c r="AO128" i="10"/>
  <c r="AO129" i="10"/>
  <c r="AO130" i="10"/>
  <c r="AO131" i="10"/>
  <c r="AO132" i="10"/>
  <c r="AO133" i="10"/>
  <c r="AO134" i="10"/>
  <c r="AO135" i="10"/>
  <c r="AO136" i="10"/>
  <c r="AO137" i="10"/>
  <c r="AO138" i="10"/>
  <c r="AO139" i="10"/>
  <c r="AO140" i="10"/>
  <c r="AO141" i="10"/>
  <c r="AO142" i="10"/>
  <c r="AO143" i="10"/>
  <c r="AO144" i="10"/>
  <c r="AO145" i="10"/>
  <c r="AO146" i="10"/>
  <c r="AO147" i="10"/>
  <c r="AO148" i="10"/>
  <c r="AO149" i="10"/>
  <c r="AO150" i="10"/>
  <c r="AO151" i="10"/>
  <c r="AO152" i="10"/>
  <c r="AO153" i="10"/>
  <c r="AO154" i="10"/>
  <c r="AO155" i="10"/>
  <c r="AO156" i="10"/>
  <c r="AO157" i="10"/>
  <c r="AO158" i="10"/>
  <c r="AO159" i="10"/>
  <c r="AO160" i="10"/>
  <c r="AO161" i="10"/>
  <c r="AN127" i="10"/>
  <c r="AN128" i="10"/>
  <c r="AN129" i="10"/>
  <c r="AN130" i="10"/>
  <c r="AN131" i="10"/>
  <c r="AN132" i="10"/>
  <c r="AN133" i="10"/>
  <c r="AN134" i="10"/>
  <c r="AN135" i="10"/>
  <c r="AN136" i="10"/>
  <c r="AN137" i="10"/>
  <c r="AN138" i="10"/>
  <c r="AN139" i="10"/>
  <c r="AN140" i="10"/>
  <c r="AN141" i="10"/>
  <c r="AN142" i="10"/>
  <c r="AN143" i="10"/>
  <c r="AN144" i="10"/>
  <c r="AN145" i="10"/>
  <c r="AN146" i="10"/>
  <c r="AN147" i="10"/>
  <c r="AN148" i="10"/>
  <c r="AN149" i="10"/>
  <c r="AN150" i="10"/>
  <c r="AN151" i="10"/>
  <c r="AN152" i="10"/>
  <c r="AN153" i="10"/>
  <c r="AN154" i="10"/>
  <c r="AN155" i="10"/>
  <c r="AN156" i="10"/>
  <c r="AN157" i="10"/>
  <c r="AN158" i="10"/>
  <c r="AN159" i="10"/>
  <c r="AN160" i="10"/>
  <c r="AN161" i="10"/>
  <c r="AM127" i="10"/>
  <c r="AM128" i="10"/>
  <c r="AM129" i="10"/>
  <c r="AM130" i="10"/>
  <c r="AM131" i="10"/>
  <c r="AM132" i="10"/>
  <c r="AM133" i="10"/>
  <c r="AM134" i="10"/>
  <c r="AM135" i="10"/>
  <c r="AM136" i="10"/>
  <c r="AM137" i="10"/>
  <c r="AM138" i="10"/>
  <c r="AM139" i="10"/>
  <c r="AM140" i="10"/>
  <c r="AM141" i="10"/>
  <c r="AM142" i="10"/>
  <c r="AM143" i="10"/>
  <c r="AM144" i="10"/>
  <c r="AM145" i="10"/>
  <c r="AM146" i="10"/>
  <c r="AM147" i="10"/>
  <c r="AM148" i="10"/>
  <c r="AM149" i="10"/>
  <c r="AM150" i="10"/>
  <c r="AM151" i="10"/>
  <c r="AM152" i="10"/>
  <c r="AM153" i="10"/>
  <c r="AM154" i="10"/>
  <c r="AM155" i="10"/>
  <c r="AM156" i="10"/>
  <c r="AM157" i="10"/>
  <c r="AM158" i="10"/>
  <c r="AM159" i="10"/>
  <c r="AM160" i="10"/>
  <c r="AM161" i="10"/>
  <c r="AL127" i="10"/>
  <c r="AL128" i="10"/>
  <c r="AL129" i="10"/>
  <c r="AL130" i="10"/>
  <c r="AL131" i="10"/>
  <c r="AL132" i="10"/>
  <c r="AL133" i="10"/>
  <c r="AL134" i="10"/>
  <c r="AL135" i="10"/>
  <c r="AL136" i="10"/>
  <c r="AL137" i="10"/>
  <c r="AL138" i="10"/>
  <c r="AL139" i="10"/>
  <c r="AL140" i="10"/>
  <c r="AL141" i="10"/>
  <c r="AL142" i="10"/>
  <c r="AL143" i="10"/>
  <c r="AL144" i="10"/>
  <c r="AL145" i="10"/>
  <c r="AL146" i="10"/>
  <c r="AL147" i="10"/>
  <c r="AL148" i="10"/>
  <c r="AL149" i="10"/>
  <c r="AL150" i="10"/>
  <c r="AL151" i="10"/>
  <c r="AL152" i="10"/>
  <c r="AL153" i="10"/>
  <c r="AL154" i="10"/>
  <c r="AL155" i="10"/>
  <c r="AL156" i="10"/>
  <c r="AL157" i="10"/>
  <c r="AL158" i="10"/>
  <c r="AL159" i="10"/>
  <c r="AL160" i="10"/>
  <c r="AL161" i="10"/>
  <c r="AK127" i="10"/>
  <c r="AK128" i="10"/>
  <c r="AK129" i="10"/>
  <c r="AK130" i="10"/>
  <c r="AK131" i="10"/>
  <c r="AK132" i="10"/>
  <c r="AK133" i="10"/>
  <c r="AK134" i="10"/>
  <c r="AK135" i="10"/>
  <c r="AK136" i="10"/>
  <c r="AK137" i="10"/>
  <c r="AK138" i="10"/>
  <c r="AK139" i="10"/>
  <c r="AK140" i="10"/>
  <c r="AK141" i="10"/>
  <c r="AK142" i="10"/>
  <c r="AK143" i="10"/>
  <c r="AK144" i="10"/>
  <c r="AK145" i="10"/>
  <c r="AK146" i="10"/>
  <c r="AK147" i="10"/>
  <c r="AK148" i="10"/>
  <c r="AK149" i="10"/>
  <c r="AK150" i="10"/>
  <c r="AK151" i="10"/>
  <c r="AK152" i="10"/>
  <c r="AK153" i="10"/>
  <c r="AK154" i="10"/>
  <c r="AK155" i="10"/>
  <c r="AK156" i="10"/>
  <c r="AK157" i="10"/>
  <c r="AK158" i="10"/>
  <c r="AK159" i="10"/>
  <c r="AK160" i="10"/>
  <c r="AK161" i="10"/>
  <c r="AJ127" i="10"/>
  <c r="AJ128" i="10"/>
  <c r="AJ129" i="10"/>
  <c r="AJ130" i="10"/>
  <c r="AJ131" i="10"/>
  <c r="AJ132" i="10"/>
  <c r="AJ133" i="10"/>
  <c r="AJ134" i="10"/>
  <c r="AJ135" i="10"/>
  <c r="AJ136" i="10"/>
  <c r="AJ137" i="10"/>
  <c r="AJ138" i="10"/>
  <c r="AJ139" i="10"/>
  <c r="AJ140" i="10"/>
  <c r="AJ141" i="10"/>
  <c r="AJ142" i="10"/>
  <c r="AJ143" i="10"/>
  <c r="AJ144" i="10"/>
  <c r="AJ145" i="10"/>
  <c r="AJ146" i="10"/>
  <c r="AJ147" i="10"/>
  <c r="AJ148" i="10"/>
  <c r="AJ149" i="10"/>
  <c r="AJ150" i="10"/>
  <c r="AJ151" i="10"/>
  <c r="AJ152" i="10"/>
  <c r="AJ153" i="10"/>
  <c r="AJ154" i="10"/>
  <c r="AJ155" i="10"/>
  <c r="AJ156" i="10"/>
  <c r="AJ157" i="10"/>
  <c r="AJ158" i="10"/>
  <c r="AJ159" i="10"/>
  <c r="AJ160" i="10"/>
  <c r="AJ161" i="10"/>
  <c r="AI127" i="10"/>
  <c r="AI128" i="10"/>
  <c r="AI129" i="10"/>
  <c r="AI130" i="10"/>
  <c r="AI131" i="10"/>
  <c r="AI132" i="10"/>
  <c r="AI133" i="10"/>
  <c r="AI134" i="10"/>
  <c r="AI135" i="10"/>
  <c r="AI136" i="10"/>
  <c r="AI137" i="10"/>
  <c r="AI138" i="10"/>
  <c r="AI139" i="10"/>
  <c r="AI140" i="10"/>
  <c r="AI141" i="10"/>
  <c r="AI142" i="10"/>
  <c r="AI143" i="10"/>
  <c r="AI144" i="10"/>
  <c r="AI145" i="10"/>
  <c r="AI146" i="10"/>
  <c r="AI147" i="10"/>
  <c r="AI148" i="10"/>
  <c r="AI149" i="10"/>
  <c r="AI150" i="10"/>
  <c r="AI151" i="10"/>
  <c r="AI152" i="10"/>
  <c r="AI153" i="10"/>
  <c r="AI154" i="10"/>
  <c r="AI155" i="10"/>
  <c r="AI156" i="10"/>
  <c r="AI157" i="10"/>
  <c r="AI158" i="10"/>
  <c r="AI159" i="10"/>
  <c r="AI160" i="10"/>
  <c r="AI161" i="10"/>
  <c r="AH127" i="10"/>
  <c r="AH128" i="10"/>
  <c r="AH129" i="10"/>
  <c r="AH130" i="10"/>
  <c r="AH131" i="10"/>
  <c r="AH132" i="10"/>
  <c r="AH133" i="10"/>
  <c r="AH134" i="10"/>
  <c r="AH135" i="10"/>
  <c r="AH136" i="10"/>
  <c r="AH137" i="10"/>
  <c r="AH138" i="10"/>
  <c r="AH139" i="10"/>
  <c r="AH140" i="10"/>
  <c r="AH141" i="10"/>
  <c r="AH142" i="10"/>
  <c r="AH143" i="10"/>
  <c r="AH144" i="10"/>
  <c r="AH145" i="10"/>
  <c r="AH146" i="10"/>
  <c r="AH147" i="10"/>
  <c r="AH148" i="10"/>
  <c r="AH149" i="10"/>
  <c r="AH150" i="10"/>
  <c r="AH151" i="10"/>
  <c r="AH152" i="10"/>
  <c r="AH153" i="10"/>
  <c r="AH154" i="10"/>
  <c r="AH155" i="10"/>
  <c r="AH156" i="10"/>
  <c r="AH157" i="10"/>
  <c r="AH158" i="10"/>
  <c r="AH159" i="10"/>
  <c r="AH160" i="10"/>
  <c r="AH161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E127" i="10"/>
  <c r="AE128" i="10"/>
  <c r="AE129" i="10"/>
  <c r="AE130" i="10"/>
  <c r="AE131" i="10"/>
  <c r="AE132" i="10"/>
  <c r="AE133" i="10"/>
  <c r="AE134" i="10"/>
  <c r="AE135" i="10"/>
  <c r="AE136" i="10"/>
  <c r="AE137" i="10"/>
  <c r="AE138" i="10"/>
  <c r="AE139" i="10"/>
  <c r="AE140" i="10"/>
  <c r="AE141" i="10"/>
  <c r="AE142" i="10"/>
  <c r="AE143" i="10"/>
  <c r="AE144" i="10"/>
  <c r="AE145" i="10"/>
  <c r="AE146" i="10"/>
  <c r="AE147" i="10"/>
  <c r="AE148" i="10"/>
  <c r="AE149" i="10"/>
  <c r="AE150" i="10"/>
  <c r="AE151" i="10"/>
  <c r="AE152" i="10"/>
  <c r="AE153" i="10"/>
  <c r="AE154" i="10"/>
  <c r="AE155" i="10"/>
  <c r="AE156" i="10"/>
  <c r="AE157" i="10"/>
  <c r="AE158" i="10"/>
  <c r="AE159" i="10"/>
  <c r="AE160" i="10"/>
  <c r="AE161" i="10"/>
  <c r="AD127" i="10"/>
  <c r="AD128" i="10"/>
  <c r="AD129" i="10"/>
  <c r="AD130" i="10"/>
  <c r="AD131" i="10"/>
  <c r="AD132" i="10"/>
  <c r="AD133" i="10"/>
  <c r="AD134" i="10"/>
  <c r="AD135" i="10"/>
  <c r="AD136" i="10"/>
  <c r="AD137" i="10"/>
  <c r="AD138" i="10"/>
  <c r="AD139" i="10"/>
  <c r="AD140" i="10"/>
  <c r="AD141" i="10"/>
  <c r="AD142" i="10"/>
  <c r="AD143" i="10"/>
  <c r="AD144" i="10"/>
  <c r="AD145" i="10"/>
  <c r="AD146" i="10"/>
  <c r="AD147" i="10"/>
  <c r="AD148" i="10"/>
  <c r="AD149" i="10"/>
  <c r="AD150" i="10"/>
  <c r="AD151" i="10"/>
  <c r="AD152" i="10"/>
  <c r="AD153" i="10"/>
  <c r="AD154" i="10"/>
  <c r="AD155" i="10"/>
  <c r="AD156" i="10"/>
  <c r="AD157" i="10"/>
  <c r="AD158" i="10"/>
  <c r="AD159" i="10"/>
  <c r="AD160" i="10"/>
  <c r="AD161" i="10"/>
  <c r="AC127" i="10"/>
  <c r="AC128" i="10"/>
  <c r="AC129" i="10"/>
  <c r="AC130" i="10"/>
  <c r="AC131" i="10"/>
  <c r="AC132" i="10"/>
  <c r="AC133" i="10"/>
  <c r="AC134" i="10"/>
  <c r="AC135" i="10"/>
  <c r="AC136" i="10"/>
  <c r="AC137" i="10"/>
  <c r="AC138" i="10"/>
  <c r="AC139" i="10"/>
  <c r="AC140" i="10"/>
  <c r="AC141" i="10"/>
  <c r="AC142" i="10"/>
  <c r="AC143" i="10"/>
  <c r="AC144" i="10"/>
  <c r="AC145" i="10"/>
  <c r="AC146" i="10"/>
  <c r="AC147" i="10"/>
  <c r="AC148" i="10"/>
  <c r="AC149" i="10"/>
  <c r="AC150" i="10"/>
  <c r="AC151" i="10"/>
  <c r="AC152" i="10"/>
  <c r="AC153" i="10"/>
  <c r="AC154" i="10"/>
  <c r="AC155" i="10"/>
  <c r="AC156" i="10"/>
  <c r="AC157" i="10"/>
  <c r="AC158" i="10"/>
  <c r="AC159" i="10"/>
  <c r="AC160" i="10"/>
  <c r="AC161" i="10"/>
  <c r="AB127" i="10"/>
  <c r="AB128" i="10"/>
  <c r="AB129" i="10"/>
  <c r="AB130" i="10"/>
  <c r="AB131" i="10"/>
  <c r="AB132" i="10"/>
  <c r="AB133" i="10"/>
  <c r="AB134" i="10"/>
  <c r="AB135" i="10"/>
  <c r="AB136" i="10"/>
  <c r="AB137" i="10"/>
  <c r="AB138" i="10"/>
  <c r="AB139" i="10"/>
  <c r="AB140" i="10"/>
  <c r="AB141" i="10"/>
  <c r="AB142" i="10"/>
  <c r="AB143" i="10"/>
  <c r="AB144" i="10"/>
  <c r="AB145" i="10"/>
  <c r="AB146" i="10"/>
  <c r="AB147" i="10"/>
  <c r="AB148" i="10"/>
  <c r="AB149" i="10"/>
  <c r="AB150" i="10"/>
  <c r="AB151" i="10"/>
  <c r="AB152" i="10"/>
  <c r="AB153" i="10"/>
  <c r="AB154" i="10"/>
  <c r="AB155" i="10"/>
  <c r="AB156" i="10"/>
  <c r="AB157" i="10"/>
  <c r="AB158" i="10"/>
  <c r="AB159" i="10"/>
  <c r="AB160" i="10"/>
  <c r="AB161" i="10"/>
  <c r="AA127" i="10"/>
  <c r="AA128" i="10"/>
  <c r="AA129" i="10"/>
  <c r="AA130" i="10"/>
  <c r="AA131" i="10"/>
  <c r="AA132" i="10"/>
  <c r="AA133" i="10"/>
  <c r="AA134" i="10"/>
  <c r="AA135" i="10"/>
  <c r="AA136" i="10"/>
  <c r="AA137" i="10"/>
  <c r="AA138" i="10"/>
  <c r="AA139" i="10"/>
  <c r="AA140" i="10"/>
  <c r="AA141" i="10"/>
  <c r="AA142" i="10"/>
  <c r="AA143" i="10"/>
  <c r="AA144" i="10"/>
  <c r="AA145" i="10"/>
  <c r="AA146" i="10"/>
  <c r="AA147" i="10"/>
  <c r="AA148" i="10"/>
  <c r="AA149" i="10"/>
  <c r="AA150" i="10"/>
  <c r="AA151" i="10"/>
  <c r="AA152" i="10"/>
  <c r="AA153" i="10"/>
  <c r="AA154" i="10"/>
  <c r="AA155" i="10"/>
  <c r="AA156" i="10"/>
  <c r="AA157" i="10"/>
  <c r="AA158" i="10"/>
  <c r="AA159" i="10"/>
  <c r="AA160" i="10"/>
  <c r="AA161" i="10"/>
  <c r="Z127" i="10"/>
  <c r="Z128" i="10"/>
  <c r="Z129" i="10"/>
  <c r="Z130" i="10"/>
  <c r="Z131" i="10"/>
  <c r="Z132" i="10"/>
  <c r="Z133" i="10"/>
  <c r="Z134" i="10"/>
  <c r="Z135" i="10"/>
  <c r="Z136" i="10"/>
  <c r="Z137" i="10"/>
  <c r="Z138" i="10"/>
  <c r="Z139" i="10"/>
  <c r="Z140" i="10"/>
  <c r="Z141" i="10"/>
  <c r="Z142" i="10"/>
  <c r="Z143" i="10"/>
  <c r="Z144" i="10"/>
  <c r="Z145" i="10"/>
  <c r="Z146" i="10"/>
  <c r="Z147" i="10"/>
  <c r="Z148" i="10"/>
  <c r="Z149" i="10"/>
  <c r="Z150" i="10"/>
  <c r="Z151" i="10"/>
  <c r="Z152" i="10"/>
  <c r="Z153" i="10"/>
  <c r="Z154" i="10"/>
  <c r="Z155" i="10"/>
  <c r="Z156" i="10"/>
  <c r="Z157" i="10"/>
  <c r="Z158" i="10"/>
  <c r="Z159" i="10"/>
  <c r="Z160" i="10"/>
  <c r="Z161" i="10"/>
  <c r="Y127" i="10"/>
  <c r="Y128" i="10"/>
  <c r="Y129" i="10"/>
  <c r="Y130" i="10"/>
  <c r="Y131" i="10"/>
  <c r="Y132" i="10"/>
  <c r="Y133" i="10"/>
  <c r="Y134" i="10"/>
  <c r="Y135" i="10"/>
  <c r="Y136" i="10"/>
  <c r="Y137" i="10"/>
  <c r="Y138" i="10"/>
  <c r="Y139" i="10"/>
  <c r="Y140" i="10"/>
  <c r="Y141" i="10"/>
  <c r="Y142" i="10"/>
  <c r="Y143" i="10"/>
  <c r="Y144" i="10"/>
  <c r="Y145" i="10"/>
  <c r="Y146" i="10"/>
  <c r="Y147" i="10"/>
  <c r="Y148" i="10"/>
  <c r="Y149" i="10"/>
  <c r="Y150" i="10"/>
  <c r="Y151" i="10"/>
  <c r="Y152" i="10"/>
  <c r="Y153" i="10"/>
  <c r="Y154" i="10"/>
  <c r="Y155" i="10"/>
  <c r="Y156" i="10"/>
  <c r="Y157" i="10"/>
  <c r="Y158" i="10"/>
  <c r="Y159" i="10"/>
  <c r="Y160" i="10"/>
  <c r="Y161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X156" i="10"/>
  <c r="X157" i="10"/>
  <c r="X158" i="10"/>
  <c r="X159" i="10"/>
  <c r="X160" i="10"/>
  <c r="X161" i="10"/>
  <c r="W127" i="10"/>
  <c r="W128" i="10"/>
  <c r="W129" i="10"/>
  <c r="W130" i="10"/>
  <c r="W131" i="10"/>
  <c r="W132" i="10"/>
  <c r="W133" i="10"/>
  <c r="W134" i="10"/>
  <c r="W135" i="10"/>
  <c r="W136" i="10"/>
  <c r="W137" i="10"/>
  <c r="W138" i="10"/>
  <c r="W139" i="10"/>
  <c r="W140" i="10"/>
  <c r="W141" i="10"/>
  <c r="W142" i="10"/>
  <c r="W143" i="10"/>
  <c r="W144" i="10"/>
  <c r="W145" i="10"/>
  <c r="W146" i="10"/>
  <c r="W147" i="10"/>
  <c r="W148" i="10"/>
  <c r="W149" i="10"/>
  <c r="W150" i="10"/>
  <c r="W151" i="10"/>
  <c r="W152" i="10"/>
  <c r="W153" i="10"/>
  <c r="W154" i="10"/>
  <c r="W155" i="10"/>
  <c r="W156" i="10"/>
  <c r="W157" i="10"/>
  <c r="W158" i="10"/>
  <c r="W159" i="10"/>
  <c r="W160" i="10"/>
  <c r="W161" i="10"/>
  <c r="V127" i="10"/>
  <c r="V128" i="10"/>
  <c r="V129" i="10"/>
  <c r="V130" i="10"/>
  <c r="V131" i="10"/>
  <c r="V132" i="10"/>
  <c r="V133" i="10"/>
  <c r="V134" i="10"/>
  <c r="V135" i="10"/>
  <c r="V136" i="10"/>
  <c r="V137" i="10"/>
  <c r="V138" i="10"/>
  <c r="V139" i="10"/>
  <c r="V140" i="10"/>
  <c r="V141" i="10"/>
  <c r="V142" i="10"/>
  <c r="V143" i="10"/>
  <c r="V144" i="10"/>
  <c r="V145" i="10"/>
  <c r="V146" i="10"/>
  <c r="V147" i="10"/>
  <c r="V148" i="10"/>
  <c r="V149" i="10"/>
  <c r="V150" i="10"/>
  <c r="V151" i="10"/>
  <c r="V152" i="10"/>
  <c r="V153" i="10"/>
  <c r="V154" i="10"/>
  <c r="V155" i="10"/>
  <c r="V156" i="10"/>
  <c r="V157" i="10"/>
  <c r="V158" i="10"/>
  <c r="V159" i="10"/>
  <c r="V160" i="10"/>
  <c r="V161" i="10"/>
  <c r="U127" i="10"/>
  <c r="U128" i="10"/>
  <c r="U129" i="10"/>
  <c r="U130" i="10"/>
  <c r="U131" i="10"/>
  <c r="U132" i="10"/>
  <c r="U133" i="10"/>
  <c r="U134" i="10"/>
  <c r="U135" i="10"/>
  <c r="U136" i="10"/>
  <c r="U137" i="10"/>
  <c r="U138" i="10"/>
  <c r="U139" i="10"/>
  <c r="U140" i="10"/>
  <c r="U141" i="10"/>
  <c r="U142" i="10"/>
  <c r="U143" i="10"/>
  <c r="U144" i="10"/>
  <c r="U145" i="10"/>
  <c r="U146" i="10"/>
  <c r="U147" i="10"/>
  <c r="U148" i="10"/>
  <c r="U149" i="10"/>
  <c r="U150" i="10"/>
  <c r="U151" i="10"/>
  <c r="U152" i="10"/>
  <c r="U153" i="10"/>
  <c r="U154" i="10"/>
  <c r="U155" i="10"/>
  <c r="U156" i="10"/>
  <c r="U157" i="10"/>
  <c r="U158" i="10"/>
  <c r="U159" i="10"/>
  <c r="U160" i="10"/>
  <c r="U161" i="10"/>
  <c r="T127" i="10"/>
  <c r="T128" i="10"/>
  <c r="T129" i="10"/>
  <c r="T130" i="10"/>
  <c r="T131" i="10"/>
  <c r="T132" i="10"/>
  <c r="T133" i="10"/>
  <c r="T134" i="10"/>
  <c r="T135" i="10"/>
  <c r="T136" i="10"/>
  <c r="T137" i="10"/>
  <c r="T138" i="10"/>
  <c r="T139" i="10"/>
  <c r="T140" i="10"/>
  <c r="T141" i="10"/>
  <c r="T142" i="10"/>
  <c r="T143" i="10"/>
  <c r="T144" i="10"/>
  <c r="T145" i="10"/>
  <c r="T146" i="10"/>
  <c r="T147" i="10"/>
  <c r="T148" i="10"/>
  <c r="T149" i="10"/>
  <c r="T150" i="10"/>
  <c r="T151" i="10"/>
  <c r="T152" i="10"/>
  <c r="T153" i="10"/>
  <c r="T154" i="10"/>
  <c r="T155" i="10"/>
  <c r="T156" i="10"/>
  <c r="T157" i="10"/>
  <c r="T158" i="10"/>
  <c r="T159" i="10"/>
  <c r="T160" i="10"/>
  <c r="T161" i="10"/>
  <c r="S127" i="10"/>
  <c r="S128" i="10"/>
  <c r="S129" i="10"/>
  <c r="S130" i="10"/>
  <c r="S131" i="10"/>
  <c r="S132" i="10"/>
  <c r="S133" i="10"/>
  <c r="S134" i="10"/>
  <c r="S135" i="10"/>
  <c r="S136" i="10"/>
  <c r="S137" i="10"/>
  <c r="S138" i="10"/>
  <c r="S139" i="10"/>
  <c r="S140" i="10"/>
  <c r="S141" i="10"/>
  <c r="S142" i="10"/>
  <c r="S143" i="10"/>
  <c r="S144" i="10"/>
  <c r="S145" i="10"/>
  <c r="S146" i="10"/>
  <c r="S147" i="10"/>
  <c r="S148" i="10"/>
  <c r="S149" i="10"/>
  <c r="S150" i="10"/>
  <c r="S151" i="10"/>
  <c r="S152" i="10"/>
  <c r="S153" i="10"/>
  <c r="S154" i="10"/>
  <c r="S155" i="10"/>
  <c r="S156" i="10"/>
  <c r="S157" i="10"/>
  <c r="S158" i="10"/>
  <c r="S159" i="10"/>
  <c r="S160" i="10"/>
  <c r="S161" i="10"/>
  <c r="R127" i="10"/>
  <c r="R128" i="10"/>
  <c r="R129" i="10"/>
  <c r="R130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46" i="10"/>
  <c r="R147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R160" i="10"/>
  <c r="R161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P127" i="10"/>
  <c r="P128" i="10"/>
  <c r="P129" i="10"/>
  <c r="P130" i="10"/>
  <c r="P131" i="10"/>
  <c r="P132" i="10"/>
  <c r="P133" i="10"/>
  <c r="P134" i="10"/>
  <c r="P135" i="10"/>
  <c r="P136" i="10"/>
  <c r="P137" i="10"/>
  <c r="P138" i="10"/>
  <c r="P139" i="10"/>
  <c r="P140" i="10"/>
  <c r="P141" i="10"/>
  <c r="P142" i="10"/>
  <c r="P143" i="10"/>
  <c r="P144" i="10"/>
  <c r="P145" i="10"/>
  <c r="P146" i="10"/>
  <c r="P147" i="10"/>
  <c r="P148" i="10"/>
  <c r="P149" i="10"/>
  <c r="P150" i="10"/>
  <c r="P151" i="10"/>
  <c r="P152" i="10"/>
  <c r="P153" i="10"/>
  <c r="P154" i="10"/>
  <c r="P155" i="10"/>
  <c r="P156" i="10"/>
  <c r="P157" i="10"/>
  <c r="P158" i="10"/>
  <c r="P159" i="10"/>
  <c r="P160" i="10"/>
  <c r="P161" i="10"/>
  <c r="O127" i="10"/>
  <c r="O128" i="10"/>
  <c r="O129" i="10"/>
  <c r="O130" i="10"/>
  <c r="O131" i="10"/>
  <c r="O132" i="10"/>
  <c r="O133" i="10"/>
  <c r="O134" i="10"/>
  <c r="O135" i="10"/>
  <c r="O136" i="10"/>
  <c r="O137" i="10"/>
  <c r="O138" i="10"/>
  <c r="O139" i="10"/>
  <c r="O140" i="10"/>
  <c r="O141" i="10"/>
  <c r="O142" i="10"/>
  <c r="O143" i="10"/>
  <c r="O144" i="10"/>
  <c r="O145" i="10"/>
  <c r="O146" i="10"/>
  <c r="O147" i="10"/>
  <c r="O148" i="10"/>
  <c r="O149" i="10"/>
  <c r="O150" i="10"/>
  <c r="O151" i="10"/>
  <c r="O152" i="10"/>
  <c r="O153" i="10"/>
  <c r="O154" i="10"/>
  <c r="O155" i="10"/>
  <c r="O156" i="10"/>
  <c r="O157" i="10"/>
  <c r="O158" i="10"/>
  <c r="O159" i="10"/>
  <c r="O160" i="10"/>
  <c r="O161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AE256" i="14"/>
  <c r="H256" i="14"/>
  <c r="AM186" i="14"/>
  <c r="AL194" i="14"/>
  <c r="AK184" i="14"/>
  <c r="AK174" i="14"/>
  <c r="AJ195" i="14"/>
  <c r="AJ193" i="14"/>
  <c r="AJ185" i="14"/>
  <c r="AJ179" i="14"/>
  <c r="AJ176" i="14"/>
  <c r="AI198" i="14"/>
  <c r="AI195" i="14"/>
  <c r="AI190" i="14"/>
  <c r="AI187" i="14"/>
  <c r="AI182" i="14"/>
  <c r="AI179" i="14"/>
  <c r="AG186" i="14"/>
  <c r="AF196" i="14"/>
  <c r="AE194" i="14"/>
  <c r="AE201" i="14"/>
  <c r="AE192" i="14"/>
  <c r="AE184" i="14"/>
  <c r="AE178" i="14"/>
  <c r="AE176" i="14"/>
  <c r="AE175" i="14"/>
  <c r="AD194" i="14"/>
  <c r="AC184" i="14"/>
  <c r="AC181" i="14"/>
  <c r="AB185" i="14"/>
  <c r="AB195" i="14"/>
  <c r="AB192" i="14"/>
  <c r="AA198" i="14"/>
  <c r="Z191" i="14"/>
  <c r="Y196" i="14"/>
  <c r="Y178" i="14"/>
  <c r="X196" i="14"/>
  <c r="X189" i="14"/>
  <c r="X183" i="14"/>
  <c r="X180" i="14"/>
  <c r="X175" i="14"/>
  <c r="W184" i="14"/>
  <c r="W194" i="14"/>
  <c r="W191" i="14"/>
  <c r="W186" i="14"/>
  <c r="W183" i="14"/>
  <c r="V197" i="14"/>
  <c r="U192" i="14"/>
  <c r="T193" i="14"/>
  <c r="T177" i="14"/>
  <c r="S190" i="14"/>
  <c r="S196" i="14"/>
  <c r="S188" i="14"/>
  <c r="S182" i="14"/>
  <c r="S180" i="14"/>
  <c r="S179" i="14"/>
  <c r="S174" i="14"/>
  <c r="R198" i="14"/>
  <c r="Q188" i="14"/>
  <c r="Q185" i="14"/>
  <c r="P189" i="14"/>
  <c r="P196" i="14"/>
  <c r="O194" i="14"/>
  <c r="O176" i="14"/>
  <c r="M176" i="14"/>
  <c r="M182" i="14"/>
  <c r="L177" i="14"/>
  <c r="L193" i="14"/>
  <c r="L187" i="14"/>
  <c r="L184" i="14"/>
  <c r="L179" i="14"/>
  <c r="L176" i="14"/>
  <c r="K205" i="14"/>
  <c r="K198" i="14"/>
  <c r="K195" i="14"/>
  <c r="K190" i="14"/>
  <c r="K187" i="14"/>
  <c r="J175" i="14"/>
  <c r="I194" i="14"/>
  <c r="H196" i="14"/>
  <c r="H181" i="14"/>
  <c r="E174" i="14"/>
  <c r="E192" i="14"/>
  <c r="E189" i="14"/>
  <c r="AL240" i="14"/>
  <c r="AJ215" i="14"/>
  <c r="L223" i="14"/>
  <c r="AM222" i="14"/>
  <c r="AI226" i="14"/>
  <c r="AG224" i="14"/>
  <c r="AC228" i="14"/>
  <c r="AB215" i="14"/>
  <c r="AA226" i="14"/>
  <c r="W230" i="14"/>
  <c r="V217" i="14"/>
  <c r="R221" i="14"/>
  <c r="O230" i="14"/>
  <c r="N245" i="14"/>
  <c r="K234" i="14"/>
  <c r="I232" i="14"/>
  <c r="I236" i="14"/>
  <c r="AL146" i="14"/>
  <c r="AK139" i="14"/>
  <c r="AI111" i="14"/>
  <c r="AJ14" i="14" s="1"/>
  <c r="AD152" i="14"/>
  <c r="AC134" i="14"/>
  <c r="AB134" i="14"/>
  <c r="V136" i="14"/>
  <c r="U152" i="14"/>
  <c r="S111" i="14"/>
  <c r="T14" i="14" s="1"/>
  <c r="N144" i="14"/>
  <c r="M167" i="14"/>
  <c r="L160" i="14"/>
  <c r="E134" i="14"/>
  <c r="C111" i="14"/>
  <c r="D14" i="14" s="1"/>
  <c r="AM155" i="14"/>
  <c r="AM157" i="14"/>
  <c r="AM154" i="14"/>
  <c r="AM151" i="14"/>
  <c r="AM149" i="14"/>
  <c r="AM146" i="14"/>
  <c r="AM143" i="14"/>
  <c r="AM141" i="14"/>
  <c r="AM138" i="14"/>
  <c r="AM135" i="14"/>
  <c r="AM133" i="14"/>
  <c r="AL111" i="14"/>
  <c r="AM14" i="14" s="1"/>
  <c r="AL155" i="14"/>
  <c r="AK153" i="14"/>
  <c r="AK157" i="14"/>
  <c r="AK149" i="14"/>
  <c r="AK141" i="14"/>
  <c r="AK133" i="14"/>
  <c r="AJ151" i="14"/>
  <c r="AJ162" i="14"/>
  <c r="AJ155" i="14"/>
  <c r="AJ152" i="14"/>
  <c r="AJ147" i="14"/>
  <c r="AJ144" i="14"/>
  <c r="AJ139" i="14"/>
  <c r="AJ136" i="14"/>
  <c r="AI163" i="14"/>
  <c r="AI165" i="14"/>
  <c r="AI162" i="14"/>
  <c r="AI158" i="14"/>
  <c r="AI155" i="14"/>
  <c r="AI153" i="14"/>
  <c r="AI150" i="14"/>
  <c r="AI147" i="14"/>
  <c r="AI145" i="14"/>
  <c r="AI142" i="14"/>
  <c r="AI139" i="14"/>
  <c r="AI137" i="14"/>
  <c r="AI134" i="14"/>
  <c r="AH152" i="14"/>
  <c r="AG160" i="14"/>
  <c r="AG153" i="14"/>
  <c r="AG145" i="14"/>
  <c r="AG137" i="14"/>
  <c r="AF158" i="14"/>
  <c r="AF156" i="14"/>
  <c r="AF151" i="14"/>
  <c r="AF148" i="14"/>
  <c r="AF143" i="14"/>
  <c r="AF140" i="14"/>
  <c r="AF135" i="14"/>
  <c r="AE166" i="14"/>
  <c r="AE167" i="14"/>
  <c r="AE161" i="14"/>
  <c r="AE159" i="14"/>
  <c r="AE157" i="14"/>
  <c r="AE154" i="14"/>
  <c r="AE151" i="14"/>
  <c r="AE149" i="14"/>
  <c r="AE146" i="14"/>
  <c r="AE143" i="14"/>
  <c r="AE141" i="14"/>
  <c r="AE138" i="14"/>
  <c r="AE135" i="14"/>
  <c r="AE133" i="14"/>
  <c r="AD111" i="14"/>
  <c r="AE14" i="14" s="1"/>
  <c r="AD155" i="14"/>
  <c r="AC153" i="14"/>
  <c r="AC167" i="14"/>
  <c r="AC164" i="14"/>
  <c r="AC157" i="14"/>
  <c r="AC149" i="14"/>
  <c r="AC141" i="14"/>
  <c r="AC133" i="14"/>
  <c r="AB151" i="14"/>
  <c r="AB159" i="14"/>
  <c r="AB155" i="14"/>
  <c r="AB152" i="14"/>
  <c r="AB147" i="14"/>
  <c r="AB144" i="14"/>
  <c r="AB139" i="14"/>
  <c r="AB136" i="14"/>
  <c r="AA157" i="14"/>
  <c r="AA158" i="14"/>
  <c r="AA155" i="14"/>
  <c r="AA153" i="14"/>
  <c r="AA150" i="14"/>
  <c r="AA147" i="14"/>
  <c r="AA145" i="14"/>
  <c r="AA142" i="14"/>
  <c r="AA139" i="14"/>
  <c r="AA137" i="14"/>
  <c r="AA134" i="14"/>
  <c r="Z151" i="14"/>
  <c r="Y152" i="14"/>
  <c r="Y161" i="14"/>
  <c r="Y160" i="14"/>
  <c r="Y153" i="14"/>
  <c r="Y145" i="14"/>
  <c r="Y137" i="14"/>
  <c r="X157" i="14"/>
  <c r="X166" i="14"/>
  <c r="X163" i="14"/>
  <c r="X156" i="14"/>
  <c r="X151" i="14"/>
  <c r="X148" i="14"/>
  <c r="X143" i="14"/>
  <c r="X140" i="14"/>
  <c r="X135" i="14"/>
  <c r="W167" i="14"/>
  <c r="W166" i="14"/>
  <c r="W157" i="14"/>
  <c r="W154" i="14"/>
  <c r="W151" i="14"/>
  <c r="W149" i="14"/>
  <c r="W146" i="14"/>
  <c r="W143" i="14"/>
  <c r="W141" i="14"/>
  <c r="W138" i="14"/>
  <c r="W135" i="14"/>
  <c r="W133" i="14"/>
  <c r="V111" i="14"/>
  <c r="W14" i="14" s="1"/>
  <c r="V155" i="14"/>
  <c r="U153" i="14"/>
  <c r="U157" i="14"/>
  <c r="U149" i="14"/>
  <c r="U141" i="14"/>
  <c r="U133" i="14"/>
  <c r="T151" i="14"/>
  <c r="T155" i="14"/>
  <c r="T152" i="14"/>
  <c r="T147" i="14"/>
  <c r="T144" i="14"/>
  <c r="T139" i="14"/>
  <c r="T136" i="14"/>
  <c r="S157" i="14"/>
  <c r="S165" i="14"/>
  <c r="S163" i="14"/>
  <c r="S162" i="14"/>
  <c r="S158" i="14"/>
  <c r="S155" i="14"/>
  <c r="S153" i="14"/>
  <c r="S150" i="14"/>
  <c r="S147" i="14"/>
  <c r="S145" i="14"/>
  <c r="S142" i="14"/>
  <c r="S139" i="14"/>
  <c r="S137" i="14"/>
  <c r="S134" i="14"/>
  <c r="R154" i="14"/>
  <c r="Q154" i="14"/>
  <c r="Q153" i="14"/>
  <c r="Q145" i="14"/>
  <c r="Q137" i="14"/>
  <c r="P155" i="14"/>
  <c r="P159" i="14"/>
  <c r="P156" i="14"/>
  <c r="P151" i="14"/>
  <c r="P148" i="14"/>
  <c r="P143" i="14"/>
  <c r="P140" i="14"/>
  <c r="P135" i="14"/>
  <c r="O161" i="14"/>
  <c r="O159" i="14"/>
  <c r="O157" i="14"/>
  <c r="O154" i="14"/>
  <c r="O151" i="14"/>
  <c r="O149" i="14"/>
  <c r="O146" i="14"/>
  <c r="O143" i="14"/>
  <c r="O141" i="14"/>
  <c r="O138" i="14"/>
  <c r="O135" i="14"/>
  <c r="O133" i="14"/>
  <c r="N111" i="14"/>
  <c r="O14" i="14" s="1"/>
  <c r="N164" i="14"/>
  <c r="M153" i="14"/>
  <c r="M165" i="14"/>
  <c r="M157" i="14"/>
  <c r="M149" i="14"/>
  <c r="M141" i="14"/>
  <c r="M133" i="14"/>
  <c r="L159" i="14"/>
  <c r="L167" i="14"/>
  <c r="L162" i="14"/>
  <c r="L155" i="14"/>
  <c r="L152" i="14"/>
  <c r="L147" i="14"/>
  <c r="L144" i="14"/>
  <c r="L139" i="14"/>
  <c r="L136" i="14"/>
  <c r="K157" i="14"/>
  <c r="K158" i="14"/>
  <c r="K155" i="14"/>
  <c r="K153" i="14"/>
  <c r="K150" i="14"/>
  <c r="K147" i="14"/>
  <c r="K145" i="14"/>
  <c r="K142" i="14"/>
  <c r="K139" i="14"/>
  <c r="K137" i="14"/>
  <c r="K134" i="14"/>
  <c r="I155" i="14"/>
  <c r="I160" i="14"/>
  <c r="I153" i="14"/>
  <c r="I145" i="14"/>
  <c r="I137" i="14"/>
  <c r="H152" i="14"/>
  <c r="H164" i="14"/>
  <c r="H159" i="14"/>
  <c r="H156" i="14"/>
  <c r="H151" i="14"/>
  <c r="H148" i="14"/>
  <c r="H143" i="14"/>
  <c r="H140" i="14"/>
  <c r="H135" i="14"/>
  <c r="E153" i="14"/>
  <c r="E157" i="14"/>
  <c r="E149" i="14"/>
  <c r="E141" i="14"/>
  <c r="E133" i="14"/>
  <c r="F52" i="27"/>
  <c r="R30" i="21" s="1"/>
  <c r="V289" i="14"/>
  <c r="V281" i="14"/>
  <c r="V273" i="14"/>
  <c r="V286" i="14"/>
  <c r="V278" i="14"/>
  <c r="V288" i="14"/>
  <c r="V280" i="14"/>
  <c r="V272" i="14"/>
  <c r="V285" i="14"/>
  <c r="V277" i="14"/>
  <c r="V282" i="14"/>
  <c r="V274" i="14"/>
  <c r="V287" i="14"/>
  <c r="V284" i="14"/>
  <c r="V266" i="14"/>
  <c r="V279" i="14"/>
  <c r="V276" i="14"/>
  <c r="V263" i="14"/>
  <c r="V271" i="14"/>
  <c r="V268" i="14"/>
  <c r="V260" i="14"/>
  <c r="V265" i="14"/>
  <c r="V270" i="14"/>
  <c r="V262" i="14"/>
  <c r="V275" i="14"/>
  <c r="V264" i="14"/>
  <c r="V269" i="14"/>
  <c r="V256" i="14"/>
  <c r="V283" i="14"/>
  <c r="V259" i="14"/>
  <c r="V255" i="14"/>
  <c r="V267" i="14"/>
  <c r="V258" i="14"/>
  <c r="V257" i="14"/>
  <c r="V261" i="14"/>
  <c r="N201" i="14"/>
  <c r="N206" i="14"/>
  <c r="N203" i="14"/>
  <c r="N208" i="14"/>
  <c r="N200" i="14"/>
  <c r="N205" i="14"/>
  <c r="N202" i="14"/>
  <c r="N207" i="14"/>
  <c r="N199" i="14"/>
  <c r="N191" i="14"/>
  <c r="N183" i="14"/>
  <c r="N175" i="14"/>
  <c r="N196" i="14"/>
  <c r="N188" i="14"/>
  <c r="N180" i="14"/>
  <c r="N193" i="14"/>
  <c r="N185" i="14"/>
  <c r="N177" i="14"/>
  <c r="N204" i="14"/>
  <c r="N198" i="14"/>
  <c r="N190" i="14"/>
  <c r="N182" i="14"/>
  <c r="N174" i="14"/>
  <c r="N192" i="14"/>
  <c r="N184" i="14"/>
  <c r="N176" i="14"/>
  <c r="AH246" i="14"/>
  <c r="AH238" i="14"/>
  <c r="AH243" i="14"/>
  <c r="AH245" i="14"/>
  <c r="AH237" i="14"/>
  <c r="AH242" i="14"/>
  <c r="AH247" i="14"/>
  <c r="AH239" i="14"/>
  <c r="AH248" i="14"/>
  <c r="AH234" i="14"/>
  <c r="AH226" i="14"/>
  <c r="AH218" i="14"/>
  <c r="AH240" i="14"/>
  <c r="AH231" i="14"/>
  <c r="AH223" i="14"/>
  <c r="AH215" i="14"/>
  <c r="AH228" i="14"/>
  <c r="AH220" i="14"/>
  <c r="AH233" i="14"/>
  <c r="AH225" i="14"/>
  <c r="AH217" i="14"/>
  <c r="AH244" i="14"/>
  <c r="AH241" i="14"/>
  <c r="AH230" i="14"/>
  <c r="AH222" i="14"/>
  <c r="AH214" i="14"/>
  <c r="AH236" i="14"/>
  <c r="AH235" i="14"/>
  <c r="AH227" i="14"/>
  <c r="AH219" i="14"/>
  <c r="AH232" i="14"/>
  <c r="AH224" i="14"/>
  <c r="AH216" i="14"/>
  <c r="AH229" i="14"/>
  <c r="AH221" i="14"/>
  <c r="J162" i="14"/>
  <c r="J167" i="14"/>
  <c r="J164" i="14"/>
  <c r="J161" i="14"/>
  <c r="J163" i="14"/>
  <c r="N146" i="14"/>
  <c r="AH150" i="14"/>
  <c r="R174" i="14"/>
  <c r="AK284" i="14"/>
  <c r="AK276" i="14"/>
  <c r="AK289" i="14"/>
  <c r="AK281" i="14"/>
  <c r="AK273" i="14"/>
  <c r="AK283" i="14"/>
  <c r="AK275" i="14"/>
  <c r="AK288" i="14"/>
  <c r="AK280" i="14"/>
  <c r="AK272" i="14"/>
  <c r="AK285" i="14"/>
  <c r="AK277" i="14"/>
  <c r="AK286" i="14"/>
  <c r="AK269" i="14"/>
  <c r="AK261" i="14"/>
  <c r="AK278" i="14"/>
  <c r="AK266" i="14"/>
  <c r="AK258" i="14"/>
  <c r="AK263" i="14"/>
  <c r="AK287" i="14"/>
  <c r="AK270" i="14"/>
  <c r="AK268" i="14"/>
  <c r="AK260" i="14"/>
  <c r="AK282" i="14"/>
  <c r="AK279" i="14"/>
  <c r="AK265" i="14"/>
  <c r="AK267" i="14"/>
  <c r="AK259" i="14"/>
  <c r="AK264" i="14"/>
  <c r="AK256" i="14"/>
  <c r="AK271" i="14"/>
  <c r="AK255" i="14"/>
  <c r="AK262" i="14"/>
  <c r="AK274" i="14"/>
  <c r="AK257" i="14"/>
  <c r="AC204" i="14"/>
  <c r="AC201" i="14"/>
  <c r="AC206" i="14"/>
  <c r="AC203" i="14"/>
  <c r="AC208" i="14"/>
  <c r="AC200" i="14"/>
  <c r="AC205" i="14"/>
  <c r="AC202" i="14"/>
  <c r="AC194" i="14"/>
  <c r="AC186" i="14"/>
  <c r="AC178" i="14"/>
  <c r="AC191" i="14"/>
  <c r="AC183" i="14"/>
  <c r="AC175" i="14"/>
  <c r="AC196" i="14"/>
  <c r="AC188" i="14"/>
  <c r="AC180" i="14"/>
  <c r="AC193" i="14"/>
  <c r="AC185" i="14"/>
  <c r="AC177" i="14"/>
  <c r="AC207" i="14"/>
  <c r="AC198" i="14"/>
  <c r="AC195" i="14"/>
  <c r="AC187" i="14"/>
  <c r="AC179" i="14"/>
  <c r="Q241" i="14"/>
  <c r="Q246" i="14"/>
  <c r="Q238" i="14"/>
  <c r="Q248" i="14"/>
  <c r="Q240" i="14"/>
  <c r="Q245" i="14"/>
  <c r="Q237" i="14"/>
  <c r="Q242" i="14"/>
  <c r="Q243" i="14"/>
  <c r="Q229" i="14"/>
  <c r="Q221" i="14"/>
  <c r="Q234" i="14"/>
  <c r="Q226" i="14"/>
  <c r="Q218" i="14"/>
  <c r="Q231" i="14"/>
  <c r="Q223" i="14"/>
  <c r="Q215" i="14"/>
  <c r="Q247" i="14"/>
  <c r="Q244" i="14"/>
  <c r="Q228" i="14"/>
  <c r="Q220" i="14"/>
  <c r="Q239" i="14"/>
  <c r="Q236" i="14"/>
  <c r="Q233" i="14"/>
  <c r="Q225" i="14"/>
  <c r="Q217" i="14"/>
  <c r="Q230" i="14"/>
  <c r="Q222" i="14"/>
  <c r="Q214" i="14"/>
  <c r="Q235" i="14"/>
  <c r="Q227" i="14"/>
  <c r="Q219" i="14"/>
  <c r="Q224" i="14"/>
  <c r="Q216" i="14"/>
  <c r="AK136" i="14"/>
  <c r="AH137" i="14"/>
  <c r="I140" i="14"/>
  <c r="AD141" i="14"/>
  <c r="E144" i="14"/>
  <c r="J145" i="14"/>
  <c r="AG148" i="14"/>
  <c r="AK152" i="14"/>
  <c r="AL157" i="14"/>
  <c r="Z160" i="14"/>
  <c r="N162" i="14"/>
  <c r="R165" i="14"/>
  <c r="N179" i="14"/>
  <c r="AK182" i="14"/>
  <c r="M190" i="14"/>
  <c r="Q203" i="14"/>
  <c r="L287" i="14"/>
  <c r="L279" i="14"/>
  <c r="L271" i="14"/>
  <c r="L284" i="14"/>
  <c r="L276" i="14"/>
  <c r="L286" i="14"/>
  <c r="L278" i="14"/>
  <c r="L283" i="14"/>
  <c r="L275" i="14"/>
  <c r="L288" i="14"/>
  <c r="L280" i="14"/>
  <c r="L272" i="14"/>
  <c r="L264" i="14"/>
  <c r="L269" i="14"/>
  <c r="L261" i="14"/>
  <c r="L289" i="14"/>
  <c r="L266" i="14"/>
  <c r="L281" i="14"/>
  <c r="L263" i="14"/>
  <c r="L273" i="14"/>
  <c r="L268" i="14"/>
  <c r="L260" i="14"/>
  <c r="L285" i="14"/>
  <c r="L282" i="14"/>
  <c r="L270" i="14"/>
  <c r="L262" i="14"/>
  <c r="L277" i="14"/>
  <c r="L274" i="14"/>
  <c r="L267" i="14"/>
  <c r="L258" i="14"/>
  <c r="L255" i="14"/>
  <c r="L257" i="14"/>
  <c r="L265" i="14"/>
  <c r="L259" i="14"/>
  <c r="L256" i="14"/>
  <c r="D111" i="14"/>
  <c r="E14" i="14" s="1"/>
  <c r="L134" i="14"/>
  <c r="AG135" i="14"/>
  <c r="AF138" i="14"/>
  <c r="J140" i="14"/>
  <c r="T142" i="14"/>
  <c r="Y143" i="14"/>
  <c r="V144" i="14"/>
  <c r="AL144" i="14"/>
  <c r="X146" i="14"/>
  <c r="AK147" i="14"/>
  <c r="AJ150" i="14"/>
  <c r="V152" i="14"/>
  <c r="E155" i="14"/>
  <c r="R156" i="14"/>
  <c r="AB158" i="14"/>
  <c r="R159" i="14"/>
  <c r="AB160" i="14"/>
  <c r="AL162" i="14"/>
  <c r="AF164" i="14"/>
  <c r="AJ167" i="14"/>
  <c r="AK176" i="14"/>
  <c r="M181" i="14"/>
  <c r="Z183" i="14"/>
  <c r="M184" i="14"/>
  <c r="AJ184" i="14"/>
  <c r="T185" i="14"/>
  <c r="AD186" i="14"/>
  <c r="N187" i="14"/>
  <c r="AJ187" i="14"/>
  <c r="X188" i="14"/>
  <c r="H189" i="14"/>
  <c r="AD189" i="14"/>
  <c r="R190" i="14"/>
  <c r="AK190" i="14"/>
  <c r="L192" i="14"/>
  <c r="R193" i="14"/>
  <c r="Y194" i="14"/>
  <c r="L195" i="14"/>
  <c r="N197" i="14"/>
  <c r="H199" i="14"/>
  <c r="Y203" i="14"/>
  <c r="W136" i="14"/>
  <c r="AE136" i="14"/>
  <c r="AM136" i="14"/>
  <c r="L137" i="14"/>
  <c r="T137" i="14"/>
  <c r="AB137" i="14"/>
  <c r="AJ137" i="14"/>
  <c r="I138" i="14"/>
  <c r="Q138" i="14"/>
  <c r="Y138" i="14"/>
  <c r="AG138" i="14"/>
  <c r="N139" i="14"/>
  <c r="V139" i="14"/>
  <c r="AD139" i="14"/>
  <c r="AL139" i="14"/>
  <c r="K140" i="14"/>
  <c r="S140" i="14"/>
  <c r="AA140" i="14"/>
  <c r="AI140" i="14"/>
  <c r="H141" i="14"/>
  <c r="P141" i="14"/>
  <c r="X141" i="14"/>
  <c r="AF141" i="14"/>
  <c r="E142" i="14"/>
  <c r="M142" i="14"/>
  <c r="U142" i="14"/>
  <c r="AC142" i="14"/>
  <c r="AK142" i="14"/>
  <c r="J143" i="14"/>
  <c r="R143" i="14"/>
  <c r="Z143" i="14"/>
  <c r="AH143" i="14"/>
  <c r="O144" i="14"/>
  <c r="W144" i="14"/>
  <c r="AE144" i="14"/>
  <c r="AM144" i="14"/>
  <c r="L145" i="14"/>
  <c r="T145" i="14"/>
  <c r="AB145" i="14"/>
  <c r="AJ145" i="14"/>
  <c r="I146" i="14"/>
  <c r="Q146" i="14"/>
  <c r="Y146" i="14"/>
  <c r="AG146" i="14"/>
  <c r="N147" i="14"/>
  <c r="V147" i="14"/>
  <c r="AD147" i="14"/>
  <c r="AL147" i="14"/>
  <c r="K148" i="14"/>
  <c r="S148" i="14"/>
  <c r="AA148" i="14"/>
  <c r="AI148" i="14"/>
  <c r="H149" i="14"/>
  <c r="P149" i="14"/>
  <c r="X149" i="14"/>
  <c r="AF149" i="14"/>
  <c r="E150" i="14"/>
  <c r="M150" i="14"/>
  <c r="U150" i="14"/>
  <c r="AC150" i="14"/>
  <c r="AK150" i="14"/>
  <c r="J151" i="14"/>
  <c r="R151" i="14"/>
  <c r="AH151" i="14"/>
  <c r="O152" i="14"/>
  <c r="W152" i="14"/>
  <c r="AE152" i="14"/>
  <c r="AM152" i="14"/>
  <c r="L153" i="14"/>
  <c r="T153" i="14"/>
  <c r="AB153" i="14"/>
  <c r="AJ153" i="14"/>
  <c r="I154" i="14"/>
  <c r="Y154" i="14"/>
  <c r="AG154" i="14"/>
  <c r="N155" i="14"/>
  <c r="K156" i="14"/>
  <c r="S156" i="14"/>
  <c r="AA156" i="14"/>
  <c r="AI156" i="14"/>
  <c r="H157" i="14"/>
  <c r="P157" i="14"/>
  <c r="AF157" i="14"/>
  <c r="E158" i="14"/>
  <c r="M158" i="14"/>
  <c r="U158" i="14"/>
  <c r="AC158" i="14"/>
  <c r="AK158" i="14"/>
  <c r="J159" i="14"/>
  <c r="S159" i="14"/>
  <c r="AI159" i="14"/>
  <c r="P160" i="14"/>
  <c r="AF160" i="14"/>
  <c r="N161" i="14"/>
  <c r="AG161" i="14"/>
  <c r="T162" i="14"/>
  <c r="H163" i="14"/>
  <c r="AA163" i="14"/>
  <c r="AK164" i="14"/>
  <c r="U165" i="14"/>
  <c r="H166" i="14"/>
  <c r="O167" i="14"/>
  <c r="AK167" i="14"/>
  <c r="Z174" i="14"/>
  <c r="AF175" i="14"/>
  <c r="T176" i="14"/>
  <c r="AM176" i="14"/>
  <c r="Z177" i="14"/>
  <c r="N178" i="14"/>
  <c r="AG178" i="14"/>
  <c r="T179" i="14"/>
  <c r="H180" i="14"/>
  <c r="AA180" i="14"/>
  <c r="N181" i="14"/>
  <c r="AK181" i="14"/>
  <c r="U182" i="14"/>
  <c r="H183" i="14"/>
  <c r="AE183" i="14"/>
  <c r="O184" i="14"/>
  <c r="Y185" i="14"/>
  <c r="I186" i="14"/>
  <c r="AE186" i="14"/>
  <c r="S187" i="14"/>
  <c r="AL187" i="14"/>
  <c r="Y188" i="14"/>
  <c r="M189" i="14"/>
  <c r="AF189" i="14"/>
  <c r="M192" i="14"/>
  <c r="AJ192" i="14"/>
  <c r="N195" i="14"/>
  <c r="U197" i="14"/>
  <c r="O199" i="14"/>
  <c r="AL289" i="14"/>
  <c r="AL281" i="14"/>
  <c r="AL273" i="14"/>
  <c r="AL286" i="14"/>
  <c r="AL278" i="14"/>
  <c r="AL270" i="14"/>
  <c r="AL288" i="14"/>
  <c r="AL280" i="14"/>
  <c r="AL272" i="14"/>
  <c r="AL285" i="14"/>
  <c r="AL277" i="14"/>
  <c r="AL282" i="14"/>
  <c r="AL274" i="14"/>
  <c r="AL275" i="14"/>
  <c r="AL266" i="14"/>
  <c r="AL258" i="14"/>
  <c r="AL263" i="14"/>
  <c r="AL287" i="14"/>
  <c r="AL284" i="14"/>
  <c r="AL268" i="14"/>
  <c r="AL260" i="14"/>
  <c r="AL279" i="14"/>
  <c r="AL276" i="14"/>
  <c r="AL265" i="14"/>
  <c r="AL271" i="14"/>
  <c r="AL262" i="14"/>
  <c r="AL264" i="14"/>
  <c r="AL283" i="14"/>
  <c r="AL269" i="14"/>
  <c r="AL256" i="14"/>
  <c r="AL255" i="14"/>
  <c r="AL257" i="14"/>
  <c r="AL267" i="14"/>
  <c r="AL259" i="14"/>
  <c r="AL261" i="14"/>
  <c r="AD201" i="14"/>
  <c r="AD206" i="14"/>
  <c r="AD203" i="14"/>
  <c r="AD208" i="14"/>
  <c r="AD200" i="14"/>
  <c r="AD205" i="14"/>
  <c r="AD202" i="14"/>
  <c r="AD207" i="14"/>
  <c r="AD199" i="14"/>
  <c r="AD191" i="14"/>
  <c r="AD183" i="14"/>
  <c r="AD175" i="14"/>
  <c r="AD204" i="14"/>
  <c r="AD196" i="14"/>
  <c r="AD188" i="14"/>
  <c r="AD180" i="14"/>
  <c r="AD193" i="14"/>
  <c r="AD185" i="14"/>
  <c r="AD177" i="14"/>
  <c r="AD198" i="14"/>
  <c r="AD190" i="14"/>
  <c r="AD182" i="14"/>
  <c r="AD174" i="14"/>
  <c r="AD192" i="14"/>
  <c r="AD184" i="14"/>
  <c r="AD176" i="14"/>
  <c r="R246" i="14"/>
  <c r="R238" i="14"/>
  <c r="R243" i="14"/>
  <c r="R245" i="14"/>
  <c r="R237" i="14"/>
  <c r="R242" i="14"/>
  <c r="R247" i="14"/>
  <c r="R239" i="14"/>
  <c r="R234" i="14"/>
  <c r="R226" i="14"/>
  <c r="R218" i="14"/>
  <c r="R231" i="14"/>
  <c r="R223" i="14"/>
  <c r="R215" i="14"/>
  <c r="R244" i="14"/>
  <c r="R241" i="14"/>
  <c r="R228" i="14"/>
  <c r="R220" i="14"/>
  <c r="R236" i="14"/>
  <c r="R233" i="14"/>
  <c r="R225" i="14"/>
  <c r="R217" i="14"/>
  <c r="R230" i="14"/>
  <c r="R222" i="14"/>
  <c r="R214" i="14"/>
  <c r="R235" i="14"/>
  <c r="R227" i="14"/>
  <c r="R219" i="14"/>
  <c r="R248" i="14"/>
  <c r="R232" i="14"/>
  <c r="R224" i="14"/>
  <c r="R216" i="14"/>
  <c r="R229" i="14"/>
  <c r="Z162" i="14"/>
  <c r="Z167" i="14"/>
  <c r="Z159" i="14"/>
  <c r="Z164" i="14"/>
  <c r="Z161" i="14"/>
  <c r="Z163" i="14"/>
  <c r="V138" i="14"/>
  <c r="AL138" i="14"/>
  <c r="R142" i="14"/>
  <c r="R158" i="14"/>
  <c r="AD187" i="14"/>
  <c r="AH190" i="14"/>
  <c r="R191" i="14"/>
  <c r="E284" i="14"/>
  <c r="E276" i="14"/>
  <c r="E289" i="14"/>
  <c r="E281" i="14"/>
  <c r="E273" i="14"/>
  <c r="E283" i="14"/>
  <c r="E275" i="14"/>
  <c r="E288" i="14"/>
  <c r="E280" i="14"/>
  <c r="E272" i="14"/>
  <c r="E285" i="14"/>
  <c r="E277" i="14"/>
  <c r="E282" i="14"/>
  <c r="E279" i="14"/>
  <c r="E269" i="14"/>
  <c r="E261" i="14"/>
  <c r="E274" i="14"/>
  <c r="E266" i="14"/>
  <c r="E271" i="14"/>
  <c r="E263" i="14"/>
  <c r="E268" i="14"/>
  <c r="E260" i="14"/>
  <c r="E286" i="14"/>
  <c r="E265" i="14"/>
  <c r="E267" i="14"/>
  <c r="E259" i="14"/>
  <c r="E287" i="14"/>
  <c r="E270" i="14"/>
  <c r="E256" i="14"/>
  <c r="E258" i="14"/>
  <c r="E264" i="14"/>
  <c r="E255" i="14"/>
  <c r="E262" i="14"/>
  <c r="E257" i="14"/>
  <c r="AK204" i="14"/>
  <c r="AK201" i="14"/>
  <c r="AK206" i="14"/>
  <c r="AK203" i="14"/>
  <c r="AK208" i="14"/>
  <c r="AK200" i="14"/>
  <c r="AK205" i="14"/>
  <c r="AK202" i="14"/>
  <c r="AK194" i="14"/>
  <c r="AK186" i="14"/>
  <c r="AK178" i="14"/>
  <c r="AK191" i="14"/>
  <c r="AK183" i="14"/>
  <c r="AK175" i="14"/>
  <c r="AK196" i="14"/>
  <c r="AK188" i="14"/>
  <c r="AK180" i="14"/>
  <c r="AK207" i="14"/>
  <c r="AK193" i="14"/>
  <c r="AK185" i="14"/>
  <c r="AK177" i="14"/>
  <c r="AK198" i="14"/>
  <c r="AK195" i="14"/>
  <c r="AK187" i="14"/>
  <c r="AK179" i="14"/>
  <c r="I241" i="14"/>
  <c r="I246" i="14"/>
  <c r="I238" i="14"/>
  <c r="I248" i="14"/>
  <c r="I240" i="14"/>
  <c r="I245" i="14"/>
  <c r="I237" i="14"/>
  <c r="I242" i="14"/>
  <c r="I229" i="14"/>
  <c r="I221" i="14"/>
  <c r="I234" i="14"/>
  <c r="I226" i="14"/>
  <c r="I218" i="14"/>
  <c r="I231" i="14"/>
  <c r="I223" i="14"/>
  <c r="I215" i="14"/>
  <c r="I243" i="14"/>
  <c r="I228" i="14"/>
  <c r="I220" i="14"/>
  <c r="I233" i="14"/>
  <c r="I225" i="14"/>
  <c r="I217" i="14"/>
  <c r="I230" i="14"/>
  <c r="I222" i="14"/>
  <c r="I214" i="14"/>
  <c r="I247" i="14"/>
  <c r="I244" i="14"/>
  <c r="I235" i="14"/>
  <c r="I227" i="14"/>
  <c r="I219" i="14"/>
  <c r="I239" i="14"/>
  <c r="I224" i="14"/>
  <c r="I216" i="14"/>
  <c r="Q165" i="14"/>
  <c r="Q162" i="14"/>
  <c r="Q167" i="14"/>
  <c r="Q159" i="14"/>
  <c r="Q164" i="14"/>
  <c r="Q166" i="14"/>
  <c r="U111" i="14"/>
  <c r="V14" i="14" s="1"/>
  <c r="N133" i="14"/>
  <c r="AL133" i="14"/>
  <c r="E136" i="14"/>
  <c r="J137" i="14"/>
  <c r="Q140" i="14"/>
  <c r="AK144" i="14"/>
  <c r="I148" i="14"/>
  <c r="N149" i="14"/>
  <c r="AL149" i="14"/>
  <c r="M152" i="14"/>
  <c r="J153" i="14"/>
  <c r="I156" i="14"/>
  <c r="N157" i="14"/>
  <c r="AD157" i="14"/>
  <c r="J160" i="14"/>
  <c r="AD161" i="14"/>
  <c r="R182" i="14"/>
  <c r="AC189" i="14"/>
  <c r="Q196" i="14"/>
  <c r="AJ287" i="14"/>
  <c r="AJ279" i="14"/>
  <c r="AJ271" i="14"/>
  <c r="AJ284" i="14"/>
  <c r="AJ276" i="14"/>
  <c r="AJ286" i="14"/>
  <c r="AJ278" i="14"/>
  <c r="AJ270" i="14"/>
  <c r="AJ283" i="14"/>
  <c r="AJ275" i="14"/>
  <c r="AJ288" i="14"/>
  <c r="AJ280" i="14"/>
  <c r="AJ272" i="14"/>
  <c r="AJ264" i="14"/>
  <c r="AJ289" i="14"/>
  <c r="AJ269" i="14"/>
  <c r="AJ261" i="14"/>
  <c r="AJ281" i="14"/>
  <c r="AJ266" i="14"/>
  <c r="AJ258" i="14"/>
  <c r="AJ273" i="14"/>
  <c r="AJ263" i="14"/>
  <c r="AJ268" i="14"/>
  <c r="AJ260" i="14"/>
  <c r="AJ277" i="14"/>
  <c r="AJ274" i="14"/>
  <c r="AJ262" i="14"/>
  <c r="AJ267" i="14"/>
  <c r="AJ259" i="14"/>
  <c r="AJ265" i="14"/>
  <c r="AJ285" i="14"/>
  <c r="AJ255" i="14"/>
  <c r="AJ257" i="14"/>
  <c r="AJ282" i="14"/>
  <c r="AJ256" i="14"/>
  <c r="T207" i="14"/>
  <c r="T204" i="14"/>
  <c r="T201" i="14"/>
  <c r="T206" i="14"/>
  <c r="T203" i="14"/>
  <c r="T208" i="14"/>
  <c r="T200" i="14"/>
  <c r="T205" i="14"/>
  <c r="T197" i="14"/>
  <c r="T189" i="14"/>
  <c r="T181" i="14"/>
  <c r="T194" i="14"/>
  <c r="T186" i="14"/>
  <c r="T178" i="14"/>
  <c r="T199" i="14"/>
  <c r="T191" i="14"/>
  <c r="T183" i="14"/>
  <c r="T175" i="14"/>
  <c r="T202" i="14"/>
  <c r="T196" i="14"/>
  <c r="T188" i="14"/>
  <c r="T180" i="14"/>
  <c r="T198" i="14"/>
  <c r="T190" i="14"/>
  <c r="T182" i="14"/>
  <c r="T174" i="14"/>
  <c r="P244" i="14"/>
  <c r="P236" i="14"/>
  <c r="P241" i="14"/>
  <c r="P243" i="14"/>
  <c r="P248" i="14"/>
  <c r="P240" i="14"/>
  <c r="P245" i="14"/>
  <c r="P237" i="14"/>
  <c r="P232" i="14"/>
  <c r="P224" i="14"/>
  <c r="P216" i="14"/>
  <c r="P246" i="14"/>
  <c r="P229" i="14"/>
  <c r="P221" i="14"/>
  <c r="P238" i="14"/>
  <c r="P234" i="14"/>
  <c r="P226" i="14"/>
  <c r="P218" i="14"/>
  <c r="P231" i="14"/>
  <c r="P223" i="14"/>
  <c r="P215" i="14"/>
  <c r="P247" i="14"/>
  <c r="P228" i="14"/>
  <c r="P220" i="14"/>
  <c r="P242" i="14"/>
  <c r="P239" i="14"/>
  <c r="P233" i="14"/>
  <c r="P225" i="14"/>
  <c r="P217" i="14"/>
  <c r="P230" i="14"/>
  <c r="P222" i="14"/>
  <c r="P214" i="14"/>
  <c r="P235" i="14"/>
  <c r="P227" i="14"/>
  <c r="X165" i="14"/>
  <c r="X162" i="14"/>
  <c r="X167" i="14"/>
  <c r="X159" i="14"/>
  <c r="X161" i="14"/>
  <c r="AJ111" i="14"/>
  <c r="AK14" i="14" s="1"/>
  <c r="T111" i="14"/>
  <c r="U14" i="14" s="1"/>
  <c r="AJ134" i="14"/>
  <c r="Y135" i="14"/>
  <c r="N136" i="14"/>
  <c r="AD136" i="14"/>
  <c r="AL136" i="14"/>
  <c r="H138" i="14"/>
  <c r="U139" i="14"/>
  <c r="Z140" i="14"/>
  <c r="AJ142" i="14"/>
  <c r="P146" i="14"/>
  <c r="M147" i="14"/>
  <c r="Z148" i="14"/>
  <c r="L150" i="14"/>
  <c r="Q151" i="14"/>
  <c r="AG151" i="14"/>
  <c r="X154" i="14"/>
  <c r="U155" i="14"/>
  <c r="AK155" i="14"/>
  <c r="AH156" i="14"/>
  <c r="I161" i="14"/>
  <c r="AI282" i="14"/>
  <c r="AI274" i="14"/>
  <c r="AI287" i="14"/>
  <c r="AI279" i="14"/>
  <c r="AI271" i="14"/>
  <c r="AI289" i="14"/>
  <c r="AI281" i="14"/>
  <c r="AI273" i="14"/>
  <c r="AI286" i="14"/>
  <c r="AI278" i="14"/>
  <c r="AI283" i="14"/>
  <c r="AI275" i="14"/>
  <c r="AI272" i="14"/>
  <c r="AI267" i="14"/>
  <c r="AI259" i="14"/>
  <c r="AI264" i="14"/>
  <c r="AI269" i="14"/>
  <c r="AI261" i="14"/>
  <c r="AI284" i="14"/>
  <c r="AI266" i="14"/>
  <c r="AI258" i="14"/>
  <c r="AI276" i="14"/>
  <c r="AI270" i="14"/>
  <c r="AI263" i="14"/>
  <c r="AI288" i="14"/>
  <c r="AI285" i="14"/>
  <c r="AI265" i="14"/>
  <c r="AI280" i="14"/>
  <c r="AI277" i="14"/>
  <c r="AI257" i="14"/>
  <c r="AI256" i="14"/>
  <c r="AI260" i="14"/>
  <c r="AI262" i="14"/>
  <c r="AI255" i="14"/>
  <c r="AI268" i="14"/>
  <c r="K282" i="14"/>
  <c r="K274" i="14"/>
  <c r="K287" i="14"/>
  <c r="K279" i="14"/>
  <c r="K271" i="14"/>
  <c r="K289" i="14"/>
  <c r="K281" i="14"/>
  <c r="K273" i="14"/>
  <c r="K286" i="14"/>
  <c r="K278" i="14"/>
  <c r="K283" i="14"/>
  <c r="K275" i="14"/>
  <c r="K280" i="14"/>
  <c r="K277" i="14"/>
  <c r="K267" i="14"/>
  <c r="K259" i="14"/>
  <c r="K272" i="14"/>
  <c r="K264" i="14"/>
  <c r="K269" i="14"/>
  <c r="K261" i="14"/>
  <c r="K266" i="14"/>
  <c r="K284" i="14"/>
  <c r="K263" i="14"/>
  <c r="K265" i="14"/>
  <c r="K288" i="14"/>
  <c r="K285" i="14"/>
  <c r="K270" i="14"/>
  <c r="K257" i="14"/>
  <c r="K268" i="14"/>
  <c r="K256" i="14"/>
  <c r="K262" i="14"/>
  <c r="K276" i="14"/>
  <c r="K260" i="14"/>
  <c r="K258" i="14"/>
  <c r="K255" i="14"/>
  <c r="S202" i="14"/>
  <c r="S207" i="14"/>
  <c r="S204" i="14"/>
  <c r="S201" i="14"/>
  <c r="S206" i="14"/>
  <c r="S203" i="14"/>
  <c r="S208" i="14"/>
  <c r="S200" i="14"/>
  <c r="S192" i="14"/>
  <c r="S184" i="14"/>
  <c r="S176" i="14"/>
  <c r="S197" i="14"/>
  <c r="S189" i="14"/>
  <c r="S181" i="14"/>
  <c r="S194" i="14"/>
  <c r="S186" i="14"/>
  <c r="S178" i="14"/>
  <c r="S199" i="14"/>
  <c r="S191" i="14"/>
  <c r="S183" i="14"/>
  <c r="S175" i="14"/>
  <c r="S193" i="14"/>
  <c r="S185" i="14"/>
  <c r="S177" i="14"/>
  <c r="AM247" i="14"/>
  <c r="AM239" i="14"/>
  <c r="AM244" i="14"/>
  <c r="AM236" i="14"/>
  <c r="AM246" i="14"/>
  <c r="AM238" i="14"/>
  <c r="AM243" i="14"/>
  <c r="AM248" i="14"/>
  <c r="AM240" i="14"/>
  <c r="AM227" i="14"/>
  <c r="AM219" i="14"/>
  <c r="AM235" i="14"/>
  <c r="AM232" i="14"/>
  <c r="AM224" i="14"/>
  <c r="AM216" i="14"/>
  <c r="AM241" i="14"/>
  <c r="AM229" i="14"/>
  <c r="AM221" i="14"/>
  <c r="AM234" i="14"/>
  <c r="AM226" i="14"/>
  <c r="AM218" i="14"/>
  <c r="AM231" i="14"/>
  <c r="AM223" i="14"/>
  <c r="AM215" i="14"/>
  <c r="AM245" i="14"/>
  <c r="AM242" i="14"/>
  <c r="AM228" i="14"/>
  <c r="AM220" i="14"/>
  <c r="AM237" i="14"/>
  <c r="AM233" i="14"/>
  <c r="AM225" i="14"/>
  <c r="AM217" i="14"/>
  <c r="AM214" i="14"/>
  <c r="AM230" i="14"/>
  <c r="O247" i="14"/>
  <c r="O239" i="14"/>
  <c r="O244" i="14"/>
  <c r="O236" i="14"/>
  <c r="O246" i="14"/>
  <c r="O238" i="14"/>
  <c r="O243" i="14"/>
  <c r="O248" i="14"/>
  <c r="O240" i="14"/>
  <c r="O235" i="14"/>
  <c r="O227" i="14"/>
  <c r="O219" i="14"/>
  <c r="O232" i="14"/>
  <c r="O224" i="14"/>
  <c r="O216" i="14"/>
  <c r="O229" i="14"/>
  <c r="O221" i="14"/>
  <c r="O241" i="14"/>
  <c r="O234" i="14"/>
  <c r="O226" i="14"/>
  <c r="O218" i="14"/>
  <c r="O231" i="14"/>
  <c r="O223" i="14"/>
  <c r="O215" i="14"/>
  <c r="O228" i="14"/>
  <c r="O220" i="14"/>
  <c r="O245" i="14"/>
  <c r="O242" i="14"/>
  <c r="O233" i="14"/>
  <c r="O225" i="14"/>
  <c r="O217" i="14"/>
  <c r="O222" i="14"/>
  <c r="O237" i="14"/>
  <c r="O214" i="14"/>
  <c r="AE163" i="14"/>
  <c r="AE160" i="14"/>
  <c r="AE165" i="14"/>
  <c r="AE162" i="14"/>
  <c r="AE164" i="14"/>
  <c r="K111" i="14"/>
  <c r="L14" i="14" s="1"/>
  <c r="P133" i="14"/>
  <c r="AF133" i="14"/>
  <c r="U134" i="14"/>
  <c r="AK134" i="14"/>
  <c r="R135" i="14"/>
  <c r="O136" i="14"/>
  <c r="AH285" i="14"/>
  <c r="AH277" i="14"/>
  <c r="AH282" i="14"/>
  <c r="AH274" i="14"/>
  <c r="AH284" i="14"/>
  <c r="AH276" i="14"/>
  <c r="AH289" i="14"/>
  <c r="AH281" i="14"/>
  <c r="AH273" i="14"/>
  <c r="AH286" i="14"/>
  <c r="AH278" i="14"/>
  <c r="AH270" i="14"/>
  <c r="AH283" i="14"/>
  <c r="AH280" i="14"/>
  <c r="AH262" i="14"/>
  <c r="AH275" i="14"/>
  <c r="AH272" i="14"/>
  <c r="AH267" i="14"/>
  <c r="AH259" i="14"/>
  <c r="AH264" i="14"/>
  <c r="AH269" i="14"/>
  <c r="AH261" i="14"/>
  <c r="AH287" i="14"/>
  <c r="AH266" i="14"/>
  <c r="AH258" i="14"/>
  <c r="AH271" i="14"/>
  <c r="AH268" i="14"/>
  <c r="AH260" i="14"/>
  <c r="AH288" i="14"/>
  <c r="AH265" i="14"/>
  <c r="AH257" i="14"/>
  <c r="AH256" i="14"/>
  <c r="AH263" i="14"/>
  <c r="AH255" i="14"/>
  <c r="AH279" i="14"/>
  <c r="Z285" i="14"/>
  <c r="Z277" i="14"/>
  <c r="Z282" i="14"/>
  <c r="Z274" i="14"/>
  <c r="Z284" i="14"/>
  <c r="Z276" i="14"/>
  <c r="Z289" i="14"/>
  <c r="Z281" i="14"/>
  <c r="Z273" i="14"/>
  <c r="Z286" i="14"/>
  <c r="Z278" i="14"/>
  <c r="Z270" i="14"/>
  <c r="Z279" i="14"/>
  <c r="Z262" i="14"/>
  <c r="Z271" i="14"/>
  <c r="Z267" i="14"/>
  <c r="Z259" i="14"/>
  <c r="Z288" i="14"/>
  <c r="Z264" i="14"/>
  <c r="Z283" i="14"/>
  <c r="Z280" i="14"/>
  <c r="Z269" i="14"/>
  <c r="Z261" i="14"/>
  <c r="Z275" i="14"/>
  <c r="Z272" i="14"/>
  <c r="Z266" i="14"/>
  <c r="Z258" i="14"/>
  <c r="Z268" i="14"/>
  <c r="Z260" i="14"/>
  <c r="Z287" i="14"/>
  <c r="Z265" i="14"/>
  <c r="Z257" i="14"/>
  <c r="Z256" i="14"/>
  <c r="Z263" i="14"/>
  <c r="Z255" i="14"/>
  <c r="R285" i="14"/>
  <c r="R277" i="14"/>
  <c r="R282" i="14"/>
  <c r="R274" i="14"/>
  <c r="R284" i="14"/>
  <c r="R276" i="14"/>
  <c r="R289" i="14"/>
  <c r="R281" i="14"/>
  <c r="R273" i="14"/>
  <c r="R286" i="14"/>
  <c r="R278" i="14"/>
  <c r="R270" i="14"/>
  <c r="R262" i="14"/>
  <c r="R267" i="14"/>
  <c r="R259" i="14"/>
  <c r="R287" i="14"/>
  <c r="R264" i="14"/>
  <c r="R279" i="14"/>
  <c r="R269" i="14"/>
  <c r="R261" i="14"/>
  <c r="R271" i="14"/>
  <c r="R266" i="14"/>
  <c r="R258" i="14"/>
  <c r="R283" i="14"/>
  <c r="R280" i="14"/>
  <c r="R268" i="14"/>
  <c r="R260" i="14"/>
  <c r="R275" i="14"/>
  <c r="R272" i="14"/>
  <c r="R265" i="14"/>
  <c r="R288" i="14"/>
  <c r="R263" i="14"/>
  <c r="R257" i="14"/>
  <c r="R256" i="14"/>
  <c r="R255" i="14"/>
  <c r="J285" i="14"/>
  <c r="J277" i="14"/>
  <c r="J282" i="14"/>
  <c r="J274" i="14"/>
  <c r="J284" i="14"/>
  <c r="J276" i="14"/>
  <c r="J289" i="14"/>
  <c r="J281" i="14"/>
  <c r="J273" i="14"/>
  <c r="J286" i="14"/>
  <c r="J278" i="14"/>
  <c r="J288" i="14"/>
  <c r="J270" i="14"/>
  <c r="J262" i="14"/>
  <c r="J283" i="14"/>
  <c r="J280" i="14"/>
  <c r="J267" i="14"/>
  <c r="J259" i="14"/>
  <c r="J275" i="14"/>
  <c r="J272" i="14"/>
  <c r="J264" i="14"/>
  <c r="J269" i="14"/>
  <c r="J261" i="14"/>
  <c r="J266" i="14"/>
  <c r="J279" i="14"/>
  <c r="J268" i="14"/>
  <c r="J260" i="14"/>
  <c r="J271" i="14"/>
  <c r="J265" i="14"/>
  <c r="J257" i="14"/>
  <c r="J287" i="14"/>
  <c r="J263" i="14"/>
  <c r="J256" i="14"/>
  <c r="J258" i="14"/>
  <c r="J255" i="14"/>
  <c r="AH205" i="14"/>
  <c r="AH202" i="14"/>
  <c r="AH207" i="14"/>
  <c r="AH199" i="14"/>
  <c r="AH204" i="14"/>
  <c r="AH201" i="14"/>
  <c r="AH206" i="14"/>
  <c r="AH203" i="14"/>
  <c r="AH195" i="14"/>
  <c r="AH187" i="14"/>
  <c r="AH179" i="14"/>
  <c r="AH192" i="14"/>
  <c r="AH184" i="14"/>
  <c r="AH176" i="14"/>
  <c r="AH200" i="14"/>
  <c r="AH197" i="14"/>
  <c r="AH189" i="14"/>
  <c r="AH181" i="14"/>
  <c r="AH194" i="14"/>
  <c r="AH186" i="14"/>
  <c r="AH178" i="14"/>
  <c r="AH196" i="14"/>
  <c r="AH188" i="14"/>
  <c r="AH180" i="14"/>
  <c r="Z205" i="14"/>
  <c r="Z202" i="14"/>
  <c r="Z207" i="14"/>
  <c r="Z199" i="14"/>
  <c r="Z204" i="14"/>
  <c r="Z201" i="14"/>
  <c r="Z206" i="14"/>
  <c r="Z203" i="14"/>
  <c r="Z208" i="14"/>
  <c r="Z195" i="14"/>
  <c r="Z187" i="14"/>
  <c r="Z179" i="14"/>
  <c r="Z192" i="14"/>
  <c r="Z184" i="14"/>
  <c r="Z176" i="14"/>
  <c r="Z197" i="14"/>
  <c r="Z189" i="14"/>
  <c r="Z181" i="14"/>
  <c r="Z200" i="14"/>
  <c r="Z194" i="14"/>
  <c r="Z186" i="14"/>
  <c r="Z178" i="14"/>
  <c r="Z196" i="14"/>
  <c r="Z188" i="14"/>
  <c r="Z180" i="14"/>
  <c r="R205" i="14"/>
  <c r="R202" i="14"/>
  <c r="R207" i="14"/>
  <c r="R204" i="14"/>
  <c r="R201" i="14"/>
  <c r="R206" i="14"/>
  <c r="R203" i="14"/>
  <c r="R195" i="14"/>
  <c r="R187" i="14"/>
  <c r="R179" i="14"/>
  <c r="R208" i="14"/>
  <c r="R192" i="14"/>
  <c r="R184" i="14"/>
  <c r="R176" i="14"/>
  <c r="R197" i="14"/>
  <c r="R189" i="14"/>
  <c r="R181" i="14"/>
  <c r="R194" i="14"/>
  <c r="R186" i="14"/>
  <c r="R178" i="14"/>
  <c r="R200" i="14"/>
  <c r="R199" i="14"/>
  <c r="R196" i="14"/>
  <c r="R188" i="14"/>
  <c r="R180" i="14"/>
  <c r="J205" i="14"/>
  <c r="J202" i="14"/>
  <c r="J207" i="14"/>
  <c r="J204" i="14"/>
  <c r="J201" i="14"/>
  <c r="J206" i="14"/>
  <c r="J203" i="14"/>
  <c r="J195" i="14"/>
  <c r="J187" i="14"/>
  <c r="J179" i="14"/>
  <c r="J192" i="14"/>
  <c r="J184" i="14"/>
  <c r="J176" i="14"/>
  <c r="J208" i="14"/>
  <c r="J197" i="14"/>
  <c r="J189" i="14"/>
  <c r="J181" i="14"/>
  <c r="J194" i="14"/>
  <c r="J186" i="14"/>
  <c r="J178" i="14"/>
  <c r="J199" i="14"/>
  <c r="J200" i="14"/>
  <c r="J196" i="14"/>
  <c r="J188" i="14"/>
  <c r="J180" i="14"/>
  <c r="AL242" i="14"/>
  <c r="AL247" i="14"/>
  <c r="AL239" i="14"/>
  <c r="AL241" i="14"/>
  <c r="AL246" i="14"/>
  <c r="AL238" i="14"/>
  <c r="AL243" i="14"/>
  <c r="AL235" i="14"/>
  <c r="AL230" i="14"/>
  <c r="AL222" i="14"/>
  <c r="AL214" i="14"/>
  <c r="AL227" i="14"/>
  <c r="AL219" i="14"/>
  <c r="AL232" i="14"/>
  <c r="AL224" i="14"/>
  <c r="AL216" i="14"/>
  <c r="AL244" i="14"/>
  <c r="AL229" i="14"/>
  <c r="AL221" i="14"/>
  <c r="AL236" i="14"/>
  <c r="AL234" i="14"/>
  <c r="AL226" i="14"/>
  <c r="AL218" i="14"/>
  <c r="AL231" i="14"/>
  <c r="AL223" i="14"/>
  <c r="AL215" i="14"/>
  <c r="AL248" i="14"/>
  <c r="AL245" i="14"/>
  <c r="AL228" i="14"/>
  <c r="AL220" i="14"/>
  <c r="AL225" i="14"/>
  <c r="AL237" i="14"/>
  <c r="AL217" i="14"/>
  <c r="AD242" i="14"/>
  <c r="AD247" i="14"/>
  <c r="AD239" i="14"/>
  <c r="AD241" i="14"/>
  <c r="AD246" i="14"/>
  <c r="AD238" i="14"/>
  <c r="AD243" i="14"/>
  <c r="AD230" i="14"/>
  <c r="AD222" i="14"/>
  <c r="AD214" i="14"/>
  <c r="AD248" i="14"/>
  <c r="AD245" i="14"/>
  <c r="AD235" i="14"/>
  <c r="AD227" i="14"/>
  <c r="AD219" i="14"/>
  <c r="AD240" i="14"/>
  <c r="AD237" i="14"/>
  <c r="AD232" i="14"/>
  <c r="AD224" i="14"/>
  <c r="AD216" i="14"/>
  <c r="AD229" i="14"/>
  <c r="AD221" i="14"/>
  <c r="AD234" i="14"/>
  <c r="AD226" i="14"/>
  <c r="AD218" i="14"/>
  <c r="AD231" i="14"/>
  <c r="AD223" i="14"/>
  <c r="AD215" i="14"/>
  <c r="AD244" i="14"/>
  <c r="AD228" i="14"/>
  <c r="AD220" i="14"/>
  <c r="AD233" i="14"/>
  <c r="AD225" i="14"/>
  <c r="AD236" i="14"/>
  <c r="V242" i="14"/>
  <c r="V247" i="14"/>
  <c r="V239" i="14"/>
  <c r="V241" i="14"/>
  <c r="V246" i="14"/>
  <c r="V238" i="14"/>
  <c r="V243" i="14"/>
  <c r="V230" i="14"/>
  <c r="V222" i="14"/>
  <c r="V214" i="14"/>
  <c r="V244" i="14"/>
  <c r="V235" i="14"/>
  <c r="V227" i="14"/>
  <c r="V219" i="14"/>
  <c r="V236" i="14"/>
  <c r="V232" i="14"/>
  <c r="V224" i="14"/>
  <c r="V216" i="14"/>
  <c r="V229" i="14"/>
  <c r="V221" i="14"/>
  <c r="V248" i="14"/>
  <c r="V245" i="14"/>
  <c r="V234" i="14"/>
  <c r="V226" i="14"/>
  <c r="V218" i="14"/>
  <c r="V240" i="14"/>
  <c r="V237" i="14"/>
  <c r="V231" i="14"/>
  <c r="V223" i="14"/>
  <c r="V215" i="14"/>
  <c r="V228" i="14"/>
  <c r="V220" i="14"/>
  <c r="V233" i="14"/>
  <c r="V225" i="14"/>
  <c r="N242" i="14"/>
  <c r="N247" i="14"/>
  <c r="N239" i="14"/>
  <c r="N241" i="14"/>
  <c r="N246" i="14"/>
  <c r="N238" i="14"/>
  <c r="N243" i="14"/>
  <c r="N240" i="14"/>
  <c r="N237" i="14"/>
  <c r="N230" i="14"/>
  <c r="N222" i="14"/>
  <c r="N214" i="14"/>
  <c r="N235" i="14"/>
  <c r="N227" i="14"/>
  <c r="N219" i="14"/>
  <c r="N232" i="14"/>
  <c r="N224" i="14"/>
  <c r="N216" i="14"/>
  <c r="N229" i="14"/>
  <c r="N221" i="14"/>
  <c r="N244" i="14"/>
  <c r="N234" i="14"/>
  <c r="N226" i="14"/>
  <c r="N218" i="14"/>
  <c r="N236" i="14"/>
  <c r="N231" i="14"/>
  <c r="N223" i="14"/>
  <c r="N215" i="14"/>
  <c r="N228" i="14"/>
  <c r="N220" i="14"/>
  <c r="N217" i="14"/>
  <c r="N248" i="14"/>
  <c r="N233" i="14"/>
  <c r="N225" i="14"/>
  <c r="AL166" i="14"/>
  <c r="AL163" i="14"/>
  <c r="AL160" i="14"/>
  <c r="AL165" i="14"/>
  <c r="AL167" i="14"/>
  <c r="AL159" i="14"/>
  <c r="AD166" i="14"/>
  <c r="AD163" i="14"/>
  <c r="AD160" i="14"/>
  <c r="AD165" i="14"/>
  <c r="AD167" i="14"/>
  <c r="AD159" i="14"/>
  <c r="V166" i="14"/>
  <c r="V163" i="14"/>
  <c r="V160" i="14"/>
  <c r="V165" i="14"/>
  <c r="V167" i="14"/>
  <c r="V159" i="14"/>
  <c r="N166" i="14"/>
  <c r="N163" i="14"/>
  <c r="N160" i="14"/>
  <c r="N165" i="14"/>
  <c r="N167" i="14"/>
  <c r="AH111" i="14"/>
  <c r="AI14" i="14" s="1"/>
  <c r="Z111" i="14"/>
  <c r="AA14" i="14" s="1"/>
  <c r="R111" i="14"/>
  <c r="S14" i="14" s="1"/>
  <c r="J111" i="14"/>
  <c r="K14" i="14" s="1"/>
  <c r="I133" i="14"/>
  <c r="Q133" i="14"/>
  <c r="Y133" i="14"/>
  <c r="AG133" i="14"/>
  <c r="N134" i="14"/>
  <c r="V134" i="14"/>
  <c r="AD134" i="14"/>
  <c r="AL134" i="14"/>
  <c r="K135" i="14"/>
  <c r="S135" i="14"/>
  <c r="AA135" i="14"/>
  <c r="AI135" i="14"/>
  <c r="H136" i="14"/>
  <c r="P136" i="14"/>
  <c r="X136" i="14"/>
  <c r="AF136" i="14"/>
  <c r="E137" i="14"/>
  <c r="M137" i="14"/>
  <c r="U137" i="14"/>
  <c r="AC137" i="14"/>
  <c r="AK137" i="14"/>
  <c r="J138" i="14"/>
  <c r="R138" i="14"/>
  <c r="Z138" i="14"/>
  <c r="AH138" i="14"/>
  <c r="O139" i="14"/>
  <c r="W139" i="14"/>
  <c r="AE139" i="14"/>
  <c r="AM139" i="14"/>
  <c r="L140" i="14"/>
  <c r="T140" i="14"/>
  <c r="AB140" i="14"/>
  <c r="AJ140" i="14"/>
  <c r="I141" i="14"/>
  <c r="Q141" i="14"/>
  <c r="Y141" i="14"/>
  <c r="AG141" i="14"/>
  <c r="N142" i="14"/>
  <c r="V142" i="14"/>
  <c r="AD142" i="14"/>
  <c r="AL142" i="14"/>
  <c r="K143" i="14"/>
  <c r="S143" i="14"/>
  <c r="AA143" i="14"/>
  <c r="AI143" i="14"/>
  <c r="H144" i="14"/>
  <c r="P144" i="14"/>
  <c r="X144" i="14"/>
  <c r="AF144" i="14"/>
  <c r="E145" i="14"/>
  <c r="M145" i="14"/>
  <c r="U145" i="14"/>
  <c r="AC145" i="14"/>
  <c r="AK145" i="14"/>
  <c r="J146" i="14"/>
  <c r="R146" i="14"/>
  <c r="Z146" i="14"/>
  <c r="AH146" i="14"/>
  <c r="O147" i="14"/>
  <c r="W147" i="14"/>
  <c r="AE147" i="14"/>
  <c r="AM147" i="14"/>
  <c r="L148" i="14"/>
  <c r="T148" i="14"/>
  <c r="AB148" i="14"/>
  <c r="AJ148" i="14"/>
  <c r="I149" i="14"/>
  <c r="Q149" i="14"/>
  <c r="Y149" i="14"/>
  <c r="AG149" i="14"/>
  <c r="N150" i="14"/>
  <c r="V150" i="14"/>
  <c r="AD150" i="14"/>
  <c r="AL150" i="14"/>
  <c r="K151" i="14"/>
  <c r="S151" i="14"/>
  <c r="AA151" i="14"/>
  <c r="AI151" i="14"/>
  <c r="P152" i="14"/>
  <c r="X152" i="14"/>
  <c r="AF152" i="14"/>
  <c r="J154" i="14"/>
  <c r="Z154" i="14"/>
  <c r="AH154" i="14"/>
  <c r="O155" i="14"/>
  <c r="W155" i="14"/>
  <c r="AE155" i="14"/>
  <c r="L156" i="14"/>
  <c r="T156" i="14"/>
  <c r="AB156" i="14"/>
  <c r="AJ156" i="14"/>
  <c r="I157" i="14"/>
  <c r="Q157" i="14"/>
  <c r="Y157" i="14"/>
  <c r="AG157" i="14"/>
  <c r="N158" i="14"/>
  <c r="V158" i="14"/>
  <c r="AD158" i="14"/>
  <c r="AL158" i="14"/>
  <c r="K159" i="14"/>
  <c r="T159" i="14"/>
  <c r="AJ159" i="14"/>
  <c r="Q160" i="14"/>
  <c r="AL161" i="14"/>
  <c r="V162" i="14"/>
  <c r="I163" i="14"/>
  <c r="AF163" i="14"/>
  <c r="P164" i="14"/>
  <c r="AL164" i="14"/>
  <c r="Z165" i="14"/>
  <c r="J166" i="14"/>
  <c r="AF166" i="14"/>
  <c r="T167" i="14"/>
  <c r="AA174" i="14"/>
  <c r="O175" i="14"/>
  <c r="AH175" i="14"/>
  <c r="U176" i="14"/>
  <c r="I177" i="14"/>
  <c r="AB177" i="14"/>
  <c r="O178" i="14"/>
  <c r="AL178" i="14"/>
  <c r="V179" i="14"/>
  <c r="I180" i="14"/>
  <c r="AF180" i="14"/>
  <c r="P181" i="14"/>
  <c r="AL181" i="14"/>
  <c r="Z182" i="14"/>
  <c r="J183" i="14"/>
  <c r="AF183" i="14"/>
  <c r="T184" i="14"/>
  <c r="AM184" i="14"/>
  <c r="Z185" i="14"/>
  <c r="N186" i="14"/>
  <c r="T187" i="14"/>
  <c r="H188" i="14"/>
  <c r="AA188" i="14"/>
  <c r="N189" i="14"/>
  <c r="AK189" i="14"/>
  <c r="U190" i="14"/>
  <c r="H191" i="14"/>
  <c r="AE191" i="14"/>
  <c r="O192" i="14"/>
  <c r="AK192" i="14"/>
  <c r="Y193" i="14"/>
  <c r="S195" i="14"/>
  <c r="AL195" i="14"/>
  <c r="S198" i="14"/>
  <c r="P199" i="14"/>
  <c r="S205" i="14"/>
  <c r="AD217" i="14"/>
  <c r="Q232" i="14"/>
  <c r="AI245" i="14"/>
  <c r="AD289" i="14"/>
  <c r="AD281" i="14"/>
  <c r="AD273" i="14"/>
  <c r="AD286" i="14"/>
  <c r="AD278" i="14"/>
  <c r="AD270" i="14"/>
  <c r="AD288" i="14"/>
  <c r="AD280" i="14"/>
  <c r="AD272" i="14"/>
  <c r="AD285" i="14"/>
  <c r="AD277" i="14"/>
  <c r="AD282" i="14"/>
  <c r="AD274" i="14"/>
  <c r="AD266" i="14"/>
  <c r="AD258" i="14"/>
  <c r="AD263" i="14"/>
  <c r="AD283" i="14"/>
  <c r="AD268" i="14"/>
  <c r="AD260" i="14"/>
  <c r="AD275" i="14"/>
  <c r="AD265" i="14"/>
  <c r="AD262" i="14"/>
  <c r="AD279" i="14"/>
  <c r="AD276" i="14"/>
  <c r="AD264" i="14"/>
  <c r="AD271" i="14"/>
  <c r="AD269" i="14"/>
  <c r="AD261" i="14"/>
  <c r="AD256" i="14"/>
  <c r="AD259" i="14"/>
  <c r="AD267" i="14"/>
  <c r="AD255" i="14"/>
  <c r="AD257" i="14"/>
  <c r="AD287" i="14"/>
  <c r="AD284" i="14"/>
  <c r="V201" i="14"/>
  <c r="V206" i="14"/>
  <c r="V203" i="14"/>
  <c r="V208" i="14"/>
  <c r="V200" i="14"/>
  <c r="V205" i="14"/>
  <c r="V202" i="14"/>
  <c r="V207" i="14"/>
  <c r="V199" i="14"/>
  <c r="V191" i="14"/>
  <c r="V183" i="14"/>
  <c r="V175" i="14"/>
  <c r="V196" i="14"/>
  <c r="V188" i="14"/>
  <c r="V180" i="14"/>
  <c r="V204" i="14"/>
  <c r="V193" i="14"/>
  <c r="V185" i="14"/>
  <c r="V177" i="14"/>
  <c r="V198" i="14"/>
  <c r="V190" i="14"/>
  <c r="V182" i="14"/>
  <c r="V174" i="14"/>
  <c r="V192" i="14"/>
  <c r="V184" i="14"/>
  <c r="V176" i="14"/>
  <c r="J246" i="14"/>
  <c r="J238" i="14"/>
  <c r="J243" i="14"/>
  <c r="J245" i="14"/>
  <c r="J237" i="14"/>
  <c r="J242" i="14"/>
  <c r="J247" i="14"/>
  <c r="J239" i="14"/>
  <c r="J234" i="14"/>
  <c r="J226" i="14"/>
  <c r="J218" i="14"/>
  <c r="J248" i="14"/>
  <c r="J231" i="14"/>
  <c r="J223" i="14"/>
  <c r="J215" i="14"/>
  <c r="J240" i="14"/>
  <c r="J228" i="14"/>
  <c r="J220" i="14"/>
  <c r="J233" i="14"/>
  <c r="J225" i="14"/>
  <c r="J217" i="14"/>
  <c r="J230" i="14"/>
  <c r="J222" i="14"/>
  <c r="J214" i="14"/>
  <c r="J244" i="14"/>
  <c r="J241" i="14"/>
  <c r="J235" i="14"/>
  <c r="J227" i="14"/>
  <c r="J219" i="14"/>
  <c r="J236" i="14"/>
  <c r="J232" i="14"/>
  <c r="J224" i="14"/>
  <c r="J216" i="14"/>
  <c r="J229" i="14"/>
  <c r="R162" i="14"/>
  <c r="R167" i="14"/>
  <c r="R164" i="14"/>
  <c r="R161" i="14"/>
  <c r="R163" i="14"/>
  <c r="R134" i="14"/>
  <c r="N138" i="14"/>
  <c r="V146" i="14"/>
  <c r="R150" i="14"/>
  <c r="AD154" i="14"/>
  <c r="AH158" i="14"/>
  <c r="U284" i="14"/>
  <c r="U276" i="14"/>
  <c r="U289" i="14"/>
  <c r="U281" i="14"/>
  <c r="U273" i="14"/>
  <c r="U283" i="14"/>
  <c r="U275" i="14"/>
  <c r="U288" i="14"/>
  <c r="U280" i="14"/>
  <c r="U272" i="14"/>
  <c r="U285" i="14"/>
  <c r="U277" i="14"/>
  <c r="U269" i="14"/>
  <c r="U261" i="14"/>
  <c r="U287" i="14"/>
  <c r="U266" i="14"/>
  <c r="U258" i="14"/>
  <c r="U282" i="14"/>
  <c r="U279" i="14"/>
  <c r="U263" i="14"/>
  <c r="U274" i="14"/>
  <c r="U271" i="14"/>
  <c r="U268" i="14"/>
  <c r="U260" i="14"/>
  <c r="U265" i="14"/>
  <c r="U286" i="14"/>
  <c r="U267" i="14"/>
  <c r="U259" i="14"/>
  <c r="U278" i="14"/>
  <c r="U264" i="14"/>
  <c r="U262" i="14"/>
  <c r="U256" i="14"/>
  <c r="U255" i="14"/>
  <c r="U270" i="14"/>
  <c r="U257" i="14"/>
  <c r="E204" i="14"/>
  <c r="E201" i="14"/>
  <c r="E206" i="14"/>
  <c r="E203" i="14"/>
  <c r="E208" i="14"/>
  <c r="E200" i="14"/>
  <c r="E205" i="14"/>
  <c r="E202" i="14"/>
  <c r="E194" i="14"/>
  <c r="E186" i="14"/>
  <c r="E178" i="14"/>
  <c r="E199" i="14"/>
  <c r="E191" i="14"/>
  <c r="E183" i="14"/>
  <c r="E175" i="14"/>
  <c r="E196" i="14"/>
  <c r="E188" i="14"/>
  <c r="E180" i="14"/>
  <c r="E193" i="14"/>
  <c r="E185" i="14"/>
  <c r="E177" i="14"/>
  <c r="E198" i="14"/>
  <c r="E195" i="14"/>
  <c r="E187" i="14"/>
  <c r="E179" i="14"/>
  <c r="AG165" i="14"/>
  <c r="AG162" i="14"/>
  <c r="AG167" i="14"/>
  <c r="AG159" i="14"/>
  <c r="AG164" i="14"/>
  <c r="AG166" i="14"/>
  <c r="AK111" i="14"/>
  <c r="AL14" i="14" s="1"/>
  <c r="AC136" i="14"/>
  <c r="Z137" i="14"/>
  <c r="Y140" i="14"/>
  <c r="V141" i="14"/>
  <c r="AC144" i="14"/>
  <c r="Z145" i="14"/>
  <c r="Q148" i="14"/>
  <c r="V149" i="14"/>
  <c r="AC152" i="14"/>
  <c r="AH153" i="14"/>
  <c r="Q156" i="14"/>
  <c r="V157" i="14"/>
  <c r="AD164" i="14"/>
  <c r="AK165" i="14"/>
  <c r="AD178" i="14"/>
  <c r="AD181" i="14"/>
  <c r="R185" i="14"/>
  <c r="T287" i="14"/>
  <c r="T279" i="14"/>
  <c r="T271" i="14"/>
  <c r="T284" i="14"/>
  <c r="T276" i="14"/>
  <c r="T286" i="14"/>
  <c r="T278" i="14"/>
  <c r="T283" i="14"/>
  <c r="T275" i="14"/>
  <c r="T288" i="14"/>
  <c r="T280" i="14"/>
  <c r="T272" i="14"/>
  <c r="T281" i="14"/>
  <c r="T264" i="14"/>
  <c r="T273" i="14"/>
  <c r="T269" i="14"/>
  <c r="T261" i="14"/>
  <c r="T266" i="14"/>
  <c r="T258" i="14"/>
  <c r="T285" i="14"/>
  <c r="T282" i="14"/>
  <c r="T263" i="14"/>
  <c r="T277" i="14"/>
  <c r="T274" i="14"/>
  <c r="T268" i="14"/>
  <c r="T260" i="14"/>
  <c r="T270" i="14"/>
  <c r="T262" i="14"/>
  <c r="T289" i="14"/>
  <c r="T267" i="14"/>
  <c r="T259" i="14"/>
  <c r="T265" i="14"/>
  <c r="T255" i="14"/>
  <c r="T256" i="14"/>
  <c r="T257" i="14"/>
  <c r="AJ207" i="14"/>
  <c r="AJ199" i="14"/>
  <c r="AJ204" i="14"/>
  <c r="AJ201" i="14"/>
  <c r="AJ206" i="14"/>
  <c r="AJ203" i="14"/>
  <c r="AJ208" i="14"/>
  <c r="AJ200" i="14"/>
  <c r="AJ205" i="14"/>
  <c r="AJ197" i="14"/>
  <c r="AJ189" i="14"/>
  <c r="AJ181" i="14"/>
  <c r="AJ202" i="14"/>
  <c r="AJ194" i="14"/>
  <c r="AJ186" i="14"/>
  <c r="AJ178" i="14"/>
  <c r="AJ191" i="14"/>
  <c r="AJ183" i="14"/>
  <c r="AJ175" i="14"/>
  <c r="AJ196" i="14"/>
  <c r="AJ188" i="14"/>
  <c r="AJ180" i="14"/>
  <c r="AJ198" i="14"/>
  <c r="AJ190" i="14"/>
  <c r="AJ182" i="14"/>
  <c r="AJ174" i="14"/>
  <c r="H244" i="14"/>
  <c r="H236" i="14"/>
  <c r="H241" i="14"/>
  <c r="H243" i="14"/>
  <c r="H248" i="14"/>
  <c r="H240" i="14"/>
  <c r="H245" i="14"/>
  <c r="H237" i="14"/>
  <c r="H242" i="14"/>
  <c r="H239" i="14"/>
  <c r="H232" i="14"/>
  <c r="H224" i="14"/>
  <c r="H216" i="14"/>
  <c r="H229" i="14"/>
  <c r="H221" i="14"/>
  <c r="H234" i="14"/>
  <c r="H226" i="14"/>
  <c r="H218" i="14"/>
  <c r="H231" i="14"/>
  <c r="H223" i="14"/>
  <c r="H215" i="14"/>
  <c r="H246" i="14"/>
  <c r="H228" i="14"/>
  <c r="H220" i="14"/>
  <c r="H238" i="14"/>
  <c r="H233" i="14"/>
  <c r="H225" i="14"/>
  <c r="H217" i="14"/>
  <c r="H230" i="14"/>
  <c r="H222" i="14"/>
  <c r="H214" i="14"/>
  <c r="H219" i="14"/>
  <c r="H235" i="14"/>
  <c r="H247" i="14"/>
  <c r="H227" i="14"/>
  <c r="H165" i="14"/>
  <c r="H162" i="14"/>
  <c r="H167" i="14"/>
  <c r="H161" i="14"/>
  <c r="T134" i="14"/>
  <c r="E139" i="14"/>
  <c r="L142" i="14"/>
  <c r="Q143" i="14"/>
  <c r="AD144" i="14"/>
  <c r="AF146" i="14"/>
  <c r="J148" i="14"/>
  <c r="I151" i="14"/>
  <c r="N152" i="14"/>
  <c r="AL152" i="14"/>
  <c r="AF154" i="14"/>
  <c r="L158" i="14"/>
  <c r="M164" i="14"/>
  <c r="Z166" i="14"/>
  <c r="Y180" i="14"/>
  <c r="AI202" i="14"/>
  <c r="AI207" i="14"/>
  <c r="AI199" i="14"/>
  <c r="AI204" i="14"/>
  <c r="AI201" i="14"/>
  <c r="AI206" i="14"/>
  <c r="AI203" i="14"/>
  <c r="AI208" i="14"/>
  <c r="AI200" i="14"/>
  <c r="AI192" i="14"/>
  <c r="AI184" i="14"/>
  <c r="AI176" i="14"/>
  <c r="AI197" i="14"/>
  <c r="AI189" i="14"/>
  <c r="AI181" i="14"/>
  <c r="AI194" i="14"/>
  <c r="AI186" i="14"/>
  <c r="AI178" i="14"/>
  <c r="AI191" i="14"/>
  <c r="AI183" i="14"/>
  <c r="AI175" i="14"/>
  <c r="AI205" i="14"/>
  <c r="AI196" i="14"/>
  <c r="AI193" i="14"/>
  <c r="AI185" i="14"/>
  <c r="AI177" i="14"/>
  <c r="K202" i="14"/>
  <c r="K207" i="14"/>
  <c r="K204" i="14"/>
  <c r="K201" i="14"/>
  <c r="K206" i="14"/>
  <c r="K203" i="14"/>
  <c r="K208" i="14"/>
  <c r="K200" i="14"/>
  <c r="K192" i="14"/>
  <c r="K184" i="14"/>
  <c r="K176" i="14"/>
  <c r="K197" i="14"/>
  <c r="K189" i="14"/>
  <c r="K181" i="14"/>
  <c r="K194" i="14"/>
  <c r="K186" i="14"/>
  <c r="K178" i="14"/>
  <c r="K199" i="14"/>
  <c r="K191" i="14"/>
  <c r="K183" i="14"/>
  <c r="K175" i="14"/>
  <c r="K193" i="14"/>
  <c r="K185" i="14"/>
  <c r="K177" i="14"/>
  <c r="W247" i="14"/>
  <c r="W239" i="14"/>
  <c r="W244" i="14"/>
  <c r="W236" i="14"/>
  <c r="W246" i="14"/>
  <c r="W238" i="14"/>
  <c r="W243" i="14"/>
  <c r="W248" i="14"/>
  <c r="W240" i="14"/>
  <c r="W241" i="14"/>
  <c r="W235" i="14"/>
  <c r="W227" i="14"/>
  <c r="W219" i="14"/>
  <c r="W232" i="14"/>
  <c r="W224" i="14"/>
  <c r="W216" i="14"/>
  <c r="W229" i="14"/>
  <c r="W221" i="14"/>
  <c r="W245" i="14"/>
  <c r="W242" i="14"/>
  <c r="W234" i="14"/>
  <c r="W226" i="14"/>
  <c r="W218" i="14"/>
  <c r="W237" i="14"/>
  <c r="W231" i="14"/>
  <c r="W223" i="14"/>
  <c r="W215" i="14"/>
  <c r="W228" i="14"/>
  <c r="W220" i="14"/>
  <c r="W233" i="14"/>
  <c r="W225" i="14"/>
  <c r="W217" i="14"/>
  <c r="W222" i="14"/>
  <c r="W214" i="14"/>
  <c r="AM163" i="14"/>
  <c r="AM160" i="14"/>
  <c r="AM165" i="14"/>
  <c r="AM162" i="14"/>
  <c r="AM164" i="14"/>
  <c r="O163" i="14"/>
  <c r="O160" i="14"/>
  <c r="O165" i="14"/>
  <c r="O162" i="14"/>
  <c r="O164" i="14"/>
  <c r="AA111" i="14"/>
  <c r="AB14" i="14" s="1"/>
  <c r="M134" i="14"/>
  <c r="AG288" i="14"/>
  <c r="AG280" i="14"/>
  <c r="AG272" i="14"/>
  <c r="AG285" i="14"/>
  <c r="AG277" i="14"/>
  <c r="AG287" i="14"/>
  <c r="AG279" i="14"/>
  <c r="AG271" i="14"/>
  <c r="AG284" i="14"/>
  <c r="AG276" i="14"/>
  <c r="AG289" i="14"/>
  <c r="AG281" i="14"/>
  <c r="AG273" i="14"/>
  <c r="AG265" i="14"/>
  <c r="AG286" i="14"/>
  <c r="AG283" i="14"/>
  <c r="AG262" i="14"/>
  <c r="AG278" i="14"/>
  <c r="AG275" i="14"/>
  <c r="AG267" i="14"/>
  <c r="AG259" i="14"/>
  <c r="AG264" i="14"/>
  <c r="AG269" i="14"/>
  <c r="AG261" i="14"/>
  <c r="AG282" i="14"/>
  <c r="AG263" i="14"/>
  <c r="AG274" i="14"/>
  <c r="AG268" i="14"/>
  <c r="AG260" i="14"/>
  <c r="AG255" i="14"/>
  <c r="AG258" i="14"/>
  <c r="AG256" i="14"/>
  <c r="AG257" i="14"/>
  <c r="AG266" i="14"/>
  <c r="AG270" i="14"/>
  <c r="Y288" i="14"/>
  <c r="Y280" i="14"/>
  <c r="Y272" i="14"/>
  <c r="Y285" i="14"/>
  <c r="Y277" i="14"/>
  <c r="Y287" i="14"/>
  <c r="Y279" i="14"/>
  <c r="Y271" i="14"/>
  <c r="Y284" i="14"/>
  <c r="Y276" i="14"/>
  <c r="Y289" i="14"/>
  <c r="Y281" i="14"/>
  <c r="Y273" i="14"/>
  <c r="Y265" i="14"/>
  <c r="Y282" i="14"/>
  <c r="Y270" i="14"/>
  <c r="Y262" i="14"/>
  <c r="Y274" i="14"/>
  <c r="Y267" i="14"/>
  <c r="Y259" i="14"/>
  <c r="Y264" i="14"/>
  <c r="Y286" i="14"/>
  <c r="Y283" i="14"/>
  <c r="Y269" i="14"/>
  <c r="Y261" i="14"/>
  <c r="Y263" i="14"/>
  <c r="Y268" i="14"/>
  <c r="Y266" i="14"/>
  <c r="Y255" i="14"/>
  <c r="Y278" i="14"/>
  <c r="Y258" i="14"/>
  <c r="Y256" i="14"/>
  <c r="Y275" i="14"/>
  <c r="Y260" i="14"/>
  <c r="Y257" i="14"/>
  <c r="Q288" i="14"/>
  <c r="Q280" i="14"/>
  <c r="Q272" i="14"/>
  <c r="Q285" i="14"/>
  <c r="Q277" i="14"/>
  <c r="Q287" i="14"/>
  <c r="Q279" i="14"/>
  <c r="Q271" i="14"/>
  <c r="Q284" i="14"/>
  <c r="Q276" i="14"/>
  <c r="Q289" i="14"/>
  <c r="Q281" i="14"/>
  <c r="Q273" i="14"/>
  <c r="Q278" i="14"/>
  <c r="Q275" i="14"/>
  <c r="Q265" i="14"/>
  <c r="Q270" i="14"/>
  <c r="Q262" i="14"/>
  <c r="Q267" i="14"/>
  <c r="Q259" i="14"/>
  <c r="Q264" i="14"/>
  <c r="Q282" i="14"/>
  <c r="Q269" i="14"/>
  <c r="Q261" i="14"/>
  <c r="Q263" i="14"/>
  <c r="Q286" i="14"/>
  <c r="Q283" i="14"/>
  <c r="Q268" i="14"/>
  <c r="Q274" i="14"/>
  <c r="Q255" i="14"/>
  <c r="Q266" i="14"/>
  <c r="Q260" i="14"/>
  <c r="Q256" i="14"/>
  <c r="Q258" i="14"/>
  <c r="Q257" i="14"/>
  <c r="I288" i="14"/>
  <c r="I280" i="14"/>
  <c r="I272" i="14"/>
  <c r="I285" i="14"/>
  <c r="I277" i="14"/>
  <c r="I287" i="14"/>
  <c r="I279" i="14"/>
  <c r="I271" i="14"/>
  <c r="I284" i="14"/>
  <c r="I276" i="14"/>
  <c r="I289" i="14"/>
  <c r="I281" i="14"/>
  <c r="I273" i="14"/>
  <c r="I274" i="14"/>
  <c r="I265" i="14"/>
  <c r="I270" i="14"/>
  <c r="I262" i="14"/>
  <c r="I286" i="14"/>
  <c r="I283" i="14"/>
  <c r="I267" i="14"/>
  <c r="I259" i="14"/>
  <c r="I278" i="14"/>
  <c r="I275" i="14"/>
  <c r="I264" i="14"/>
  <c r="I269" i="14"/>
  <c r="I261" i="14"/>
  <c r="I263" i="14"/>
  <c r="I282" i="14"/>
  <c r="I268" i="14"/>
  <c r="I255" i="14"/>
  <c r="I256" i="14"/>
  <c r="I257" i="14"/>
  <c r="I266" i="14"/>
  <c r="I260" i="14"/>
  <c r="I258" i="14"/>
  <c r="AG208" i="14"/>
  <c r="AG200" i="14"/>
  <c r="AG205" i="14"/>
  <c r="AG202" i="14"/>
  <c r="AG207" i="14"/>
  <c r="AG199" i="14"/>
  <c r="AG204" i="14"/>
  <c r="AG201" i="14"/>
  <c r="AG206" i="14"/>
  <c r="AG198" i="14"/>
  <c r="AG190" i="14"/>
  <c r="AG182" i="14"/>
  <c r="AG174" i="14"/>
  <c r="AG195" i="14"/>
  <c r="AG187" i="14"/>
  <c r="AG179" i="14"/>
  <c r="AG192" i="14"/>
  <c r="AG184" i="14"/>
  <c r="AG176" i="14"/>
  <c r="AG197" i="14"/>
  <c r="AG189" i="14"/>
  <c r="AG181" i="14"/>
  <c r="AG203" i="14"/>
  <c r="AG191" i="14"/>
  <c r="AG183" i="14"/>
  <c r="AG175" i="14"/>
  <c r="Y208" i="14"/>
  <c r="Y200" i="14"/>
  <c r="Y205" i="14"/>
  <c r="Y202" i="14"/>
  <c r="Y207" i="14"/>
  <c r="Y199" i="14"/>
  <c r="Y204" i="14"/>
  <c r="Y201" i="14"/>
  <c r="Y206" i="14"/>
  <c r="Y198" i="14"/>
  <c r="Y190" i="14"/>
  <c r="Y182" i="14"/>
  <c r="Y174" i="14"/>
  <c r="Y195" i="14"/>
  <c r="Y187" i="14"/>
  <c r="Y179" i="14"/>
  <c r="Y192" i="14"/>
  <c r="Y184" i="14"/>
  <c r="Y176" i="14"/>
  <c r="Y197" i="14"/>
  <c r="Y189" i="14"/>
  <c r="Y181" i="14"/>
  <c r="Y191" i="14"/>
  <c r="Y183" i="14"/>
  <c r="Y175" i="14"/>
  <c r="Q208" i="14"/>
  <c r="Q200" i="14"/>
  <c r="Q205" i="14"/>
  <c r="Q202" i="14"/>
  <c r="Q207" i="14"/>
  <c r="Q204" i="14"/>
  <c r="Q201" i="14"/>
  <c r="Q206" i="14"/>
  <c r="Q198" i="14"/>
  <c r="Q190" i="14"/>
  <c r="Q182" i="14"/>
  <c r="Q174" i="14"/>
  <c r="Q195" i="14"/>
  <c r="Q187" i="14"/>
  <c r="Q179" i="14"/>
  <c r="Q192" i="14"/>
  <c r="Q184" i="14"/>
  <c r="Q176" i="14"/>
  <c r="Q197" i="14"/>
  <c r="Q189" i="14"/>
  <c r="Q181" i="14"/>
  <c r="Q199" i="14"/>
  <c r="Q191" i="14"/>
  <c r="Q183" i="14"/>
  <c r="Q175" i="14"/>
  <c r="I208" i="14"/>
  <c r="I200" i="14"/>
  <c r="I205" i="14"/>
  <c r="I202" i="14"/>
  <c r="I207" i="14"/>
  <c r="I204" i="14"/>
  <c r="I201" i="14"/>
  <c r="I206" i="14"/>
  <c r="I203" i="14"/>
  <c r="I198" i="14"/>
  <c r="I190" i="14"/>
  <c r="I182" i="14"/>
  <c r="I174" i="14"/>
  <c r="I195" i="14"/>
  <c r="I187" i="14"/>
  <c r="I179" i="14"/>
  <c r="I192" i="14"/>
  <c r="I184" i="14"/>
  <c r="I176" i="14"/>
  <c r="I197" i="14"/>
  <c r="I189" i="14"/>
  <c r="I181" i="14"/>
  <c r="I199" i="14"/>
  <c r="I191" i="14"/>
  <c r="I183" i="14"/>
  <c r="I175" i="14"/>
  <c r="AK245" i="14"/>
  <c r="AK237" i="14"/>
  <c r="AK242" i="14"/>
  <c r="AK244" i="14"/>
  <c r="AK236" i="14"/>
  <c r="AK241" i="14"/>
  <c r="AK246" i="14"/>
  <c r="AK238" i="14"/>
  <c r="AK243" i="14"/>
  <c r="AK240" i="14"/>
  <c r="AK233" i="14"/>
  <c r="AK225" i="14"/>
  <c r="AK217" i="14"/>
  <c r="AK230" i="14"/>
  <c r="AK222" i="14"/>
  <c r="AK214" i="14"/>
  <c r="AK235" i="14"/>
  <c r="AK227" i="14"/>
  <c r="AK219" i="14"/>
  <c r="AK232" i="14"/>
  <c r="AK224" i="14"/>
  <c r="AK216" i="14"/>
  <c r="AK247" i="14"/>
  <c r="AK229" i="14"/>
  <c r="AK221" i="14"/>
  <c r="AK239" i="14"/>
  <c r="AK234" i="14"/>
  <c r="AK226" i="14"/>
  <c r="AK218" i="14"/>
  <c r="AK231" i="14"/>
  <c r="AK223" i="14"/>
  <c r="AK215" i="14"/>
  <c r="AK220" i="14"/>
  <c r="AK248" i="14"/>
  <c r="AK228" i="14"/>
  <c r="AC245" i="14"/>
  <c r="AC237" i="14"/>
  <c r="AC242" i="14"/>
  <c r="AC244" i="14"/>
  <c r="AC236" i="14"/>
  <c r="AC241" i="14"/>
  <c r="AC246" i="14"/>
  <c r="AC238" i="14"/>
  <c r="AC239" i="14"/>
  <c r="AC233" i="14"/>
  <c r="AC225" i="14"/>
  <c r="AC217" i="14"/>
  <c r="AC230" i="14"/>
  <c r="AC222" i="14"/>
  <c r="AC214" i="14"/>
  <c r="AC248" i="14"/>
  <c r="AC235" i="14"/>
  <c r="AC227" i="14"/>
  <c r="AC219" i="14"/>
  <c r="AC243" i="14"/>
  <c r="AC240" i="14"/>
  <c r="AC232" i="14"/>
  <c r="AC224" i="14"/>
  <c r="AC216" i="14"/>
  <c r="AC229" i="14"/>
  <c r="AC221" i="14"/>
  <c r="AC234" i="14"/>
  <c r="AC226" i="14"/>
  <c r="AC218" i="14"/>
  <c r="AC231" i="14"/>
  <c r="AC223" i="14"/>
  <c r="AC215" i="14"/>
  <c r="AC220" i="14"/>
  <c r="AC247" i="14"/>
  <c r="U245" i="14"/>
  <c r="U237" i="14"/>
  <c r="U242" i="14"/>
  <c r="U244" i="14"/>
  <c r="U236" i="14"/>
  <c r="U241" i="14"/>
  <c r="U246" i="14"/>
  <c r="U238" i="14"/>
  <c r="U233" i="14"/>
  <c r="U225" i="14"/>
  <c r="U217" i="14"/>
  <c r="U230" i="14"/>
  <c r="U222" i="14"/>
  <c r="U214" i="14"/>
  <c r="U247" i="14"/>
  <c r="U235" i="14"/>
  <c r="U227" i="14"/>
  <c r="U219" i="14"/>
  <c r="U239" i="14"/>
  <c r="U232" i="14"/>
  <c r="U224" i="14"/>
  <c r="U216" i="14"/>
  <c r="U229" i="14"/>
  <c r="U221" i="14"/>
  <c r="U248" i="14"/>
  <c r="U234" i="14"/>
  <c r="U226" i="14"/>
  <c r="U218" i="14"/>
  <c r="U243" i="14"/>
  <c r="U240" i="14"/>
  <c r="U231" i="14"/>
  <c r="U223" i="14"/>
  <c r="U215" i="14"/>
  <c r="U220" i="14"/>
  <c r="M245" i="14"/>
  <c r="M237" i="14"/>
  <c r="M242" i="14"/>
  <c r="M244" i="14"/>
  <c r="M236" i="14"/>
  <c r="M241" i="14"/>
  <c r="M246" i="14"/>
  <c r="M238" i="14"/>
  <c r="M248" i="14"/>
  <c r="M233" i="14"/>
  <c r="M225" i="14"/>
  <c r="M217" i="14"/>
  <c r="M243" i="14"/>
  <c r="M240" i="14"/>
  <c r="M230" i="14"/>
  <c r="M222" i="14"/>
  <c r="M214" i="14"/>
  <c r="M235" i="14"/>
  <c r="M227" i="14"/>
  <c r="M219" i="14"/>
  <c r="M232" i="14"/>
  <c r="M224" i="14"/>
  <c r="M216" i="14"/>
  <c r="M229" i="14"/>
  <c r="M221" i="14"/>
  <c r="M247" i="14"/>
  <c r="M234" i="14"/>
  <c r="M226" i="14"/>
  <c r="M218" i="14"/>
  <c r="M239" i="14"/>
  <c r="M231" i="14"/>
  <c r="M223" i="14"/>
  <c r="M215" i="14"/>
  <c r="M228" i="14"/>
  <c r="M220" i="14"/>
  <c r="E245" i="14"/>
  <c r="E237" i="14"/>
  <c r="E242" i="14"/>
  <c r="E244" i="14"/>
  <c r="E236" i="14"/>
  <c r="E241" i="14"/>
  <c r="E246" i="14"/>
  <c r="E238" i="14"/>
  <c r="E247" i="14"/>
  <c r="E233" i="14"/>
  <c r="E225" i="14"/>
  <c r="E217" i="14"/>
  <c r="E239" i="14"/>
  <c r="E230" i="14"/>
  <c r="E222" i="14"/>
  <c r="E214" i="14"/>
  <c r="E235" i="14"/>
  <c r="E227" i="14"/>
  <c r="E219" i="14"/>
  <c r="E248" i="14"/>
  <c r="E232" i="14"/>
  <c r="E224" i="14"/>
  <c r="E216" i="14"/>
  <c r="E243" i="14"/>
  <c r="E240" i="14"/>
  <c r="E229" i="14"/>
  <c r="E221" i="14"/>
  <c r="E234" i="14"/>
  <c r="E226" i="14"/>
  <c r="E218" i="14"/>
  <c r="E231" i="14"/>
  <c r="E223" i="14"/>
  <c r="E215" i="14"/>
  <c r="E228" i="14"/>
  <c r="E220" i="14"/>
  <c r="AK161" i="14"/>
  <c r="AK166" i="14"/>
  <c r="AK163" i="14"/>
  <c r="AK160" i="14"/>
  <c r="AK162" i="14"/>
  <c r="AC161" i="14"/>
  <c r="AC166" i="14"/>
  <c r="AC163" i="14"/>
  <c r="AC160" i="14"/>
  <c r="AC162" i="14"/>
  <c r="U161" i="14"/>
  <c r="U166" i="14"/>
  <c r="U163" i="14"/>
  <c r="U160" i="14"/>
  <c r="U162" i="14"/>
  <c r="M161" i="14"/>
  <c r="M166" i="14"/>
  <c r="M163" i="14"/>
  <c r="M160" i="14"/>
  <c r="M162" i="14"/>
  <c r="E166" i="14"/>
  <c r="E163" i="14"/>
  <c r="E160" i="14"/>
  <c r="E162" i="14"/>
  <c r="AG111" i="14"/>
  <c r="AH14" i="14" s="1"/>
  <c r="Y111" i="14"/>
  <c r="Z14" i="14" s="1"/>
  <c r="Q111" i="14"/>
  <c r="R14" i="14" s="1"/>
  <c r="I111" i="14"/>
  <c r="J14" i="14" s="1"/>
  <c r="J133" i="14"/>
  <c r="R133" i="14"/>
  <c r="Z133" i="14"/>
  <c r="AH133" i="14"/>
  <c r="O134" i="14"/>
  <c r="W134" i="14"/>
  <c r="AE134" i="14"/>
  <c r="AM134" i="14"/>
  <c r="L135" i="14"/>
  <c r="T135" i="14"/>
  <c r="AB135" i="14"/>
  <c r="AJ135" i="14"/>
  <c r="I136" i="14"/>
  <c r="Q136" i="14"/>
  <c r="Y136" i="14"/>
  <c r="AG136" i="14"/>
  <c r="N137" i="14"/>
  <c r="V137" i="14"/>
  <c r="AD137" i="14"/>
  <c r="AL137" i="14"/>
  <c r="K138" i="14"/>
  <c r="S138" i="14"/>
  <c r="AA138" i="14"/>
  <c r="AI138" i="14"/>
  <c r="H139" i="14"/>
  <c r="P139" i="14"/>
  <c r="X139" i="14"/>
  <c r="AF139" i="14"/>
  <c r="E140" i="14"/>
  <c r="M140" i="14"/>
  <c r="U140" i="14"/>
  <c r="AC140" i="14"/>
  <c r="AK140" i="14"/>
  <c r="J141" i="14"/>
  <c r="R141" i="14"/>
  <c r="Z141" i="14"/>
  <c r="AH141" i="14"/>
  <c r="O142" i="14"/>
  <c r="W142" i="14"/>
  <c r="AE142" i="14"/>
  <c r="AM142" i="14"/>
  <c r="L143" i="14"/>
  <c r="T143" i="14"/>
  <c r="AB143" i="14"/>
  <c r="AJ143" i="14"/>
  <c r="I144" i="14"/>
  <c r="Q144" i="14"/>
  <c r="Y144" i="14"/>
  <c r="AG144" i="14"/>
  <c r="N145" i="14"/>
  <c r="V145" i="14"/>
  <c r="AD145" i="14"/>
  <c r="AL145" i="14"/>
  <c r="K146" i="14"/>
  <c r="S146" i="14"/>
  <c r="AA146" i="14"/>
  <c r="AI146" i="14"/>
  <c r="H147" i="14"/>
  <c r="P147" i="14"/>
  <c r="X147" i="14"/>
  <c r="AF147" i="14"/>
  <c r="E148" i="14"/>
  <c r="M148" i="14"/>
  <c r="U148" i="14"/>
  <c r="AC148" i="14"/>
  <c r="AK148" i="14"/>
  <c r="J149" i="14"/>
  <c r="R149" i="14"/>
  <c r="Z149" i="14"/>
  <c r="AH149" i="14"/>
  <c r="O150" i="14"/>
  <c r="W150" i="14"/>
  <c r="AE150" i="14"/>
  <c r="AM150" i="14"/>
  <c r="L151" i="14"/>
  <c r="I152" i="14"/>
  <c r="Q152" i="14"/>
  <c r="AG152" i="14"/>
  <c r="N153" i="14"/>
  <c r="V153" i="14"/>
  <c r="AD153" i="14"/>
  <c r="AL153" i="14"/>
  <c r="K154" i="14"/>
  <c r="S154" i="14"/>
  <c r="AA154" i="14"/>
  <c r="AI154" i="14"/>
  <c r="H155" i="14"/>
  <c r="X155" i="14"/>
  <c r="AF155" i="14"/>
  <c r="E156" i="14"/>
  <c r="M156" i="14"/>
  <c r="U156" i="14"/>
  <c r="AC156" i="14"/>
  <c r="AK156" i="14"/>
  <c r="J157" i="14"/>
  <c r="R157" i="14"/>
  <c r="Z157" i="14"/>
  <c r="AH157" i="14"/>
  <c r="O158" i="14"/>
  <c r="W158" i="14"/>
  <c r="AE158" i="14"/>
  <c r="AM158" i="14"/>
  <c r="U159" i="14"/>
  <c r="AK159" i="14"/>
  <c r="R160" i="14"/>
  <c r="AH160" i="14"/>
  <c r="Q161" i="14"/>
  <c r="AM161" i="14"/>
  <c r="AA162" i="14"/>
  <c r="K163" i="14"/>
  <c r="AG163" i="14"/>
  <c r="U164" i="14"/>
  <c r="E165" i="14"/>
  <c r="AA165" i="14"/>
  <c r="O166" i="14"/>
  <c r="AH166" i="14"/>
  <c r="U167" i="14"/>
  <c r="J174" i="14"/>
  <c r="AC174" i="14"/>
  <c r="P175" i="14"/>
  <c r="AM175" i="14"/>
  <c r="W176" i="14"/>
  <c r="J177" i="14"/>
  <c r="AG177" i="14"/>
  <c r="Q178" i="14"/>
  <c r="AM178" i="14"/>
  <c r="AA179" i="14"/>
  <c r="K180" i="14"/>
  <c r="AG180" i="14"/>
  <c r="U181" i="14"/>
  <c r="E182" i="14"/>
  <c r="AA182" i="14"/>
  <c r="O183" i="14"/>
  <c r="AH183" i="14"/>
  <c r="U184" i="14"/>
  <c r="I185" i="14"/>
  <c r="O186" i="14"/>
  <c r="AL186" i="14"/>
  <c r="V187" i="14"/>
  <c r="I188" i="14"/>
  <c r="AF188" i="14"/>
  <c r="AL189" i="14"/>
  <c r="Z190" i="14"/>
  <c r="J191" i="14"/>
  <c r="AF191" i="14"/>
  <c r="T192" i="14"/>
  <c r="AM192" i="14"/>
  <c r="Z193" i="14"/>
  <c r="N194" i="14"/>
  <c r="AG194" i="14"/>
  <c r="T195" i="14"/>
  <c r="AC197" i="14"/>
  <c r="Z198" i="14"/>
  <c r="AC199" i="14"/>
  <c r="E207" i="14"/>
  <c r="P219" i="14"/>
  <c r="AL233" i="14"/>
  <c r="N289" i="14"/>
  <c r="N281" i="14"/>
  <c r="N273" i="14"/>
  <c r="N286" i="14"/>
  <c r="N278" i="14"/>
  <c r="N288" i="14"/>
  <c r="N280" i="14"/>
  <c r="N272" i="14"/>
  <c r="N285" i="14"/>
  <c r="N277" i="14"/>
  <c r="N282" i="14"/>
  <c r="N274" i="14"/>
  <c r="N283" i="14"/>
  <c r="N266" i="14"/>
  <c r="N275" i="14"/>
  <c r="N263" i="14"/>
  <c r="N268" i="14"/>
  <c r="N260" i="14"/>
  <c r="N287" i="14"/>
  <c r="N284" i="14"/>
  <c r="N265" i="14"/>
  <c r="N279" i="14"/>
  <c r="N276" i="14"/>
  <c r="N270" i="14"/>
  <c r="N262" i="14"/>
  <c r="N264" i="14"/>
  <c r="N269" i="14"/>
  <c r="N256" i="14"/>
  <c r="N255" i="14"/>
  <c r="N261" i="14"/>
  <c r="N271" i="14"/>
  <c r="N267" i="14"/>
  <c r="N259" i="14"/>
  <c r="N257" i="14"/>
  <c r="N258" i="14"/>
  <c r="Z134" i="14"/>
  <c r="AD138" i="14"/>
  <c r="J142" i="14"/>
  <c r="AH142" i="14"/>
  <c r="AD146" i="14"/>
  <c r="Z150" i="14"/>
  <c r="V154" i="14"/>
  <c r="AL154" i="14"/>
  <c r="Z158" i="14"/>
  <c r="AC284" i="14"/>
  <c r="AC276" i="14"/>
  <c r="AC289" i="14"/>
  <c r="AC281" i="14"/>
  <c r="AC273" i="14"/>
  <c r="AC283" i="14"/>
  <c r="AC275" i="14"/>
  <c r="AC288" i="14"/>
  <c r="AC280" i="14"/>
  <c r="AC272" i="14"/>
  <c r="AC285" i="14"/>
  <c r="AC277" i="14"/>
  <c r="AC274" i="14"/>
  <c r="AC271" i="14"/>
  <c r="AC269" i="14"/>
  <c r="AC261" i="14"/>
  <c r="AC266" i="14"/>
  <c r="AC258" i="14"/>
  <c r="AC263" i="14"/>
  <c r="AC286" i="14"/>
  <c r="AC268" i="14"/>
  <c r="AC260" i="14"/>
  <c r="AC278" i="14"/>
  <c r="AC265" i="14"/>
  <c r="AC287" i="14"/>
  <c r="AC267" i="14"/>
  <c r="AC259" i="14"/>
  <c r="AC282" i="14"/>
  <c r="AC279" i="14"/>
  <c r="AC270" i="14"/>
  <c r="AC264" i="14"/>
  <c r="AC256" i="14"/>
  <c r="AC255" i="14"/>
  <c r="AC257" i="14"/>
  <c r="AC262" i="14"/>
  <c r="M204" i="14"/>
  <c r="M201" i="14"/>
  <c r="M206" i="14"/>
  <c r="M203" i="14"/>
  <c r="M208" i="14"/>
  <c r="M200" i="14"/>
  <c r="M205" i="14"/>
  <c r="M202" i="14"/>
  <c r="M194" i="14"/>
  <c r="M186" i="14"/>
  <c r="M178" i="14"/>
  <c r="M199" i="14"/>
  <c r="M191" i="14"/>
  <c r="M183" i="14"/>
  <c r="M175" i="14"/>
  <c r="M196" i="14"/>
  <c r="M188" i="14"/>
  <c r="M180" i="14"/>
  <c r="M193" i="14"/>
  <c r="M185" i="14"/>
  <c r="M177" i="14"/>
  <c r="M198" i="14"/>
  <c r="M195" i="14"/>
  <c r="M187" i="14"/>
  <c r="M179" i="14"/>
  <c r="Y241" i="14"/>
  <c r="Y246" i="14"/>
  <c r="Y238" i="14"/>
  <c r="Y248" i="14"/>
  <c r="Y240" i="14"/>
  <c r="Y245" i="14"/>
  <c r="Y237" i="14"/>
  <c r="Y242" i="14"/>
  <c r="Y247" i="14"/>
  <c r="Y244" i="14"/>
  <c r="Y229" i="14"/>
  <c r="Y221" i="14"/>
  <c r="Y239" i="14"/>
  <c r="Y236" i="14"/>
  <c r="Y234" i="14"/>
  <c r="Y226" i="14"/>
  <c r="Y218" i="14"/>
  <c r="Y231" i="14"/>
  <c r="Y223" i="14"/>
  <c r="Y215" i="14"/>
  <c r="Y228" i="14"/>
  <c r="Y220" i="14"/>
  <c r="Y233" i="14"/>
  <c r="Y225" i="14"/>
  <c r="Y217" i="14"/>
  <c r="Y243" i="14"/>
  <c r="Y230" i="14"/>
  <c r="Y222" i="14"/>
  <c r="Y214" i="14"/>
  <c r="Y235" i="14"/>
  <c r="Y227" i="14"/>
  <c r="Y219" i="14"/>
  <c r="Y224" i="14"/>
  <c r="Y216" i="14"/>
  <c r="Y232" i="14"/>
  <c r="Y165" i="14"/>
  <c r="Y162" i="14"/>
  <c r="Y167" i="14"/>
  <c r="Y159" i="14"/>
  <c r="Y164" i="14"/>
  <c r="Y166" i="14"/>
  <c r="AC111" i="14"/>
  <c r="AD14" i="14" s="1"/>
  <c r="AD133" i="14"/>
  <c r="M136" i="14"/>
  <c r="AG140" i="14"/>
  <c r="AL141" i="14"/>
  <c r="M144" i="14"/>
  <c r="Y148" i="14"/>
  <c r="AD149" i="14"/>
  <c r="E152" i="14"/>
  <c r="R153" i="14"/>
  <c r="AG156" i="14"/>
  <c r="AC159" i="14"/>
  <c r="Y186" i="14"/>
  <c r="AB207" i="14"/>
  <c r="AB199" i="14"/>
  <c r="AB204" i="14"/>
  <c r="AB201" i="14"/>
  <c r="AB206" i="14"/>
  <c r="AB203" i="14"/>
  <c r="AB208" i="14"/>
  <c r="AB200" i="14"/>
  <c r="AB205" i="14"/>
  <c r="AB197" i="14"/>
  <c r="AB189" i="14"/>
  <c r="AB181" i="14"/>
  <c r="AB194" i="14"/>
  <c r="AB186" i="14"/>
  <c r="AB178" i="14"/>
  <c r="AB202" i="14"/>
  <c r="AB191" i="14"/>
  <c r="AB183" i="14"/>
  <c r="AB175" i="14"/>
  <c r="AB196" i="14"/>
  <c r="AB188" i="14"/>
  <c r="AB180" i="14"/>
  <c r="AB198" i="14"/>
  <c r="AB190" i="14"/>
  <c r="AB182" i="14"/>
  <c r="AB174" i="14"/>
  <c r="X244" i="14"/>
  <c r="X236" i="14"/>
  <c r="X241" i="14"/>
  <c r="X243" i="14"/>
  <c r="X248" i="14"/>
  <c r="X240" i="14"/>
  <c r="X245" i="14"/>
  <c r="X237" i="14"/>
  <c r="X232" i="14"/>
  <c r="X224" i="14"/>
  <c r="X216" i="14"/>
  <c r="X247" i="14"/>
  <c r="X229" i="14"/>
  <c r="X221" i="14"/>
  <c r="X242" i="14"/>
  <c r="X239" i="14"/>
  <c r="X234" i="14"/>
  <c r="X226" i="14"/>
  <c r="X218" i="14"/>
  <c r="X231" i="14"/>
  <c r="X223" i="14"/>
  <c r="X215" i="14"/>
  <c r="X228" i="14"/>
  <c r="X220" i="14"/>
  <c r="X233" i="14"/>
  <c r="X225" i="14"/>
  <c r="X217" i="14"/>
  <c r="X246" i="14"/>
  <c r="X230" i="14"/>
  <c r="X222" i="14"/>
  <c r="X214" i="14"/>
  <c r="X235" i="14"/>
  <c r="X238" i="14"/>
  <c r="X227" i="14"/>
  <c r="P165" i="14"/>
  <c r="P162" i="14"/>
  <c r="P167" i="14"/>
  <c r="P161" i="14"/>
  <c r="I135" i="14"/>
  <c r="P138" i="14"/>
  <c r="AC139" i="14"/>
  <c r="AH140" i="14"/>
  <c r="AB142" i="14"/>
  <c r="AG143" i="14"/>
  <c r="H146" i="14"/>
  <c r="U147" i="14"/>
  <c r="AH148" i="14"/>
  <c r="AB150" i="14"/>
  <c r="P154" i="14"/>
  <c r="AC155" i="14"/>
  <c r="Z156" i="14"/>
  <c r="AJ158" i="14"/>
  <c r="Y163" i="14"/>
  <c r="AL179" i="14"/>
  <c r="AA282" i="14"/>
  <c r="AA274" i="14"/>
  <c r="AA287" i="14"/>
  <c r="AA279" i="14"/>
  <c r="AA271" i="14"/>
  <c r="AA289" i="14"/>
  <c r="AA281" i="14"/>
  <c r="AA273" i="14"/>
  <c r="AA286" i="14"/>
  <c r="AA278" i="14"/>
  <c r="AA283" i="14"/>
  <c r="AA275" i="14"/>
  <c r="AA270" i="14"/>
  <c r="AA267" i="14"/>
  <c r="AA259" i="14"/>
  <c r="AA288" i="14"/>
  <c r="AA285" i="14"/>
  <c r="AA264" i="14"/>
  <c r="AA280" i="14"/>
  <c r="AA277" i="14"/>
  <c r="AA269" i="14"/>
  <c r="AA261" i="14"/>
  <c r="AA272" i="14"/>
  <c r="AA266" i="14"/>
  <c r="AA258" i="14"/>
  <c r="AA263" i="14"/>
  <c r="AA284" i="14"/>
  <c r="AA265" i="14"/>
  <c r="AA276" i="14"/>
  <c r="AA262" i="14"/>
  <c r="AA257" i="14"/>
  <c r="AA260" i="14"/>
  <c r="AA256" i="14"/>
  <c r="AA255" i="14"/>
  <c r="AA268" i="14"/>
  <c r="Z135" i="14"/>
  <c r="AF283" i="14"/>
  <c r="AF275" i="14"/>
  <c r="AF288" i="14"/>
  <c r="AF280" i="14"/>
  <c r="AF272" i="14"/>
  <c r="AF282" i="14"/>
  <c r="AF274" i="14"/>
  <c r="AF287" i="14"/>
  <c r="AF279" i="14"/>
  <c r="AF271" i="14"/>
  <c r="AF284" i="14"/>
  <c r="AF276" i="14"/>
  <c r="AF277" i="14"/>
  <c r="AF268" i="14"/>
  <c r="AF260" i="14"/>
  <c r="AF265" i="14"/>
  <c r="AF289" i="14"/>
  <c r="AF286" i="14"/>
  <c r="AF262" i="14"/>
  <c r="AF281" i="14"/>
  <c r="AF278" i="14"/>
  <c r="AF267" i="14"/>
  <c r="AF259" i="14"/>
  <c r="AF273" i="14"/>
  <c r="AF264" i="14"/>
  <c r="AF270" i="14"/>
  <c r="AF266" i="14"/>
  <c r="AF258" i="14"/>
  <c r="AF285" i="14"/>
  <c r="AF255" i="14"/>
  <c r="AF257" i="14"/>
  <c r="AF269" i="14"/>
  <c r="AF261" i="14"/>
  <c r="AF256" i="14"/>
  <c r="AF263" i="14"/>
  <c r="X283" i="14"/>
  <c r="X275" i="14"/>
  <c r="X288" i="14"/>
  <c r="X280" i="14"/>
  <c r="X272" i="14"/>
  <c r="X282" i="14"/>
  <c r="X274" i="14"/>
  <c r="X287" i="14"/>
  <c r="X279" i="14"/>
  <c r="X271" i="14"/>
  <c r="X284" i="14"/>
  <c r="X276" i="14"/>
  <c r="X268" i="14"/>
  <c r="X260" i="14"/>
  <c r="X265" i="14"/>
  <c r="X285" i="14"/>
  <c r="X270" i="14"/>
  <c r="X262" i="14"/>
  <c r="X277" i="14"/>
  <c r="X267" i="14"/>
  <c r="X259" i="14"/>
  <c r="X264" i="14"/>
  <c r="X281" i="14"/>
  <c r="X278" i="14"/>
  <c r="X266" i="14"/>
  <c r="X258" i="14"/>
  <c r="X273" i="14"/>
  <c r="X263" i="14"/>
  <c r="X261" i="14"/>
  <c r="X255" i="14"/>
  <c r="X269" i="14"/>
  <c r="X257" i="14"/>
  <c r="X286" i="14"/>
  <c r="X289" i="14"/>
  <c r="X256" i="14"/>
  <c r="P283" i="14"/>
  <c r="P275" i="14"/>
  <c r="P288" i="14"/>
  <c r="P280" i="14"/>
  <c r="P272" i="14"/>
  <c r="P282" i="14"/>
  <c r="P274" i="14"/>
  <c r="P287" i="14"/>
  <c r="P279" i="14"/>
  <c r="P271" i="14"/>
  <c r="P284" i="14"/>
  <c r="P276" i="14"/>
  <c r="P289" i="14"/>
  <c r="P286" i="14"/>
  <c r="P268" i="14"/>
  <c r="P260" i="14"/>
  <c r="P281" i="14"/>
  <c r="P278" i="14"/>
  <c r="P265" i="14"/>
  <c r="P273" i="14"/>
  <c r="P270" i="14"/>
  <c r="P262" i="14"/>
  <c r="P267" i="14"/>
  <c r="P259" i="14"/>
  <c r="P264" i="14"/>
  <c r="P277" i="14"/>
  <c r="P266" i="14"/>
  <c r="P258" i="14"/>
  <c r="P255" i="14"/>
  <c r="P261" i="14"/>
  <c r="P257" i="14"/>
  <c r="P269" i="14"/>
  <c r="P263" i="14"/>
  <c r="P285" i="14"/>
  <c r="P256" i="14"/>
  <c r="H283" i="14"/>
  <c r="H275" i="14"/>
  <c r="H288" i="14"/>
  <c r="H280" i="14"/>
  <c r="H272" i="14"/>
  <c r="H282" i="14"/>
  <c r="H274" i="14"/>
  <c r="H287" i="14"/>
  <c r="H279" i="14"/>
  <c r="H284" i="14"/>
  <c r="H276" i="14"/>
  <c r="H285" i="14"/>
  <c r="H271" i="14"/>
  <c r="H268" i="14"/>
  <c r="H260" i="14"/>
  <c r="H277" i="14"/>
  <c r="H265" i="14"/>
  <c r="H270" i="14"/>
  <c r="H262" i="14"/>
  <c r="H289" i="14"/>
  <c r="H286" i="14"/>
  <c r="H267" i="14"/>
  <c r="H259" i="14"/>
  <c r="H281" i="14"/>
  <c r="H278" i="14"/>
  <c r="H264" i="14"/>
  <c r="H266" i="14"/>
  <c r="H258" i="14"/>
  <c r="H255" i="14"/>
  <c r="H257" i="14"/>
  <c r="H263" i="14"/>
  <c r="H269" i="14"/>
  <c r="H261" i="14"/>
  <c r="H273" i="14"/>
  <c r="AF203" i="14"/>
  <c r="AF208" i="14"/>
  <c r="AF200" i="14"/>
  <c r="AF205" i="14"/>
  <c r="AF202" i="14"/>
  <c r="AF207" i="14"/>
  <c r="AF199" i="14"/>
  <c r="AF204" i="14"/>
  <c r="AF201" i="14"/>
  <c r="AF206" i="14"/>
  <c r="AF193" i="14"/>
  <c r="AF185" i="14"/>
  <c r="AF177" i="14"/>
  <c r="AF198" i="14"/>
  <c r="AF190" i="14"/>
  <c r="AF182" i="14"/>
  <c r="AF174" i="14"/>
  <c r="AF195" i="14"/>
  <c r="AF187" i="14"/>
  <c r="AF179" i="14"/>
  <c r="AF192" i="14"/>
  <c r="AF184" i="14"/>
  <c r="AF176" i="14"/>
  <c r="AF197" i="14"/>
  <c r="AF194" i="14"/>
  <c r="AF186" i="14"/>
  <c r="AF178" i="14"/>
  <c r="X203" i="14"/>
  <c r="X208" i="14"/>
  <c r="X200" i="14"/>
  <c r="X205" i="14"/>
  <c r="X202" i="14"/>
  <c r="X207" i="14"/>
  <c r="X199" i="14"/>
  <c r="X204" i="14"/>
  <c r="X201" i="14"/>
  <c r="X193" i="14"/>
  <c r="X185" i="14"/>
  <c r="X177" i="14"/>
  <c r="X206" i="14"/>
  <c r="X198" i="14"/>
  <c r="X190" i="14"/>
  <c r="X182" i="14"/>
  <c r="X174" i="14"/>
  <c r="X195" i="14"/>
  <c r="X187" i="14"/>
  <c r="X179" i="14"/>
  <c r="X192" i="14"/>
  <c r="X184" i="14"/>
  <c r="X176" i="14"/>
  <c r="X197" i="14"/>
  <c r="X194" i="14"/>
  <c r="X186" i="14"/>
  <c r="X178" i="14"/>
  <c r="P203" i="14"/>
  <c r="P208" i="14"/>
  <c r="P200" i="14"/>
  <c r="P205" i="14"/>
  <c r="P202" i="14"/>
  <c r="P207" i="14"/>
  <c r="P204" i="14"/>
  <c r="P201" i="14"/>
  <c r="P193" i="14"/>
  <c r="P185" i="14"/>
  <c r="P177" i="14"/>
  <c r="P198" i="14"/>
  <c r="P190" i="14"/>
  <c r="P182" i="14"/>
  <c r="P174" i="14"/>
  <c r="P206" i="14"/>
  <c r="P195" i="14"/>
  <c r="P187" i="14"/>
  <c r="P179" i="14"/>
  <c r="P192" i="14"/>
  <c r="P184" i="14"/>
  <c r="P176" i="14"/>
  <c r="P197" i="14"/>
  <c r="P194" i="14"/>
  <c r="P186" i="14"/>
  <c r="P178" i="14"/>
  <c r="H203" i="14"/>
  <c r="H208" i="14"/>
  <c r="H200" i="14"/>
  <c r="H205" i="14"/>
  <c r="H202" i="14"/>
  <c r="H207" i="14"/>
  <c r="H204" i="14"/>
  <c r="H201" i="14"/>
  <c r="H193" i="14"/>
  <c r="H185" i="14"/>
  <c r="H177" i="14"/>
  <c r="H198" i="14"/>
  <c r="H190" i="14"/>
  <c r="H182" i="14"/>
  <c r="H174" i="14"/>
  <c r="H195" i="14"/>
  <c r="H187" i="14"/>
  <c r="H179" i="14"/>
  <c r="H206" i="14"/>
  <c r="H192" i="14"/>
  <c r="H184" i="14"/>
  <c r="H176" i="14"/>
  <c r="H197" i="14"/>
  <c r="H194" i="14"/>
  <c r="H186" i="14"/>
  <c r="H178" i="14"/>
  <c r="AJ248" i="14"/>
  <c r="AJ240" i="14"/>
  <c r="AJ245" i="14"/>
  <c r="AJ237" i="14"/>
  <c r="AJ247" i="14"/>
  <c r="AJ239" i="14"/>
  <c r="AJ244" i="14"/>
  <c r="AJ236" i="14"/>
  <c r="AJ241" i="14"/>
  <c r="AJ228" i="14"/>
  <c r="AJ220" i="14"/>
  <c r="AJ246" i="14"/>
  <c r="AJ243" i="14"/>
  <c r="AJ233" i="14"/>
  <c r="AJ225" i="14"/>
  <c r="AJ217" i="14"/>
  <c r="AJ238" i="14"/>
  <c r="AJ230" i="14"/>
  <c r="AJ222" i="14"/>
  <c r="AJ214" i="14"/>
  <c r="AJ235" i="14"/>
  <c r="AJ227" i="14"/>
  <c r="AJ219" i="14"/>
  <c r="AJ232" i="14"/>
  <c r="AJ224" i="14"/>
  <c r="AJ216" i="14"/>
  <c r="AJ229" i="14"/>
  <c r="AJ221" i="14"/>
  <c r="AJ242" i="14"/>
  <c r="AJ234" i="14"/>
  <c r="AJ226" i="14"/>
  <c r="AJ218" i="14"/>
  <c r="AJ231" i="14"/>
  <c r="AJ223" i="14"/>
  <c r="AB248" i="14"/>
  <c r="AB240" i="14"/>
  <c r="AB245" i="14"/>
  <c r="AB237" i="14"/>
  <c r="AB247" i="14"/>
  <c r="AB239" i="14"/>
  <c r="AB244" i="14"/>
  <c r="AB236" i="14"/>
  <c r="AB241" i="14"/>
  <c r="AB228" i="14"/>
  <c r="AB220" i="14"/>
  <c r="AB242" i="14"/>
  <c r="AB233" i="14"/>
  <c r="AB225" i="14"/>
  <c r="AB217" i="14"/>
  <c r="AB230" i="14"/>
  <c r="AB222" i="14"/>
  <c r="AB214" i="14"/>
  <c r="AB235" i="14"/>
  <c r="AB227" i="14"/>
  <c r="AB219" i="14"/>
  <c r="AB246" i="14"/>
  <c r="AB243" i="14"/>
  <c r="AB232" i="14"/>
  <c r="AB224" i="14"/>
  <c r="AB216" i="14"/>
  <c r="AB238" i="14"/>
  <c r="AB229" i="14"/>
  <c r="AB221" i="14"/>
  <c r="AB234" i="14"/>
  <c r="AB226" i="14"/>
  <c r="AB218" i="14"/>
  <c r="AB231" i="14"/>
  <c r="AB223" i="14"/>
  <c r="T248" i="14"/>
  <c r="T240" i="14"/>
  <c r="T245" i="14"/>
  <c r="T237" i="14"/>
  <c r="T247" i="14"/>
  <c r="T239" i="14"/>
  <c r="T244" i="14"/>
  <c r="T236" i="14"/>
  <c r="T241" i="14"/>
  <c r="T238" i="14"/>
  <c r="T228" i="14"/>
  <c r="T220" i="14"/>
  <c r="T233" i="14"/>
  <c r="T225" i="14"/>
  <c r="T217" i="14"/>
  <c r="T230" i="14"/>
  <c r="T222" i="14"/>
  <c r="T214" i="14"/>
  <c r="T235" i="14"/>
  <c r="T227" i="14"/>
  <c r="T219" i="14"/>
  <c r="T242" i="14"/>
  <c r="T232" i="14"/>
  <c r="T224" i="14"/>
  <c r="T216" i="14"/>
  <c r="T229" i="14"/>
  <c r="T221" i="14"/>
  <c r="T234" i="14"/>
  <c r="T226" i="14"/>
  <c r="T218" i="14"/>
  <c r="T215" i="14"/>
  <c r="T243" i="14"/>
  <c r="T231" i="14"/>
  <c r="T246" i="14"/>
  <c r="T223" i="14"/>
  <c r="L248" i="14"/>
  <c r="L240" i="14"/>
  <c r="L245" i="14"/>
  <c r="L237" i="14"/>
  <c r="L247" i="14"/>
  <c r="L239" i="14"/>
  <c r="L244" i="14"/>
  <c r="L236" i="14"/>
  <c r="L241" i="14"/>
  <c r="L228" i="14"/>
  <c r="L220" i="14"/>
  <c r="L233" i="14"/>
  <c r="L225" i="14"/>
  <c r="L217" i="14"/>
  <c r="L246" i="14"/>
  <c r="L243" i="14"/>
  <c r="L230" i="14"/>
  <c r="L222" i="14"/>
  <c r="L214" i="14"/>
  <c r="L238" i="14"/>
  <c r="L235" i="14"/>
  <c r="L227" i="14"/>
  <c r="L219" i="14"/>
  <c r="L232" i="14"/>
  <c r="L224" i="14"/>
  <c r="L216" i="14"/>
  <c r="L229" i="14"/>
  <c r="L221" i="14"/>
  <c r="L234" i="14"/>
  <c r="L226" i="14"/>
  <c r="L218" i="14"/>
  <c r="L215" i="14"/>
  <c r="L231" i="14"/>
  <c r="L242" i="14"/>
  <c r="AJ164" i="14"/>
  <c r="AJ161" i="14"/>
  <c r="AJ166" i="14"/>
  <c r="AJ163" i="14"/>
  <c r="AJ165" i="14"/>
  <c r="AB164" i="14"/>
  <c r="AB161" i="14"/>
  <c r="AB166" i="14"/>
  <c r="AB163" i="14"/>
  <c r="AB165" i="14"/>
  <c r="T164" i="14"/>
  <c r="T161" i="14"/>
  <c r="T166" i="14"/>
  <c r="T163" i="14"/>
  <c r="T165" i="14"/>
  <c r="L164" i="14"/>
  <c r="L161" i="14"/>
  <c r="L166" i="14"/>
  <c r="L163" i="14"/>
  <c r="L165" i="14"/>
  <c r="AF111" i="14"/>
  <c r="AG14" i="14" s="1"/>
  <c r="X111" i="14"/>
  <c r="Y14" i="14" s="1"/>
  <c r="P111" i="14"/>
  <c r="Q14" i="14" s="1"/>
  <c r="H111" i="14"/>
  <c r="I14" i="14" s="1"/>
  <c r="K133" i="14"/>
  <c r="S133" i="14"/>
  <c r="AA133" i="14"/>
  <c r="AI133" i="14"/>
  <c r="H134" i="14"/>
  <c r="P134" i="14"/>
  <c r="X134" i="14"/>
  <c r="AF134" i="14"/>
  <c r="E135" i="14"/>
  <c r="M135" i="14"/>
  <c r="U135" i="14"/>
  <c r="AC135" i="14"/>
  <c r="AK135" i="14"/>
  <c r="J136" i="14"/>
  <c r="R136" i="14"/>
  <c r="Z136" i="14"/>
  <c r="AH136" i="14"/>
  <c r="O137" i="14"/>
  <c r="W137" i="14"/>
  <c r="AE137" i="14"/>
  <c r="AM137" i="14"/>
  <c r="L138" i="14"/>
  <c r="T138" i="14"/>
  <c r="AB138" i="14"/>
  <c r="AJ138" i="14"/>
  <c r="I139" i="14"/>
  <c r="Q139" i="14"/>
  <c r="Y139" i="14"/>
  <c r="AG139" i="14"/>
  <c r="N140" i="14"/>
  <c r="V140" i="14"/>
  <c r="AD140" i="14"/>
  <c r="AL140" i="14"/>
  <c r="K141" i="14"/>
  <c r="S141" i="14"/>
  <c r="AA141" i="14"/>
  <c r="AI141" i="14"/>
  <c r="H142" i="14"/>
  <c r="P142" i="14"/>
  <c r="X142" i="14"/>
  <c r="AF142" i="14"/>
  <c r="E143" i="14"/>
  <c r="M143" i="14"/>
  <c r="U143" i="14"/>
  <c r="AC143" i="14"/>
  <c r="AK143" i="14"/>
  <c r="J144" i="14"/>
  <c r="R144" i="14"/>
  <c r="Z144" i="14"/>
  <c r="AH144" i="14"/>
  <c r="O145" i="14"/>
  <c r="W145" i="14"/>
  <c r="AE145" i="14"/>
  <c r="AM145" i="14"/>
  <c r="L146" i="14"/>
  <c r="T146" i="14"/>
  <c r="AB146" i="14"/>
  <c r="AJ146" i="14"/>
  <c r="I147" i="14"/>
  <c r="Q147" i="14"/>
  <c r="Y147" i="14"/>
  <c r="AG147" i="14"/>
  <c r="N148" i="14"/>
  <c r="V148" i="14"/>
  <c r="AD148" i="14"/>
  <c r="AL148" i="14"/>
  <c r="K149" i="14"/>
  <c r="S149" i="14"/>
  <c r="AA149" i="14"/>
  <c r="AI149" i="14"/>
  <c r="H150" i="14"/>
  <c r="P150" i="14"/>
  <c r="X150" i="14"/>
  <c r="AF150" i="14"/>
  <c r="E151" i="14"/>
  <c r="M151" i="14"/>
  <c r="U151" i="14"/>
  <c r="AC151" i="14"/>
  <c r="AK151" i="14"/>
  <c r="J152" i="14"/>
  <c r="R152" i="14"/>
  <c r="Z152" i="14"/>
  <c r="O153" i="14"/>
  <c r="W153" i="14"/>
  <c r="AE153" i="14"/>
  <c r="AM153" i="14"/>
  <c r="L154" i="14"/>
  <c r="T154" i="14"/>
  <c r="AB154" i="14"/>
  <c r="AJ154" i="14"/>
  <c r="Q155" i="14"/>
  <c r="Y155" i="14"/>
  <c r="AG155" i="14"/>
  <c r="N156" i="14"/>
  <c r="V156" i="14"/>
  <c r="AD156" i="14"/>
  <c r="AL156" i="14"/>
  <c r="AI157" i="14"/>
  <c r="H158" i="14"/>
  <c r="P158" i="14"/>
  <c r="X158" i="14"/>
  <c r="E159" i="14"/>
  <c r="M159" i="14"/>
  <c r="W159" i="14"/>
  <c r="AM159" i="14"/>
  <c r="T160" i="14"/>
  <c r="AJ160" i="14"/>
  <c r="V161" i="14"/>
  <c r="AB162" i="14"/>
  <c r="P163" i="14"/>
  <c r="V164" i="14"/>
  <c r="J165" i="14"/>
  <c r="AC165" i="14"/>
  <c r="P166" i="14"/>
  <c r="AM166" i="14"/>
  <c r="K174" i="14"/>
  <c r="AH174" i="14"/>
  <c r="R175" i="14"/>
  <c r="E176" i="14"/>
  <c r="AB176" i="14"/>
  <c r="AH177" i="14"/>
  <c r="V178" i="14"/>
  <c r="AB179" i="14"/>
  <c r="P180" i="14"/>
  <c r="AI180" i="14"/>
  <c r="V181" i="14"/>
  <c r="J182" i="14"/>
  <c r="AC182" i="14"/>
  <c r="P183" i="14"/>
  <c r="AM183" i="14"/>
  <c r="J185" i="14"/>
  <c r="AG185" i="14"/>
  <c r="Q186" i="14"/>
  <c r="AA187" i="14"/>
  <c r="K188" i="14"/>
  <c r="AG188" i="14"/>
  <c r="U189" i="14"/>
  <c r="E190" i="14"/>
  <c r="AA190" i="14"/>
  <c r="O191" i="14"/>
  <c r="AH191" i="14"/>
  <c r="I193" i="14"/>
  <c r="AB193" i="14"/>
  <c r="V195" i="14"/>
  <c r="I196" i="14"/>
  <c r="AG196" i="14"/>
  <c r="AD197" i="14"/>
  <c r="AK199" i="14"/>
  <c r="M207" i="14"/>
  <c r="X219" i="14"/>
  <c r="AL201" i="14"/>
  <c r="AL206" i="14"/>
  <c r="AL203" i="14"/>
  <c r="AL208" i="14"/>
  <c r="AL200" i="14"/>
  <c r="AL205" i="14"/>
  <c r="AL202" i="14"/>
  <c r="AL207" i="14"/>
  <c r="AL199" i="14"/>
  <c r="AL204" i="14"/>
  <c r="AL191" i="14"/>
  <c r="AL183" i="14"/>
  <c r="AL175" i="14"/>
  <c r="AL196" i="14"/>
  <c r="AL188" i="14"/>
  <c r="AL180" i="14"/>
  <c r="AL193" i="14"/>
  <c r="AL185" i="14"/>
  <c r="AL177" i="14"/>
  <c r="AL198" i="14"/>
  <c r="AL190" i="14"/>
  <c r="AL182" i="14"/>
  <c r="AL174" i="14"/>
  <c r="AL192" i="14"/>
  <c r="AL184" i="14"/>
  <c r="AL176" i="14"/>
  <c r="Z246" i="14"/>
  <c r="Z238" i="14"/>
  <c r="Z243" i="14"/>
  <c r="Z245" i="14"/>
  <c r="Z237" i="14"/>
  <c r="Z242" i="14"/>
  <c r="Z247" i="14"/>
  <c r="Z239" i="14"/>
  <c r="Z236" i="14"/>
  <c r="Z234" i="14"/>
  <c r="Z226" i="14"/>
  <c r="Z218" i="14"/>
  <c r="Z231" i="14"/>
  <c r="Z223" i="14"/>
  <c r="Z215" i="14"/>
  <c r="Z228" i="14"/>
  <c r="Z220" i="14"/>
  <c r="Z248" i="14"/>
  <c r="Z233" i="14"/>
  <c r="Z225" i="14"/>
  <c r="Z217" i="14"/>
  <c r="Z240" i="14"/>
  <c r="Z230" i="14"/>
  <c r="Z222" i="14"/>
  <c r="Z214" i="14"/>
  <c r="Z235" i="14"/>
  <c r="Z227" i="14"/>
  <c r="Z219" i="14"/>
  <c r="Z232" i="14"/>
  <c r="Z224" i="14"/>
  <c r="Z216" i="14"/>
  <c r="Z244" i="14"/>
  <c r="Z229" i="14"/>
  <c r="Z241" i="14"/>
  <c r="Z221" i="14"/>
  <c r="AH162" i="14"/>
  <c r="AH167" i="14"/>
  <c r="AH159" i="14"/>
  <c r="AH164" i="14"/>
  <c r="AH161" i="14"/>
  <c r="AH163" i="14"/>
  <c r="J134" i="14"/>
  <c r="AH134" i="14"/>
  <c r="Z142" i="14"/>
  <c r="J150" i="14"/>
  <c r="N154" i="14"/>
  <c r="J158" i="14"/>
  <c r="V194" i="14"/>
  <c r="AL197" i="14"/>
  <c r="M284" i="14"/>
  <c r="M276" i="14"/>
  <c r="M289" i="14"/>
  <c r="M281" i="14"/>
  <c r="M273" i="14"/>
  <c r="M283" i="14"/>
  <c r="M275" i="14"/>
  <c r="M288" i="14"/>
  <c r="M280" i="14"/>
  <c r="M272" i="14"/>
  <c r="M285" i="14"/>
  <c r="M277" i="14"/>
  <c r="M269" i="14"/>
  <c r="M261" i="14"/>
  <c r="M286" i="14"/>
  <c r="M266" i="14"/>
  <c r="M278" i="14"/>
  <c r="M263" i="14"/>
  <c r="M268" i="14"/>
  <c r="M260" i="14"/>
  <c r="M287" i="14"/>
  <c r="M265" i="14"/>
  <c r="M274" i="14"/>
  <c r="M271" i="14"/>
  <c r="M267" i="14"/>
  <c r="M259" i="14"/>
  <c r="M264" i="14"/>
  <c r="M279" i="14"/>
  <c r="M270" i="14"/>
  <c r="M256" i="14"/>
  <c r="M282" i="14"/>
  <c r="M262" i="14"/>
  <c r="M258" i="14"/>
  <c r="M255" i="14"/>
  <c r="M257" i="14"/>
  <c r="U204" i="14"/>
  <c r="U201" i="14"/>
  <c r="U206" i="14"/>
  <c r="U203" i="14"/>
  <c r="U208" i="14"/>
  <c r="U200" i="14"/>
  <c r="U205" i="14"/>
  <c r="U202" i="14"/>
  <c r="U194" i="14"/>
  <c r="U186" i="14"/>
  <c r="U178" i="14"/>
  <c r="U199" i="14"/>
  <c r="U191" i="14"/>
  <c r="U183" i="14"/>
  <c r="U175" i="14"/>
  <c r="U196" i="14"/>
  <c r="U188" i="14"/>
  <c r="U180" i="14"/>
  <c r="U193" i="14"/>
  <c r="U185" i="14"/>
  <c r="U177" i="14"/>
  <c r="U198" i="14"/>
  <c r="U207" i="14"/>
  <c r="U195" i="14"/>
  <c r="U187" i="14"/>
  <c r="U179" i="14"/>
  <c r="AG241" i="14"/>
  <c r="AG246" i="14"/>
  <c r="AG238" i="14"/>
  <c r="AG248" i="14"/>
  <c r="AG240" i="14"/>
  <c r="AG245" i="14"/>
  <c r="AG237" i="14"/>
  <c r="AG242" i="14"/>
  <c r="AG229" i="14"/>
  <c r="AG221" i="14"/>
  <c r="AG234" i="14"/>
  <c r="AG226" i="14"/>
  <c r="AG218" i="14"/>
  <c r="AG243" i="14"/>
  <c r="AG231" i="14"/>
  <c r="AG223" i="14"/>
  <c r="AG215" i="14"/>
  <c r="AG228" i="14"/>
  <c r="AG220" i="14"/>
  <c r="AG233" i="14"/>
  <c r="AG225" i="14"/>
  <c r="AG217" i="14"/>
  <c r="AG247" i="14"/>
  <c r="AG244" i="14"/>
  <c r="AG230" i="14"/>
  <c r="AG222" i="14"/>
  <c r="AG214" i="14"/>
  <c r="AG239" i="14"/>
  <c r="AG236" i="14"/>
  <c r="AG235" i="14"/>
  <c r="AG227" i="14"/>
  <c r="AG219" i="14"/>
  <c r="AG216" i="14"/>
  <c r="AG232" i="14"/>
  <c r="I165" i="14"/>
  <c r="I162" i="14"/>
  <c r="I167" i="14"/>
  <c r="I164" i="14"/>
  <c r="I166" i="14"/>
  <c r="M111" i="14"/>
  <c r="N14" i="14" s="1"/>
  <c r="V133" i="14"/>
  <c r="U136" i="14"/>
  <c r="R137" i="14"/>
  <c r="N141" i="14"/>
  <c r="U144" i="14"/>
  <c r="R145" i="14"/>
  <c r="AH145" i="14"/>
  <c r="Z153" i="14"/>
  <c r="Y156" i="14"/>
  <c r="AC192" i="14"/>
  <c r="AD195" i="14"/>
  <c r="M197" i="14"/>
  <c r="R240" i="14"/>
  <c r="AB287" i="14"/>
  <c r="AB279" i="14"/>
  <c r="AB271" i="14"/>
  <c r="AB284" i="14"/>
  <c r="AB276" i="14"/>
  <c r="AB286" i="14"/>
  <c r="AB278" i="14"/>
  <c r="AB270" i="14"/>
  <c r="AB283" i="14"/>
  <c r="AB275" i="14"/>
  <c r="AB288" i="14"/>
  <c r="AB280" i="14"/>
  <c r="AB272" i="14"/>
  <c r="AB285" i="14"/>
  <c r="AB282" i="14"/>
  <c r="AB264" i="14"/>
  <c r="AB277" i="14"/>
  <c r="AB274" i="14"/>
  <c r="AB269" i="14"/>
  <c r="AB261" i="14"/>
  <c r="AB266" i="14"/>
  <c r="AB258" i="14"/>
  <c r="AB263" i="14"/>
  <c r="AB289" i="14"/>
  <c r="AB268" i="14"/>
  <c r="AB260" i="14"/>
  <c r="AB273" i="14"/>
  <c r="AB262" i="14"/>
  <c r="AB267" i="14"/>
  <c r="AB281" i="14"/>
  <c r="AB265" i="14"/>
  <c r="AB255" i="14"/>
  <c r="AB256" i="14"/>
  <c r="AB257" i="14"/>
  <c r="AB259" i="14"/>
  <c r="L207" i="14"/>
  <c r="L204" i="14"/>
  <c r="L201" i="14"/>
  <c r="L206" i="14"/>
  <c r="L203" i="14"/>
  <c r="L208" i="14"/>
  <c r="L200" i="14"/>
  <c r="L205" i="14"/>
  <c r="L197" i="14"/>
  <c r="L189" i="14"/>
  <c r="L181" i="14"/>
  <c r="L194" i="14"/>
  <c r="L186" i="14"/>
  <c r="L178" i="14"/>
  <c r="L199" i="14"/>
  <c r="L191" i="14"/>
  <c r="L183" i="14"/>
  <c r="L175" i="14"/>
  <c r="L196" i="14"/>
  <c r="L188" i="14"/>
  <c r="L180" i="14"/>
  <c r="L202" i="14"/>
  <c r="L198" i="14"/>
  <c r="L190" i="14"/>
  <c r="L182" i="14"/>
  <c r="L174" i="14"/>
  <c r="AF244" i="14"/>
  <c r="AF236" i="14"/>
  <c r="AF241" i="14"/>
  <c r="AF243" i="14"/>
  <c r="AF248" i="14"/>
  <c r="AF240" i="14"/>
  <c r="AF245" i="14"/>
  <c r="AF237" i="14"/>
  <c r="AF232" i="14"/>
  <c r="AF224" i="14"/>
  <c r="AF216" i="14"/>
  <c r="AF229" i="14"/>
  <c r="AF221" i="14"/>
  <c r="AF234" i="14"/>
  <c r="AF226" i="14"/>
  <c r="AF218" i="14"/>
  <c r="AF246" i="14"/>
  <c r="AF231" i="14"/>
  <c r="AF223" i="14"/>
  <c r="AF215" i="14"/>
  <c r="AF238" i="14"/>
  <c r="AF228" i="14"/>
  <c r="AF220" i="14"/>
  <c r="AF233" i="14"/>
  <c r="AF225" i="14"/>
  <c r="AF217" i="14"/>
  <c r="AF247" i="14"/>
  <c r="AF230" i="14"/>
  <c r="AF222" i="14"/>
  <c r="AF214" i="14"/>
  <c r="AF239" i="14"/>
  <c r="AF227" i="14"/>
  <c r="AF242" i="14"/>
  <c r="AF219" i="14"/>
  <c r="AF165" i="14"/>
  <c r="AF162" i="14"/>
  <c r="AF167" i="14"/>
  <c r="AF159" i="14"/>
  <c r="AF161" i="14"/>
  <c r="AB111" i="14"/>
  <c r="AC14" i="14" s="1"/>
  <c r="L111" i="14"/>
  <c r="M14" i="14" s="1"/>
  <c r="Q135" i="14"/>
  <c r="X138" i="14"/>
  <c r="M139" i="14"/>
  <c r="R140" i="14"/>
  <c r="I143" i="14"/>
  <c r="E147" i="14"/>
  <c r="AC147" i="14"/>
  <c r="R148" i="14"/>
  <c r="T150" i="14"/>
  <c r="Y151" i="14"/>
  <c r="H154" i="14"/>
  <c r="M155" i="14"/>
  <c r="J156" i="14"/>
  <c r="T158" i="14"/>
  <c r="I159" i="14"/>
  <c r="U174" i="14"/>
  <c r="S282" i="14"/>
  <c r="S274" i="14"/>
  <c r="S287" i="14"/>
  <c r="S279" i="14"/>
  <c r="S271" i="14"/>
  <c r="S289" i="14"/>
  <c r="S281" i="14"/>
  <c r="S273" i="14"/>
  <c r="S286" i="14"/>
  <c r="S278" i="14"/>
  <c r="S283" i="14"/>
  <c r="S275" i="14"/>
  <c r="S267" i="14"/>
  <c r="S259" i="14"/>
  <c r="S284" i="14"/>
  <c r="S264" i="14"/>
  <c r="S276" i="14"/>
  <c r="S269" i="14"/>
  <c r="S261" i="14"/>
  <c r="S266" i="14"/>
  <c r="S288" i="14"/>
  <c r="S285" i="14"/>
  <c r="S263" i="14"/>
  <c r="S272" i="14"/>
  <c r="S265" i="14"/>
  <c r="S270" i="14"/>
  <c r="S268" i="14"/>
  <c r="S257" i="14"/>
  <c r="S277" i="14"/>
  <c r="S260" i="14"/>
  <c r="S256" i="14"/>
  <c r="S255" i="14"/>
  <c r="S258" i="14"/>
  <c r="S262" i="14"/>
  <c r="S280" i="14"/>
  <c r="AA202" i="14"/>
  <c r="AA207" i="14"/>
  <c r="AA199" i="14"/>
  <c r="AA204" i="14"/>
  <c r="AA201" i="14"/>
  <c r="AA206" i="14"/>
  <c r="AA203" i="14"/>
  <c r="AA208" i="14"/>
  <c r="AA200" i="14"/>
  <c r="AA192" i="14"/>
  <c r="AA184" i="14"/>
  <c r="AA176" i="14"/>
  <c r="AA197" i="14"/>
  <c r="AA189" i="14"/>
  <c r="AA181" i="14"/>
  <c r="AA194" i="14"/>
  <c r="AA186" i="14"/>
  <c r="AA178" i="14"/>
  <c r="AA191" i="14"/>
  <c r="AA183" i="14"/>
  <c r="AA175" i="14"/>
  <c r="AA196" i="14"/>
  <c r="AA205" i="14"/>
  <c r="AA193" i="14"/>
  <c r="AA185" i="14"/>
  <c r="AA177" i="14"/>
  <c r="AE247" i="14"/>
  <c r="AE239" i="14"/>
  <c r="AE244" i="14"/>
  <c r="AE236" i="14"/>
  <c r="AE246" i="14"/>
  <c r="AE238" i="14"/>
  <c r="AE243" i="14"/>
  <c r="AE248" i="14"/>
  <c r="AE240" i="14"/>
  <c r="AE245" i="14"/>
  <c r="AE242" i="14"/>
  <c r="AE235" i="14"/>
  <c r="AE227" i="14"/>
  <c r="AE219" i="14"/>
  <c r="AE237" i="14"/>
  <c r="AE232" i="14"/>
  <c r="AE224" i="14"/>
  <c r="AE216" i="14"/>
  <c r="AE229" i="14"/>
  <c r="AE221" i="14"/>
  <c r="AE234" i="14"/>
  <c r="AE226" i="14"/>
  <c r="AE218" i="14"/>
  <c r="AE231" i="14"/>
  <c r="AE223" i="14"/>
  <c r="AE215" i="14"/>
  <c r="AE241" i="14"/>
  <c r="AE228" i="14"/>
  <c r="AE220" i="14"/>
  <c r="AE233" i="14"/>
  <c r="AE225" i="14"/>
  <c r="AE217" i="14"/>
  <c r="AE222" i="14"/>
  <c r="AE214" i="14"/>
  <c r="AE230" i="14"/>
  <c r="W163" i="14"/>
  <c r="W160" i="14"/>
  <c r="W165" i="14"/>
  <c r="W162" i="14"/>
  <c r="W164" i="14"/>
  <c r="H133" i="14"/>
  <c r="X133" i="14"/>
  <c r="J135" i="14"/>
  <c r="AH135" i="14"/>
  <c r="AM286" i="14"/>
  <c r="AM278" i="14"/>
  <c r="AM270" i="14"/>
  <c r="AM283" i="14"/>
  <c r="AM275" i="14"/>
  <c r="AM285" i="14"/>
  <c r="AM277" i="14"/>
  <c r="AM282" i="14"/>
  <c r="AM274" i="14"/>
  <c r="AM287" i="14"/>
  <c r="AM279" i="14"/>
  <c r="AM271" i="14"/>
  <c r="AM289" i="14"/>
  <c r="AM263" i="14"/>
  <c r="AM284" i="14"/>
  <c r="AM281" i="14"/>
  <c r="AM268" i="14"/>
  <c r="AM260" i="14"/>
  <c r="AM276" i="14"/>
  <c r="AM273" i="14"/>
  <c r="AM265" i="14"/>
  <c r="AM262" i="14"/>
  <c r="AM267" i="14"/>
  <c r="AM259" i="14"/>
  <c r="AM280" i="14"/>
  <c r="AM269" i="14"/>
  <c r="AM261" i="14"/>
  <c r="AM272" i="14"/>
  <c r="AM266" i="14"/>
  <c r="AM288" i="14"/>
  <c r="AM258" i="14"/>
  <c r="AM257" i="14"/>
  <c r="AM255" i="14"/>
  <c r="AM256" i="14"/>
  <c r="AM264" i="14"/>
  <c r="AE286" i="14"/>
  <c r="AE278" i="14"/>
  <c r="AE270" i="14"/>
  <c r="AE283" i="14"/>
  <c r="AE275" i="14"/>
  <c r="AE285" i="14"/>
  <c r="AE277" i="14"/>
  <c r="AE282" i="14"/>
  <c r="AE274" i="14"/>
  <c r="AE287" i="14"/>
  <c r="AE279" i="14"/>
  <c r="AE271" i="14"/>
  <c r="AE288" i="14"/>
  <c r="AE263" i="14"/>
  <c r="AE280" i="14"/>
  <c r="AE268" i="14"/>
  <c r="AE260" i="14"/>
  <c r="AE272" i="14"/>
  <c r="AE265" i="14"/>
  <c r="AE289" i="14"/>
  <c r="AE262" i="14"/>
  <c r="AE284" i="14"/>
  <c r="AE281" i="14"/>
  <c r="AE267" i="14"/>
  <c r="AE259" i="14"/>
  <c r="AE269" i="14"/>
  <c r="AE261" i="14"/>
  <c r="AE266" i="14"/>
  <c r="AE264" i="14"/>
  <c r="AE273" i="14"/>
  <c r="AE276" i="14"/>
  <c r="AE257" i="14"/>
  <c r="AE258" i="14"/>
  <c r="AE255" i="14"/>
  <c r="W286" i="14"/>
  <c r="W278" i="14"/>
  <c r="W283" i="14"/>
  <c r="W275" i="14"/>
  <c r="W285" i="14"/>
  <c r="W277" i="14"/>
  <c r="W282" i="14"/>
  <c r="W274" i="14"/>
  <c r="W287" i="14"/>
  <c r="W279" i="14"/>
  <c r="W271" i="14"/>
  <c r="W276" i="14"/>
  <c r="W273" i="14"/>
  <c r="W263" i="14"/>
  <c r="W268" i="14"/>
  <c r="W260" i="14"/>
  <c r="W265" i="14"/>
  <c r="W288" i="14"/>
  <c r="W270" i="14"/>
  <c r="W262" i="14"/>
  <c r="W280" i="14"/>
  <c r="W267" i="14"/>
  <c r="W259" i="14"/>
  <c r="W289" i="14"/>
  <c r="W269" i="14"/>
  <c r="W261" i="14"/>
  <c r="W284" i="14"/>
  <c r="W281" i="14"/>
  <c r="W266" i="14"/>
  <c r="W264" i="14"/>
  <c r="W272" i="14"/>
  <c r="W258" i="14"/>
  <c r="W257" i="14"/>
  <c r="W256" i="14"/>
  <c r="W255" i="14"/>
  <c r="O286" i="14"/>
  <c r="O278" i="14"/>
  <c r="O283" i="14"/>
  <c r="O275" i="14"/>
  <c r="O285" i="14"/>
  <c r="O277" i="14"/>
  <c r="O282" i="14"/>
  <c r="O274" i="14"/>
  <c r="O287" i="14"/>
  <c r="O279" i="14"/>
  <c r="O271" i="14"/>
  <c r="O272" i="14"/>
  <c r="O263" i="14"/>
  <c r="O289" i="14"/>
  <c r="O268" i="14"/>
  <c r="O260" i="14"/>
  <c r="O284" i="14"/>
  <c r="O281" i="14"/>
  <c r="O265" i="14"/>
  <c r="O276" i="14"/>
  <c r="O273" i="14"/>
  <c r="O270" i="14"/>
  <c r="O262" i="14"/>
  <c r="O267" i="14"/>
  <c r="O259" i="14"/>
  <c r="O288" i="14"/>
  <c r="O269" i="14"/>
  <c r="O261" i="14"/>
  <c r="O280" i="14"/>
  <c r="O266" i="14"/>
  <c r="O258" i="14"/>
  <c r="O257" i="14"/>
  <c r="O255" i="14"/>
  <c r="O256" i="14"/>
  <c r="O264" i="14"/>
  <c r="AM206" i="14"/>
  <c r="AM203" i="14"/>
  <c r="AM208" i="14"/>
  <c r="AM200" i="14"/>
  <c r="AM205" i="14"/>
  <c r="AM202" i="14"/>
  <c r="AM207" i="14"/>
  <c r="AM199" i="14"/>
  <c r="AM204" i="14"/>
  <c r="AM196" i="14"/>
  <c r="AM188" i="14"/>
  <c r="AM180" i="14"/>
  <c r="AM193" i="14"/>
  <c r="AM185" i="14"/>
  <c r="AM177" i="14"/>
  <c r="AM198" i="14"/>
  <c r="AM190" i="14"/>
  <c r="AM182" i="14"/>
  <c r="AM174" i="14"/>
  <c r="AM195" i="14"/>
  <c r="AM187" i="14"/>
  <c r="AM179" i="14"/>
  <c r="AM201" i="14"/>
  <c r="AM197" i="14"/>
  <c r="AM189" i="14"/>
  <c r="AM181" i="14"/>
  <c r="AE206" i="14"/>
  <c r="AE203" i="14"/>
  <c r="AE208" i="14"/>
  <c r="AE200" i="14"/>
  <c r="AE205" i="14"/>
  <c r="AE202" i="14"/>
  <c r="AE207" i="14"/>
  <c r="AE199" i="14"/>
  <c r="AE204" i="14"/>
  <c r="AE196" i="14"/>
  <c r="AE188" i="14"/>
  <c r="AE180" i="14"/>
  <c r="AE193" i="14"/>
  <c r="AE185" i="14"/>
  <c r="AE177" i="14"/>
  <c r="AE198" i="14"/>
  <c r="AE190" i="14"/>
  <c r="AE182" i="14"/>
  <c r="AE174" i="14"/>
  <c r="AE195" i="14"/>
  <c r="AE187" i="14"/>
  <c r="AE179" i="14"/>
  <c r="AE197" i="14"/>
  <c r="AE189" i="14"/>
  <c r="AE181" i="14"/>
  <c r="W206" i="14"/>
  <c r="W203" i="14"/>
  <c r="W208" i="14"/>
  <c r="W200" i="14"/>
  <c r="W205" i="14"/>
  <c r="W202" i="14"/>
  <c r="W207" i="14"/>
  <c r="W204" i="14"/>
  <c r="W199" i="14"/>
  <c r="W196" i="14"/>
  <c r="W188" i="14"/>
  <c r="W180" i="14"/>
  <c r="W193" i="14"/>
  <c r="W185" i="14"/>
  <c r="W177" i="14"/>
  <c r="W198" i="14"/>
  <c r="W190" i="14"/>
  <c r="W182" i="14"/>
  <c r="W174" i="14"/>
  <c r="W195" i="14"/>
  <c r="W187" i="14"/>
  <c r="W179" i="14"/>
  <c r="W197" i="14"/>
  <c r="W189" i="14"/>
  <c r="W181" i="14"/>
  <c r="O206" i="14"/>
  <c r="O203" i="14"/>
  <c r="O208" i="14"/>
  <c r="O200" i="14"/>
  <c r="O205" i="14"/>
  <c r="O202" i="14"/>
  <c r="O207" i="14"/>
  <c r="O204" i="14"/>
  <c r="O201" i="14"/>
  <c r="O196" i="14"/>
  <c r="O188" i="14"/>
  <c r="O180" i="14"/>
  <c r="O193" i="14"/>
  <c r="O185" i="14"/>
  <c r="O177" i="14"/>
  <c r="O198" i="14"/>
  <c r="O190" i="14"/>
  <c r="O182" i="14"/>
  <c r="O174" i="14"/>
  <c r="O195" i="14"/>
  <c r="O187" i="14"/>
  <c r="O179" i="14"/>
  <c r="O197" i="14"/>
  <c r="O189" i="14"/>
  <c r="O181" i="14"/>
  <c r="AI243" i="14"/>
  <c r="AI248" i="14"/>
  <c r="AI240" i="14"/>
  <c r="AI242" i="14"/>
  <c r="AI247" i="14"/>
  <c r="AI239" i="14"/>
  <c r="AI244" i="14"/>
  <c r="AI236" i="14"/>
  <c r="AI237" i="14"/>
  <c r="AI231" i="14"/>
  <c r="AI223" i="14"/>
  <c r="AI215" i="14"/>
  <c r="AI228" i="14"/>
  <c r="AI220" i="14"/>
  <c r="AI246" i="14"/>
  <c r="AI233" i="14"/>
  <c r="AI225" i="14"/>
  <c r="AI217" i="14"/>
  <c r="AI241" i="14"/>
  <c r="AI238" i="14"/>
  <c r="AI230" i="14"/>
  <c r="AI222" i="14"/>
  <c r="AI214" i="14"/>
  <c r="AI235" i="14"/>
  <c r="AI227" i="14"/>
  <c r="AI219" i="14"/>
  <c r="AI232" i="14"/>
  <c r="AI224" i="14"/>
  <c r="AI216" i="14"/>
  <c r="AI229" i="14"/>
  <c r="AI221" i="14"/>
  <c r="AI218" i="14"/>
  <c r="AI234" i="14"/>
  <c r="AA243" i="14"/>
  <c r="AA248" i="14"/>
  <c r="AA240" i="14"/>
  <c r="AA242" i="14"/>
  <c r="AA247" i="14"/>
  <c r="AA239" i="14"/>
  <c r="AA244" i="14"/>
  <c r="AA236" i="14"/>
  <c r="AA231" i="14"/>
  <c r="AA223" i="14"/>
  <c r="AA215" i="14"/>
  <c r="AA228" i="14"/>
  <c r="AA220" i="14"/>
  <c r="AA245" i="14"/>
  <c r="AA233" i="14"/>
  <c r="AA225" i="14"/>
  <c r="AA217" i="14"/>
  <c r="AA237" i="14"/>
  <c r="AA230" i="14"/>
  <c r="AA222" i="14"/>
  <c r="AA214" i="14"/>
  <c r="AA235" i="14"/>
  <c r="AA227" i="14"/>
  <c r="AA219" i="14"/>
  <c r="AA246" i="14"/>
  <c r="AA232" i="14"/>
  <c r="AA224" i="14"/>
  <c r="AA216" i="14"/>
  <c r="AA241" i="14"/>
  <c r="AA238" i="14"/>
  <c r="AA229" i="14"/>
  <c r="AA221" i="14"/>
  <c r="AA218" i="14"/>
  <c r="AA234" i="14"/>
  <c r="S243" i="14"/>
  <c r="S248" i="14"/>
  <c r="S240" i="14"/>
  <c r="S242" i="14"/>
  <c r="S247" i="14"/>
  <c r="S239" i="14"/>
  <c r="S244" i="14"/>
  <c r="S236" i="14"/>
  <c r="S246" i="14"/>
  <c r="S231" i="14"/>
  <c r="S223" i="14"/>
  <c r="S215" i="14"/>
  <c r="S241" i="14"/>
  <c r="S238" i="14"/>
  <c r="S228" i="14"/>
  <c r="S220" i="14"/>
  <c r="S233" i="14"/>
  <c r="S225" i="14"/>
  <c r="S217" i="14"/>
  <c r="S230" i="14"/>
  <c r="S222" i="14"/>
  <c r="S214" i="14"/>
  <c r="S235" i="14"/>
  <c r="S227" i="14"/>
  <c r="S219" i="14"/>
  <c r="S245" i="14"/>
  <c r="S232" i="14"/>
  <c r="S224" i="14"/>
  <c r="S216" i="14"/>
  <c r="S237" i="14"/>
  <c r="S229" i="14"/>
  <c r="S221" i="14"/>
  <c r="S226" i="14"/>
  <c r="S218" i="14"/>
  <c r="S234" i="14"/>
  <c r="K243" i="14"/>
  <c r="K248" i="14"/>
  <c r="K240" i="14"/>
  <c r="K242" i="14"/>
  <c r="K247" i="14"/>
  <c r="K239" i="14"/>
  <c r="K244" i="14"/>
  <c r="K236" i="14"/>
  <c r="K245" i="14"/>
  <c r="K231" i="14"/>
  <c r="K223" i="14"/>
  <c r="K215" i="14"/>
  <c r="K237" i="14"/>
  <c r="K228" i="14"/>
  <c r="K220" i="14"/>
  <c r="K233" i="14"/>
  <c r="K225" i="14"/>
  <c r="K217" i="14"/>
  <c r="K246" i="14"/>
  <c r="K230" i="14"/>
  <c r="K222" i="14"/>
  <c r="K214" i="14"/>
  <c r="K241" i="14"/>
  <c r="K238" i="14"/>
  <c r="K235" i="14"/>
  <c r="K227" i="14"/>
  <c r="K219" i="14"/>
  <c r="K232" i="14"/>
  <c r="K224" i="14"/>
  <c r="K216" i="14"/>
  <c r="K229" i="14"/>
  <c r="K221" i="14"/>
  <c r="K226" i="14"/>
  <c r="K218" i="14"/>
  <c r="AI167" i="14"/>
  <c r="AI164" i="14"/>
  <c r="AI161" i="14"/>
  <c r="AI166" i="14"/>
  <c r="AI160" i="14"/>
  <c r="AA167" i="14"/>
  <c r="AA164" i="14"/>
  <c r="AA161" i="14"/>
  <c r="AA166" i="14"/>
  <c r="AA160" i="14"/>
  <c r="S167" i="14"/>
  <c r="S164" i="14"/>
  <c r="S161" i="14"/>
  <c r="S166" i="14"/>
  <c r="S160" i="14"/>
  <c r="K167" i="14"/>
  <c r="K164" i="14"/>
  <c r="K161" i="14"/>
  <c r="K166" i="14"/>
  <c r="K160" i="14"/>
  <c r="AE111" i="14"/>
  <c r="AF14" i="14" s="1"/>
  <c r="W111" i="14"/>
  <c r="X14" i="14" s="1"/>
  <c r="O111" i="14"/>
  <c r="P14" i="14" s="1"/>
  <c r="G111" i="14"/>
  <c r="H14" i="14" s="1"/>
  <c r="L133" i="14"/>
  <c r="T133" i="14"/>
  <c r="AB133" i="14"/>
  <c r="AJ133" i="14"/>
  <c r="I134" i="14"/>
  <c r="Q134" i="14"/>
  <c r="Y134" i="14"/>
  <c r="AG134" i="14"/>
  <c r="N135" i="14"/>
  <c r="V135" i="14"/>
  <c r="AD135" i="14"/>
  <c r="AL135" i="14"/>
  <c r="K136" i="14"/>
  <c r="S136" i="14"/>
  <c r="AA136" i="14"/>
  <c r="AI136" i="14"/>
  <c r="H137" i="14"/>
  <c r="P137" i="14"/>
  <c r="X137" i="14"/>
  <c r="AF137" i="14"/>
  <c r="E138" i="14"/>
  <c r="M138" i="14"/>
  <c r="U138" i="14"/>
  <c r="AC138" i="14"/>
  <c r="AK138" i="14"/>
  <c r="J139" i="14"/>
  <c r="R139" i="14"/>
  <c r="Z139" i="14"/>
  <c r="AH139" i="14"/>
  <c r="O140" i="14"/>
  <c r="W140" i="14"/>
  <c r="AE140" i="14"/>
  <c r="AM140" i="14"/>
  <c r="L141" i="14"/>
  <c r="T141" i="14"/>
  <c r="AB141" i="14"/>
  <c r="AJ141" i="14"/>
  <c r="I142" i="14"/>
  <c r="Q142" i="14"/>
  <c r="Y142" i="14"/>
  <c r="AG142" i="14"/>
  <c r="N143" i="14"/>
  <c r="V143" i="14"/>
  <c r="AD143" i="14"/>
  <c r="AL143" i="14"/>
  <c r="K144" i="14"/>
  <c r="S144" i="14"/>
  <c r="AA144" i="14"/>
  <c r="AI144" i="14"/>
  <c r="H145" i="14"/>
  <c r="P145" i="14"/>
  <c r="X145" i="14"/>
  <c r="AF145" i="14"/>
  <c r="E146" i="14"/>
  <c r="M146" i="14"/>
  <c r="U146" i="14"/>
  <c r="AC146" i="14"/>
  <c r="AK146" i="14"/>
  <c r="J147" i="14"/>
  <c r="R147" i="14"/>
  <c r="Z147" i="14"/>
  <c r="AH147" i="14"/>
  <c r="O148" i="14"/>
  <c r="W148" i="14"/>
  <c r="AE148" i="14"/>
  <c r="AM148" i="14"/>
  <c r="L149" i="14"/>
  <c r="T149" i="14"/>
  <c r="AB149" i="14"/>
  <c r="AJ149" i="14"/>
  <c r="I150" i="14"/>
  <c r="Q150" i="14"/>
  <c r="Y150" i="14"/>
  <c r="AG150" i="14"/>
  <c r="N151" i="14"/>
  <c r="V151" i="14"/>
  <c r="AD151" i="14"/>
  <c r="AL151" i="14"/>
  <c r="K152" i="14"/>
  <c r="S152" i="14"/>
  <c r="AA152" i="14"/>
  <c r="AI152" i="14"/>
  <c r="H153" i="14"/>
  <c r="P153" i="14"/>
  <c r="X153" i="14"/>
  <c r="AF153" i="14"/>
  <c r="E154" i="14"/>
  <c r="M154" i="14"/>
  <c r="U154" i="14"/>
  <c r="AC154" i="14"/>
  <c r="AK154" i="14"/>
  <c r="J155" i="14"/>
  <c r="R155" i="14"/>
  <c r="Z155" i="14"/>
  <c r="AH155" i="14"/>
  <c r="O156" i="14"/>
  <c r="W156" i="14"/>
  <c r="AE156" i="14"/>
  <c r="AM156" i="14"/>
  <c r="L157" i="14"/>
  <c r="T157" i="14"/>
  <c r="AB157" i="14"/>
  <c r="AJ157" i="14"/>
  <c r="I158" i="14"/>
  <c r="Q158" i="14"/>
  <c r="Y158" i="14"/>
  <c r="AG158" i="14"/>
  <c r="N159" i="14"/>
  <c r="AA159" i="14"/>
  <c r="H160" i="14"/>
  <c r="X160" i="14"/>
  <c r="E161" i="14"/>
  <c r="W161" i="14"/>
  <c r="K162" i="14"/>
  <c r="AD162" i="14"/>
  <c r="Q163" i="14"/>
  <c r="E164" i="14"/>
  <c r="X164" i="14"/>
  <c r="K165" i="14"/>
  <c r="AH165" i="14"/>
  <c r="R166" i="14"/>
  <c r="AB167" i="14"/>
  <c r="M174" i="14"/>
  <c r="AI174" i="14"/>
  <c r="W175" i="14"/>
  <c r="AC176" i="14"/>
  <c r="Q177" i="14"/>
  <c r="AJ177" i="14"/>
  <c r="W178" i="14"/>
  <c r="K179" i="14"/>
  <c r="AD179" i="14"/>
  <c r="Q180" i="14"/>
  <c r="E181" i="14"/>
  <c r="X181" i="14"/>
  <c r="K182" i="14"/>
  <c r="AH182" i="14"/>
  <c r="R183" i="14"/>
  <c r="E184" i="14"/>
  <c r="AB184" i="14"/>
  <c r="L185" i="14"/>
  <c r="AH185" i="14"/>
  <c r="V186" i="14"/>
  <c r="AB187" i="14"/>
  <c r="P188" i="14"/>
  <c r="AI188" i="14"/>
  <c r="V189" i="14"/>
  <c r="J190" i="14"/>
  <c r="AC190" i="14"/>
  <c r="P191" i="14"/>
  <c r="AM191" i="14"/>
  <c r="W192" i="14"/>
  <c r="J193" i="14"/>
  <c r="AG193" i="14"/>
  <c r="Q194" i="14"/>
  <c r="AM194" i="14"/>
  <c r="AA195" i="14"/>
  <c r="K196" i="14"/>
  <c r="E197" i="14"/>
  <c r="AK197" i="14"/>
  <c r="AH198" i="14"/>
  <c r="W201" i="14"/>
  <c r="AH208" i="14"/>
  <c r="J221" i="14"/>
  <c r="U228" i="14"/>
  <c r="AF235" i="14"/>
  <c r="E278" i="14"/>
  <c r="P236" i="29"/>
  <c r="O236" i="29"/>
  <c r="M236" i="29"/>
  <c r="L236" i="29"/>
  <c r="K236" i="29"/>
  <c r="J236" i="29"/>
  <c r="I236" i="29"/>
  <c r="H236" i="29"/>
  <c r="G236" i="29"/>
  <c r="E41" i="28"/>
  <c r="E40" i="28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D26" i="5"/>
  <c r="G165" i="1"/>
  <c r="D167" i="1" s="1"/>
  <c r="I52" i="27"/>
  <c r="T30" i="21" s="1"/>
  <c r="I51" i="27"/>
  <c r="T29" i="21" s="1"/>
  <c r="F67" i="9"/>
  <c r="E34" i="34" s="1"/>
  <c r="T13" i="16"/>
  <c r="T12" i="16"/>
  <c r="R12" i="16"/>
  <c r="S12" i="16"/>
  <c r="U12" i="16"/>
  <c r="S13" i="16"/>
  <c r="S14" i="16"/>
  <c r="T14" i="16"/>
  <c r="S15" i="16"/>
  <c r="T15" i="16"/>
  <c r="S16" i="16"/>
  <c r="T16" i="16"/>
  <c r="S17" i="16"/>
  <c r="T17" i="16"/>
  <c r="S18" i="16"/>
  <c r="T18" i="16"/>
  <c r="S19" i="16"/>
  <c r="T19" i="16"/>
  <c r="S20" i="16"/>
  <c r="T20" i="16"/>
  <c r="R20" i="16"/>
  <c r="R19" i="16"/>
  <c r="R14" i="16"/>
  <c r="R15" i="16"/>
  <c r="R16" i="16"/>
  <c r="R17" i="16"/>
  <c r="R18" i="16"/>
  <c r="R13" i="16"/>
  <c r="P64" i="30"/>
  <c r="P62" i="30"/>
  <c r="P61" i="30"/>
  <c r="P60" i="30"/>
  <c r="M56" i="30"/>
  <c r="P56" i="30" s="1"/>
  <c r="N54" i="30"/>
  <c r="M54" i="30"/>
  <c r="P54" i="30" s="1"/>
  <c r="M53" i="30"/>
  <c r="P53" i="30" s="1"/>
  <c r="M52" i="30"/>
  <c r="P52" i="30" s="1"/>
  <c r="T21" i="16" l="1"/>
  <c r="D37" i="28"/>
  <c r="L29" i="21"/>
  <c r="S32" i="21"/>
  <c r="G157" i="10"/>
  <c r="G149" i="10"/>
  <c r="G141" i="10"/>
  <c r="G133" i="10"/>
  <c r="G160" i="10"/>
  <c r="G152" i="10"/>
  <c r="G131" i="10"/>
  <c r="G158" i="10"/>
  <c r="G145" i="10"/>
  <c r="G129" i="10"/>
  <c r="G140" i="10"/>
  <c r="G135" i="10"/>
  <c r="G146" i="10"/>
  <c r="G132" i="10"/>
  <c r="G138" i="10"/>
  <c r="G128" i="10"/>
  <c r="G156" i="10"/>
  <c r="G148" i="10"/>
  <c r="G159" i="10"/>
  <c r="G151" i="10"/>
  <c r="G143" i="10"/>
  <c r="G127" i="10"/>
  <c r="G154" i="10"/>
  <c r="G130" i="10"/>
  <c r="G155" i="10"/>
  <c r="G147" i="10"/>
  <c r="G139" i="10"/>
  <c r="G150" i="10"/>
  <c r="G142" i="10"/>
  <c r="G134" i="10"/>
  <c r="G137" i="10"/>
  <c r="G144" i="10"/>
  <c r="G136" i="10"/>
  <c r="G161" i="10"/>
  <c r="G153" i="10"/>
  <c r="S21" i="16"/>
  <c r="F313" i="14"/>
  <c r="F317" i="14"/>
  <c r="F321" i="14"/>
  <c r="F325" i="14"/>
  <c r="F329" i="14"/>
  <c r="F314" i="14"/>
  <c r="F318" i="14"/>
  <c r="F322" i="14"/>
  <c r="F326" i="14"/>
  <c r="F315" i="14"/>
  <c r="F319" i="14"/>
  <c r="F323" i="14"/>
  <c r="F327" i="14"/>
  <c r="F316" i="14"/>
  <c r="F320" i="14"/>
  <c r="F324" i="14"/>
  <c r="F328" i="14"/>
  <c r="F345" i="14"/>
  <c r="F333" i="14"/>
  <c r="F337" i="14"/>
  <c r="F341" i="14"/>
  <c r="F330" i="14"/>
  <c r="F334" i="14"/>
  <c r="F338" i="14"/>
  <c r="F342" i="14"/>
  <c r="F346" i="14"/>
  <c r="F312" i="14"/>
  <c r="F343" i="14"/>
  <c r="F331" i="14"/>
  <c r="F335" i="14"/>
  <c r="F339" i="14"/>
  <c r="F332" i="14"/>
  <c r="F336" i="14"/>
  <c r="F340" i="14"/>
  <c r="F344" i="14"/>
  <c r="F70" i="9" a="1"/>
  <c r="F70" i="9" s="1"/>
  <c r="E37" i="34" s="1"/>
  <c r="AN26" i="5"/>
  <c r="P65" i="30"/>
  <c r="G54" i="30"/>
  <c r="G53" i="30"/>
  <c r="G52" i="30"/>
  <c r="G56" i="30"/>
  <c r="G64" i="30"/>
  <c r="G61" i="30"/>
  <c r="G63" i="30"/>
  <c r="G69" i="30"/>
  <c r="G51" i="30"/>
  <c r="G60" i="30"/>
  <c r="G62" i="30"/>
  <c r="G58" i="30"/>
  <c r="G73" i="30"/>
  <c r="G65" i="30"/>
  <c r="G72" i="30"/>
  <c r="G70" i="30"/>
  <c r="G66" i="30"/>
  <c r="G68" i="30"/>
  <c r="G59" i="30"/>
  <c r="G55" i="30"/>
  <c r="G67" i="30"/>
  <c r="G57" i="30"/>
  <c r="G71" i="30"/>
  <c r="G75" i="30"/>
  <c r="G74" i="30"/>
  <c r="E222" i="1"/>
  <c r="W25" i="30"/>
  <c r="X22" i="30"/>
  <c r="W22" i="30"/>
  <c r="X21" i="30"/>
  <c r="W21" i="30"/>
  <c r="X18" i="30"/>
  <c r="X10" i="30"/>
  <c r="X12" i="30"/>
  <c r="W12" i="30"/>
  <c r="X8" i="30"/>
  <c r="W8" i="30"/>
  <c r="E31" i="30"/>
  <c r="Q8" i="30"/>
  <c r="Q9" i="30"/>
  <c r="Q10" i="30"/>
  <c r="Q11" i="30"/>
  <c r="Q12" i="30"/>
  <c r="Q13" i="30"/>
  <c r="Q14" i="30"/>
  <c r="Q15" i="30"/>
  <c r="Q16" i="30"/>
  <c r="Q17" i="30"/>
  <c r="Q18" i="30"/>
  <c r="Q19" i="30"/>
  <c r="Q20" i="30"/>
  <c r="Q21" i="30"/>
  <c r="Q22" i="30"/>
  <c r="Q23" i="30"/>
  <c r="Q24" i="30"/>
  <c r="T27" i="30"/>
  <c r="T7" i="30"/>
  <c r="U7" i="30"/>
  <c r="S7" i="30"/>
  <c r="R7" i="30"/>
  <c r="Q27" i="30"/>
  <c r="Q25" i="30"/>
  <c r="Q26" i="30"/>
  <c r="Q7" i="30"/>
  <c r="F23" i="30"/>
  <c r="F25" i="30"/>
  <c r="E27" i="30"/>
  <c r="F7" i="30"/>
  <c r="F8" i="30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4" i="30"/>
  <c r="F26" i="30"/>
  <c r="I9" i="20" l="1"/>
  <c r="D7" i="32"/>
  <c r="I125" i="10" a="1"/>
  <c r="I125" i="10" s="1"/>
  <c r="D30" i="1"/>
  <c r="G70" i="9"/>
  <c r="D31" i="1"/>
  <c r="X23" i="30"/>
  <c r="F27" i="30"/>
  <c r="B49" i="30"/>
  <c r="B47" i="30"/>
  <c r="B46" i="30"/>
  <c r="B45" i="30"/>
  <c r="B44" i="30"/>
  <c r="B43" i="30"/>
  <c r="B42" i="30"/>
  <c r="B41" i="30"/>
  <c r="B40" i="30"/>
  <c r="B39" i="30"/>
  <c r="B38" i="30"/>
  <c r="B37" i="30"/>
  <c r="B36" i="30"/>
  <c r="B35" i="30"/>
  <c r="B34" i="30"/>
  <c r="G111" i="1"/>
  <c r="J111" i="1" s="1"/>
  <c r="B70" i="9" l="1"/>
  <c r="F37" i="34"/>
  <c r="E7" i="32"/>
  <c r="J9" i="20"/>
  <c r="L111" i="1"/>
  <c r="T8" i="30" s="1"/>
  <c r="K111" i="1"/>
  <c r="S8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7" i="30"/>
  <c r="E30" i="30"/>
  <c r="G112" i="1"/>
  <c r="J112" i="1" s="1"/>
  <c r="L112" i="1" s="1"/>
  <c r="G113" i="1"/>
  <c r="J113" i="1" s="1"/>
  <c r="L113" i="1" s="1"/>
  <c r="G114" i="1"/>
  <c r="J114" i="1" s="1"/>
  <c r="L114" i="1" s="1"/>
  <c r="G115" i="1"/>
  <c r="J115" i="1" s="1"/>
  <c r="L115" i="1" s="1"/>
  <c r="G116" i="1"/>
  <c r="J116" i="1" s="1"/>
  <c r="L116" i="1" s="1"/>
  <c r="G117" i="1"/>
  <c r="J117" i="1" s="1"/>
  <c r="L117" i="1" s="1"/>
  <c r="G118" i="1"/>
  <c r="J118" i="1" s="1"/>
  <c r="L118" i="1" s="1"/>
  <c r="G119" i="1"/>
  <c r="J119" i="1" s="1"/>
  <c r="L119" i="1" s="1"/>
  <c r="G120" i="1"/>
  <c r="J120" i="1" s="1"/>
  <c r="L120" i="1" s="1"/>
  <c r="G121" i="1"/>
  <c r="J121" i="1" s="1"/>
  <c r="L121" i="1" s="1"/>
  <c r="G122" i="1"/>
  <c r="J122" i="1" s="1"/>
  <c r="L122" i="1" s="1"/>
  <c r="G123" i="1"/>
  <c r="J123" i="1" s="1"/>
  <c r="L123" i="1" s="1"/>
  <c r="G124" i="1"/>
  <c r="J124" i="1" s="1"/>
  <c r="L124" i="1" s="1"/>
  <c r="G125" i="1"/>
  <c r="J125" i="1" s="1"/>
  <c r="L125" i="1" s="1"/>
  <c r="G126" i="1"/>
  <c r="J126" i="1" s="1"/>
  <c r="L126" i="1" s="1"/>
  <c r="G127" i="1"/>
  <c r="J127" i="1" s="1"/>
  <c r="L127" i="1" s="1"/>
  <c r="G128" i="1"/>
  <c r="J128" i="1" s="1"/>
  <c r="L128" i="1" s="1"/>
  <c r="G129" i="1"/>
  <c r="J129" i="1" s="1"/>
  <c r="L129" i="1" s="1"/>
  <c r="G130" i="1"/>
  <c r="E234" i="29"/>
  <c r="E235" i="29"/>
  <c r="Q229" i="29"/>
  <c r="Q234" i="29" s="1"/>
  <c r="Q236" i="29" s="1"/>
  <c r="R229" i="29"/>
  <c r="R234" i="29" s="1"/>
  <c r="R236" i="29" s="1"/>
  <c r="S229" i="29"/>
  <c r="S234" i="29" s="1"/>
  <c r="S236" i="29" s="1"/>
  <c r="T229" i="29"/>
  <c r="T234" i="29" s="1"/>
  <c r="T236" i="29" s="1"/>
  <c r="U229" i="29"/>
  <c r="U234" i="29" s="1"/>
  <c r="U236" i="29" s="1"/>
  <c r="V229" i="29"/>
  <c r="V234" i="29" s="1"/>
  <c r="V236" i="29" s="1"/>
  <c r="W229" i="29"/>
  <c r="W234" i="29" s="1"/>
  <c r="W236" i="29" s="1"/>
  <c r="X229" i="29"/>
  <c r="X234" i="29" s="1"/>
  <c r="X236" i="29" s="1"/>
  <c r="Y229" i="29"/>
  <c r="Y234" i="29" s="1"/>
  <c r="Y236" i="29" s="1"/>
  <c r="Z229" i="29"/>
  <c r="Z234" i="29" s="1"/>
  <c r="Z236" i="29" s="1"/>
  <c r="AA229" i="29"/>
  <c r="AA234" i="29" s="1"/>
  <c r="AA236" i="29" s="1"/>
  <c r="AE229" i="29"/>
  <c r="AE234" i="29" s="1"/>
  <c r="AE236" i="29" s="1"/>
  <c r="F229" i="29"/>
  <c r="D7" i="3"/>
  <c r="AF141" i="29"/>
  <c r="AF158" i="29"/>
  <c r="AF18" i="29"/>
  <c r="AF6" i="29"/>
  <c r="AF7" i="29"/>
  <c r="AF8" i="29"/>
  <c r="AF9" i="29"/>
  <c r="AF10" i="29"/>
  <c r="AF11" i="29"/>
  <c r="AF12" i="29"/>
  <c r="AF13" i="29"/>
  <c r="AF14" i="29"/>
  <c r="AF15" i="29"/>
  <c r="AF16" i="29"/>
  <c r="AF17" i="29"/>
  <c r="AF19" i="29"/>
  <c r="AF20" i="29"/>
  <c r="AF21" i="29"/>
  <c r="AF22" i="29"/>
  <c r="AF23" i="29"/>
  <c r="AF24" i="29"/>
  <c r="AF25" i="29"/>
  <c r="AF26" i="29"/>
  <c r="AF27" i="29"/>
  <c r="AF28" i="29"/>
  <c r="AF29" i="29"/>
  <c r="AF30" i="29"/>
  <c r="AF31" i="29"/>
  <c r="AF32" i="29"/>
  <c r="AF33" i="29"/>
  <c r="AF34" i="29"/>
  <c r="AF35" i="29"/>
  <c r="AF36" i="29"/>
  <c r="AF37" i="29"/>
  <c r="AF38" i="29"/>
  <c r="AF39" i="29"/>
  <c r="AF40" i="29"/>
  <c r="AF41" i="29"/>
  <c r="AF42" i="29"/>
  <c r="AF43" i="29"/>
  <c r="AF44" i="29"/>
  <c r="AF45" i="29"/>
  <c r="AF46" i="29"/>
  <c r="AF47" i="29"/>
  <c r="AF48" i="29"/>
  <c r="AF49" i="29"/>
  <c r="AF50" i="29"/>
  <c r="AF51" i="29"/>
  <c r="AF52" i="29"/>
  <c r="AF53" i="29"/>
  <c r="AF54" i="29"/>
  <c r="AF55" i="29"/>
  <c r="AF56" i="29"/>
  <c r="AF57" i="29"/>
  <c r="AF58" i="29"/>
  <c r="AF59" i="29"/>
  <c r="AF60" i="29"/>
  <c r="AF61" i="29"/>
  <c r="AF62" i="29"/>
  <c r="AF63" i="29"/>
  <c r="AF64" i="29"/>
  <c r="AF65" i="29"/>
  <c r="AF66" i="29"/>
  <c r="AF67" i="29"/>
  <c r="AF68" i="29"/>
  <c r="AF69" i="29"/>
  <c r="AF70" i="29"/>
  <c r="AF71" i="29"/>
  <c r="AF72" i="29"/>
  <c r="AF73" i="29"/>
  <c r="AF74" i="29"/>
  <c r="AF75" i="29"/>
  <c r="AF76" i="29"/>
  <c r="AF77" i="29"/>
  <c r="AF78" i="29"/>
  <c r="AF79" i="29"/>
  <c r="AF80" i="29"/>
  <c r="AF81" i="29"/>
  <c r="AF82" i="29"/>
  <c r="AF83" i="29"/>
  <c r="AF84" i="29"/>
  <c r="AF85" i="29"/>
  <c r="AF86" i="29"/>
  <c r="AF87" i="29"/>
  <c r="AF88" i="29"/>
  <c r="AF89" i="29"/>
  <c r="AF90" i="29"/>
  <c r="AF91" i="29"/>
  <c r="AF92" i="29"/>
  <c r="AF93" i="29"/>
  <c r="AF94" i="29"/>
  <c r="AF95" i="29"/>
  <c r="AF96" i="29"/>
  <c r="AF97" i="29"/>
  <c r="AF98" i="29"/>
  <c r="AF99" i="29"/>
  <c r="AF100" i="29"/>
  <c r="AF101" i="29"/>
  <c r="AF102" i="29"/>
  <c r="AF103" i="29"/>
  <c r="AF104" i="29"/>
  <c r="AF105" i="29"/>
  <c r="AF106" i="29"/>
  <c r="AF107" i="29"/>
  <c r="AF108" i="29"/>
  <c r="AF109" i="29"/>
  <c r="AF110" i="29"/>
  <c r="AF111" i="29"/>
  <c r="AF112" i="29"/>
  <c r="AF113" i="29"/>
  <c r="AF114" i="29"/>
  <c r="AF115" i="29"/>
  <c r="AF116" i="29"/>
  <c r="AF117" i="29"/>
  <c r="AF118" i="29"/>
  <c r="AF119" i="29"/>
  <c r="AF120" i="29"/>
  <c r="AF121" i="29"/>
  <c r="AF122" i="29"/>
  <c r="AF123" i="29"/>
  <c r="AF124" i="29"/>
  <c r="AF125" i="29"/>
  <c r="AF126" i="29"/>
  <c r="AF127" i="29"/>
  <c r="AF128" i="29"/>
  <c r="AF129" i="29"/>
  <c r="AF130" i="29"/>
  <c r="AF131" i="29"/>
  <c r="AF132" i="29"/>
  <c r="AF133" i="29"/>
  <c r="AF134" i="29"/>
  <c r="AF135" i="29"/>
  <c r="AF136" i="29"/>
  <c r="AF137" i="29"/>
  <c r="AF138" i="29"/>
  <c r="AF139" i="29"/>
  <c r="AF140" i="29"/>
  <c r="AF142" i="29"/>
  <c r="AF143" i="29"/>
  <c r="AF144" i="29"/>
  <c r="AF145" i="29"/>
  <c r="AF146" i="29"/>
  <c r="AF147" i="29"/>
  <c r="AF148" i="29"/>
  <c r="AF149" i="29"/>
  <c r="AF150" i="29"/>
  <c r="AF151" i="29"/>
  <c r="AF152" i="29"/>
  <c r="AF153" i="29"/>
  <c r="AF154" i="29"/>
  <c r="AF155" i="29"/>
  <c r="AF156" i="29"/>
  <c r="AF157" i="29"/>
  <c r="AF159" i="29"/>
  <c r="AF160" i="29"/>
  <c r="AF161" i="29"/>
  <c r="AF162" i="29"/>
  <c r="AF163" i="29"/>
  <c r="AF164" i="29"/>
  <c r="AF165" i="29"/>
  <c r="AF166" i="29"/>
  <c r="AF167" i="29"/>
  <c r="AF168" i="29"/>
  <c r="AF169" i="29"/>
  <c r="AF170" i="29"/>
  <c r="AF171" i="29"/>
  <c r="AF172" i="29"/>
  <c r="AF173" i="29"/>
  <c r="AF174" i="29"/>
  <c r="AF175" i="29"/>
  <c r="AF176" i="29"/>
  <c r="AF177" i="29"/>
  <c r="AF178" i="29"/>
  <c r="AF179" i="29"/>
  <c r="AF180" i="29"/>
  <c r="AF181" i="29"/>
  <c r="AF182" i="29"/>
  <c r="AF183" i="29"/>
  <c r="AF184" i="29"/>
  <c r="AF185" i="29"/>
  <c r="AF186" i="29"/>
  <c r="AF187" i="29"/>
  <c r="AF188" i="29"/>
  <c r="AF189" i="29"/>
  <c r="AF190" i="29"/>
  <c r="AF191" i="29"/>
  <c r="AF192" i="29"/>
  <c r="AF193" i="29"/>
  <c r="AF194" i="29"/>
  <c r="AF195" i="29"/>
  <c r="AF196" i="29"/>
  <c r="AF197" i="29"/>
  <c r="AF198" i="29"/>
  <c r="AF199" i="29"/>
  <c r="AF200" i="29"/>
  <c r="AF201" i="29"/>
  <c r="AF202" i="29"/>
  <c r="AF203" i="29"/>
  <c r="AF204" i="29"/>
  <c r="AF205" i="29"/>
  <c r="AF206" i="29"/>
  <c r="AF207" i="29"/>
  <c r="AF208" i="29"/>
  <c r="AF209" i="29"/>
  <c r="AF210" i="29"/>
  <c r="AF211" i="29"/>
  <c r="AF212" i="29"/>
  <c r="AF213" i="29"/>
  <c r="AF214" i="29"/>
  <c r="AF215" i="29"/>
  <c r="AF216" i="29"/>
  <c r="AF217" i="29"/>
  <c r="AF218" i="29"/>
  <c r="AF219" i="29"/>
  <c r="AF220" i="29"/>
  <c r="AF221" i="29"/>
  <c r="AF222" i="29"/>
  <c r="AF223" i="29"/>
  <c r="AF224" i="29"/>
  <c r="AF225" i="29"/>
  <c r="AF226" i="29"/>
  <c r="AF227" i="29"/>
  <c r="AF228" i="29"/>
  <c r="AF5" i="29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D10" i="3"/>
  <c r="E10" i="3"/>
  <c r="D105" i="1"/>
  <c r="D61" i="1"/>
  <c r="G80" i="1" s="1"/>
  <c r="J267" i="1" s="1"/>
  <c r="F80" i="1"/>
  <c r="I267" i="1" s="1"/>
  <c r="I265" i="1"/>
  <c r="F76" i="1"/>
  <c r="H76" i="1" s="1"/>
  <c r="F77" i="1"/>
  <c r="I264" i="1" s="1"/>
  <c r="E11" i="3" l="1"/>
  <c r="F11" i="3"/>
  <c r="G11" i="3"/>
  <c r="H11" i="3"/>
  <c r="F234" i="29"/>
  <c r="F236" i="29" s="1"/>
  <c r="I263" i="1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M111" i="1"/>
  <c r="U8" i="30" s="1"/>
  <c r="K116" i="1"/>
  <c r="K115" i="1"/>
  <c r="K114" i="1"/>
  <c r="T11" i="30"/>
  <c r="T10" i="30"/>
  <c r="K113" i="1"/>
  <c r="K128" i="1"/>
  <c r="K120" i="1"/>
  <c r="M112" i="1"/>
  <c r="K112" i="1"/>
  <c r="K123" i="1"/>
  <c r="M123" i="1"/>
  <c r="K122" i="1"/>
  <c r="M129" i="1"/>
  <c r="U26" i="30" s="1"/>
  <c r="K129" i="1"/>
  <c r="K119" i="1"/>
  <c r="T16" i="30"/>
  <c r="K126" i="1"/>
  <c r="T23" i="30"/>
  <c r="K118" i="1"/>
  <c r="M118" i="1"/>
  <c r="K124" i="1"/>
  <c r="M121" i="1"/>
  <c r="K121" i="1"/>
  <c r="K127" i="1"/>
  <c r="T24" i="30"/>
  <c r="T22" i="30"/>
  <c r="K125" i="1"/>
  <c r="M117" i="1"/>
  <c r="K117" i="1"/>
  <c r="S25" i="30"/>
  <c r="S17" i="30"/>
  <c r="T17" i="30"/>
  <c r="S9" i="30"/>
  <c r="S16" i="30"/>
  <c r="S23" i="30"/>
  <c r="T15" i="30"/>
  <c r="S15" i="30"/>
  <c r="S24" i="30"/>
  <c r="S22" i="30"/>
  <c r="S14" i="30"/>
  <c r="S21" i="30"/>
  <c r="T21" i="30"/>
  <c r="S13" i="30"/>
  <c r="T13" i="30"/>
  <c r="T12" i="30"/>
  <c r="S12" i="30"/>
  <c r="M130" i="1"/>
  <c r="J130" i="1"/>
  <c r="T19" i="30"/>
  <c r="S19" i="30"/>
  <c r="S11" i="30"/>
  <c r="S20" i="30"/>
  <c r="T26" i="30"/>
  <c r="S26" i="30"/>
  <c r="S18" i="30"/>
  <c r="S10" i="30"/>
  <c r="F31" i="30"/>
  <c r="F30" i="30"/>
  <c r="H121" i="1"/>
  <c r="H113" i="1"/>
  <c r="H116" i="1"/>
  <c r="G131" i="1"/>
  <c r="H129" i="1"/>
  <c r="H127" i="1"/>
  <c r="H130" i="1"/>
  <c r="H122" i="1"/>
  <c r="H114" i="1"/>
  <c r="H118" i="1"/>
  <c r="H112" i="1"/>
  <c r="H119" i="1"/>
  <c r="H111" i="1"/>
  <c r="H128" i="1"/>
  <c r="H125" i="1"/>
  <c r="H124" i="1"/>
  <c r="H120" i="1"/>
  <c r="H126" i="1"/>
  <c r="H117" i="1"/>
  <c r="H123" i="1"/>
  <c r="H115" i="1"/>
  <c r="E29" i="9"/>
  <c r="T14" i="30" l="1"/>
  <c r="T18" i="30"/>
  <c r="T25" i="30"/>
  <c r="T20" i="30"/>
  <c r="T9" i="30"/>
  <c r="S27" i="30"/>
  <c r="K130" i="1"/>
  <c r="U18" i="30"/>
  <c r="U9" i="30"/>
  <c r="U15" i="30"/>
  <c r="U14" i="30"/>
  <c r="U27" i="30"/>
  <c r="M116" i="1"/>
  <c r="M125" i="1"/>
  <c r="M126" i="1"/>
  <c r="M120" i="1"/>
  <c r="M124" i="1"/>
  <c r="M127" i="1"/>
  <c r="M122" i="1"/>
  <c r="M113" i="1"/>
  <c r="M114" i="1"/>
  <c r="M115" i="1"/>
  <c r="M119" i="1"/>
  <c r="M128" i="1"/>
  <c r="O10" i="30"/>
  <c r="O8" i="30"/>
  <c r="O11" i="30"/>
  <c r="O9" i="30"/>
  <c r="H131" i="1"/>
  <c r="E191" i="1"/>
  <c r="E158" i="1"/>
  <c r="D106" i="1"/>
  <c r="D24" i="3"/>
  <c r="D25" i="3" s="1"/>
  <c r="D26" i="3" s="1"/>
  <c r="AU79" i="10"/>
  <c r="D231" i="1"/>
  <c r="U25" i="30" l="1"/>
  <c r="U11" i="30"/>
  <c r="U22" i="30"/>
  <c r="U10" i="30"/>
  <c r="U21" i="30"/>
  <c r="U17" i="30"/>
  <c r="U16" i="30"/>
  <c r="U12" i="30"/>
  <c r="U20" i="30"/>
  <c r="U13" i="30"/>
  <c r="U19" i="30"/>
  <c r="U24" i="30"/>
  <c r="U23" i="30"/>
  <c r="O12" i="30"/>
  <c r="D66" i="1"/>
  <c r="D266" i="1" s="1"/>
  <c r="D65" i="1"/>
  <c r="I79" i="1"/>
  <c r="I80" i="1"/>
  <c r="I81" i="1"/>
  <c r="H79" i="1"/>
  <c r="H80" i="1"/>
  <c r="H81" i="1"/>
  <c r="H78" i="1"/>
  <c r="H77" i="1"/>
  <c r="I22" i="10"/>
  <c r="J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H22" i="10"/>
  <c r="G24" i="5"/>
  <c r="I24" i="5" s="1"/>
  <c r="G23" i="5"/>
  <c r="I23" i="5" s="1"/>
  <c r="D265" i="1" l="1"/>
  <c r="J76" i="1"/>
  <c r="I284" i="1"/>
  <c r="I283" i="1"/>
  <c r="I282" i="1"/>
  <c r="I275" i="1"/>
  <c r="I281" i="1"/>
  <c r="I280" i="1"/>
  <c r="I279" i="1"/>
  <c r="L279" i="1" s="1"/>
  <c r="I276" i="1"/>
  <c r="L276" i="1" s="1"/>
  <c r="I285" i="1"/>
  <c r="D64" i="1"/>
  <c r="D264" i="1" s="1"/>
  <c r="J79" i="1"/>
  <c r="J81" i="1"/>
  <c r="J80" i="1"/>
  <c r="P23" i="5"/>
  <c r="H23" i="5"/>
  <c r="AF23" i="5"/>
  <c r="X23" i="5"/>
  <c r="AM23" i="5"/>
  <c r="AE23" i="5"/>
  <c r="W23" i="5"/>
  <c r="O23" i="5"/>
  <c r="H24" i="5"/>
  <c r="X24" i="5"/>
  <c r="L24" i="5"/>
  <c r="AJ23" i="5"/>
  <c r="AB23" i="5"/>
  <c r="T23" i="5"/>
  <c r="L23" i="5"/>
  <c r="AJ24" i="5"/>
  <c r="T24" i="5"/>
  <c r="AB24" i="5"/>
  <c r="AI23" i="5"/>
  <c r="AA23" i="5"/>
  <c r="S23" i="5"/>
  <c r="K23" i="5"/>
  <c r="AF24" i="5"/>
  <c r="P24" i="5"/>
  <c r="AL23" i="5"/>
  <c r="AH23" i="5"/>
  <c r="AD23" i="5"/>
  <c r="Z23" i="5"/>
  <c r="V23" i="5"/>
  <c r="R23" i="5"/>
  <c r="N23" i="5"/>
  <c r="J23" i="5"/>
  <c r="AM24" i="5"/>
  <c r="AI24" i="5"/>
  <c r="AE24" i="5"/>
  <c r="AA24" i="5"/>
  <c r="W24" i="5"/>
  <c r="S24" i="5"/>
  <c r="O24" i="5"/>
  <c r="K24" i="5"/>
  <c r="AK23" i="5"/>
  <c r="AG23" i="5"/>
  <c r="AC23" i="5"/>
  <c r="Y23" i="5"/>
  <c r="U23" i="5"/>
  <c r="Q23" i="5"/>
  <c r="M23" i="5"/>
  <c r="AL24" i="5"/>
  <c r="AH24" i="5"/>
  <c r="AD24" i="5"/>
  <c r="Z24" i="5"/>
  <c r="V24" i="5"/>
  <c r="R24" i="5"/>
  <c r="N24" i="5"/>
  <c r="J24" i="5"/>
  <c r="AK24" i="5"/>
  <c r="AG24" i="5"/>
  <c r="AC24" i="5"/>
  <c r="Y24" i="5"/>
  <c r="U24" i="5"/>
  <c r="Q24" i="5"/>
  <c r="M24" i="5"/>
  <c r="D103" i="12"/>
  <c r="D95" i="12"/>
  <c r="S275" i="1" l="1"/>
  <c r="L275" i="1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E94" i="12"/>
  <c r="AF94" i="12"/>
  <c r="AG94" i="12"/>
  <c r="AH94" i="12"/>
  <c r="AI94" i="12"/>
  <c r="AJ94" i="12"/>
  <c r="AK94" i="12"/>
  <c r="AL94" i="12"/>
  <c r="AM94" i="12"/>
  <c r="F5" i="12"/>
  <c r="F6" i="12"/>
  <c r="F7" i="12"/>
  <c r="F8" i="12"/>
  <c r="F345" i="1"/>
  <c r="D8" i="21"/>
  <c r="C12" i="21"/>
  <c r="P16" i="19"/>
  <c r="P15" i="19"/>
  <c r="J13" i="19"/>
  <c r="J12" i="19"/>
  <c r="J11" i="19"/>
  <c r="E357" i="1"/>
  <c r="D332" i="1"/>
  <c r="E332" i="1"/>
  <c r="F346" i="1"/>
  <c r="F347" i="1"/>
  <c r="F352" i="1"/>
  <c r="F354" i="1"/>
  <c r="H114" i="12"/>
  <c r="D9" i="12"/>
  <c r="K109" i="12"/>
  <c r="L109" i="12" s="1"/>
  <c r="K108" i="12"/>
  <c r="L108" i="12" s="1"/>
  <c r="K107" i="12"/>
  <c r="L107" i="12" s="1"/>
  <c r="N107" i="12" l="1"/>
  <c r="N108" i="12"/>
  <c r="N109" i="12"/>
  <c r="F96" i="12"/>
  <c r="F25" i="5" s="1"/>
  <c r="E96" i="12"/>
  <c r="E25" i="5" s="1"/>
  <c r="D96" i="12"/>
  <c r="D25" i="5" s="1"/>
  <c r="I114" i="12"/>
  <c r="I115" i="12"/>
  <c r="I116" i="12"/>
  <c r="I117" i="12"/>
  <c r="I118" i="12"/>
  <c r="D114" i="12"/>
  <c r="F357" i="1"/>
  <c r="F307" i="1"/>
  <c r="G307" i="1" s="1"/>
  <c r="H307" i="1" s="1"/>
  <c r="F306" i="1"/>
  <c r="D20" i="9"/>
  <c r="E26" i="9"/>
  <c r="F26" i="9"/>
  <c r="G26" i="9"/>
  <c r="G74" i="12"/>
  <c r="G75" i="12"/>
  <c r="G76" i="12"/>
  <c r="G77" i="12"/>
  <c r="G78" i="12"/>
  <c r="G79" i="12"/>
  <c r="N79" i="12" s="1"/>
  <c r="G80" i="12"/>
  <c r="G81" i="12"/>
  <c r="G82" i="12"/>
  <c r="G83" i="12"/>
  <c r="G86" i="12"/>
  <c r="G87" i="12"/>
  <c r="G73" i="12"/>
  <c r="H85" i="12"/>
  <c r="H84" i="12"/>
  <c r="AZ79" i="10"/>
  <c r="BA79" i="10"/>
  <c r="BC79" i="10"/>
  <c r="BT79" i="10"/>
  <c r="AR347" i="14"/>
  <c r="AS347" i="14"/>
  <c r="AT347" i="14"/>
  <c r="AU347" i="14"/>
  <c r="AV347" i="14"/>
  <c r="AW347" i="14"/>
  <c r="AX347" i="14"/>
  <c r="AY347" i="14"/>
  <c r="AZ347" i="14"/>
  <c r="BA347" i="14"/>
  <c r="BB347" i="14"/>
  <c r="BC347" i="14"/>
  <c r="BD347" i="14"/>
  <c r="BE347" i="14"/>
  <c r="BF347" i="14"/>
  <c r="BG347" i="14"/>
  <c r="BH347" i="14"/>
  <c r="BI347" i="14"/>
  <c r="BJ347" i="14"/>
  <c r="BK347" i="14"/>
  <c r="BL347" i="14"/>
  <c r="BM347" i="14"/>
  <c r="BN347" i="14"/>
  <c r="BO347" i="14"/>
  <c r="BP347" i="14"/>
  <c r="BQ347" i="14"/>
  <c r="BR347" i="14"/>
  <c r="BS347" i="14"/>
  <c r="BT347" i="14"/>
  <c r="BU347" i="14"/>
  <c r="BV347" i="14"/>
  <c r="BW347" i="14"/>
  <c r="BX347" i="14"/>
  <c r="BY347" i="14"/>
  <c r="AQ347" i="14"/>
  <c r="BJ120" i="10"/>
  <c r="BI120" i="10"/>
  <c r="BG120" i="10"/>
  <c r="BC120" i="10"/>
  <c r="AX120" i="10"/>
  <c r="AU120" i="10"/>
  <c r="AY79" i="10"/>
  <c r="BB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S79" i="10"/>
  <c r="BU79" i="10"/>
  <c r="BV79" i="10"/>
  <c r="BW79" i="10"/>
  <c r="BX79" i="10"/>
  <c r="BY79" i="10"/>
  <c r="BZ79" i="10"/>
  <c r="CA79" i="10"/>
  <c r="CB79" i="10"/>
  <c r="CC79" i="10"/>
  <c r="G24" i="10"/>
  <c r="G17" i="10"/>
  <c r="K22" i="10"/>
  <c r="G22" i="10" s="1"/>
  <c r="J11" i="10"/>
  <c r="F11" i="10"/>
  <c r="Q73" i="12" l="1"/>
  <c r="N73" i="12"/>
  <c r="O87" i="12"/>
  <c r="N87" i="12"/>
  <c r="S86" i="12"/>
  <c r="N86" i="12"/>
  <c r="R83" i="12"/>
  <c r="N83" i="12"/>
  <c r="M82" i="12"/>
  <c r="N82" i="12"/>
  <c r="P81" i="12"/>
  <c r="N81" i="12"/>
  <c r="S80" i="12"/>
  <c r="N80" i="12"/>
  <c r="Q78" i="12"/>
  <c r="N78" i="12"/>
  <c r="Q77" i="12"/>
  <c r="N77" i="12"/>
  <c r="Q76" i="12"/>
  <c r="N76" i="12"/>
  <c r="R75" i="12"/>
  <c r="N75" i="12"/>
  <c r="M74" i="12"/>
  <c r="N74" i="12"/>
  <c r="F330" i="1"/>
  <c r="G330" i="1" s="1"/>
  <c r="H330" i="1" s="1"/>
  <c r="F331" i="1"/>
  <c r="G331" i="1" s="1"/>
  <c r="H331" i="1" s="1"/>
  <c r="L76" i="12"/>
  <c r="AX79" i="10"/>
  <c r="AW79" i="10"/>
  <c r="AV79" i="10"/>
  <c r="F332" i="1"/>
  <c r="G332" i="1" s="1"/>
  <c r="H332" i="1" s="1"/>
  <c r="AP86" i="12"/>
  <c r="AM86" i="12"/>
  <c r="R87" i="12"/>
  <c r="V86" i="12"/>
  <c r="AG76" i="12"/>
  <c r="AE76" i="12"/>
  <c r="AF76" i="12"/>
  <c r="AC76" i="12"/>
  <c r="AR76" i="12"/>
  <c r="W76" i="12"/>
  <c r="AP76" i="12"/>
  <c r="V76" i="12"/>
  <c r="AO76" i="12"/>
  <c r="T76" i="12"/>
  <c r="AN76" i="12"/>
  <c r="R76" i="12"/>
  <c r="AL76" i="12"/>
  <c r="L86" i="12"/>
  <c r="Z76" i="12"/>
  <c r="AS87" i="12"/>
  <c r="AT76" i="12"/>
  <c r="AJ76" i="12"/>
  <c r="Y76" i="12"/>
  <c r="M86" i="12"/>
  <c r="AB76" i="12"/>
  <c r="P76" i="12"/>
  <c r="K76" i="12"/>
  <c r="AK76" i="12"/>
  <c r="O76" i="12"/>
  <c r="AP87" i="12"/>
  <c r="AS76" i="12"/>
  <c r="AH76" i="12"/>
  <c r="X76" i="12"/>
  <c r="M76" i="12"/>
  <c r="AR77" i="12"/>
  <c r="AH77" i="12"/>
  <c r="W77" i="12"/>
  <c r="L77" i="12"/>
  <c r="K77" i="12"/>
  <c r="AP77" i="12"/>
  <c r="AD77" i="12"/>
  <c r="T77" i="12"/>
  <c r="AM77" i="12"/>
  <c r="AC77" i="12"/>
  <c r="S77" i="12"/>
  <c r="AS77" i="12"/>
  <c r="X77" i="12"/>
  <c r="AL77" i="12"/>
  <c r="R77" i="12"/>
  <c r="AI77" i="12"/>
  <c r="AQ77" i="12"/>
  <c r="AF77" i="12"/>
  <c r="U77" i="12"/>
  <c r="AB77" i="12"/>
  <c r="AK77" i="12"/>
  <c r="AA77" i="12"/>
  <c r="P77" i="12"/>
  <c r="AK87" i="12"/>
  <c r="AT77" i="12"/>
  <c r="AJ77" i="12"/>
  <c r="Z77" i="12"/>
  <c r="O77" i="12"/>
  <c r="AG87" i="12"/>
  <c r="K87" i="12"/>
  <c r="AB87" i="12"/>
  <c r="AG86" i="12"/>
  <c r="AA87" i="12"/>
  <c r="AF86" i="12"/>
  <c r="X87" i="12"/>
  <c r="AC86" i="12"/>
  <c r="AT87" i="12"/>
  <c r="S87" i="12"/>
  <c r="W86" i="12"/>
  <c r="AJ87" i="12"/>
  <c r="AS86" i="12"/>
  <c r="R86" i="12"/>
  <c r="AN77" i="12"/>
  <c r="AE77" i="12"/>
  <c r="V77" i="12"/>
  <c r="M77" i="12"/>
  <c r="AM76" i="12"/>
  <c r="AD76" i="12"/>
  <c r="U76" i="12"/>
  <c r="AR87" i="12"/>
  <c r="AI87" i="12"/>
  <c r="Z87" i="12"/>
  <c r="Q87" i="12"/>
  <c r="AO86" i="12"/>
  <c r="AE86" i="12"/>
  <c r="U86" i="12"/>
  <c r="AQ87" i="12"/>
  <c r="AH87" i="12"/>
  <c r="Y87" i="12"/>
  <c r="P87" i="12"/>
  <c r="AN86" i="12"/>
  <c r="AD86" i="12"/>
  <c r="T86" i="12"/>
  <c r="K86" i="12"/>
  <c r="AO87" i="12"/>
  <c r="AF87" i="12"/>
  <c r="V87" i="12"/>
  <c r="M87" i="12"/>
  <c r="AL86" i="12"/>
  <c r="AB86" i="12"/>
  <c r="Q86" i="12"/>
  <c r="AN87" i="12"/>
  <c r="AD87" i="12"/>
  <c r="U87" i="12"/>
  <c r="L87" i="12"/>
  <c r="AK86" i="12"/>
  <c r="Z86" i="12"/>
  <c r="O86" i="12"/>
  <c r="AL87" i="12"/>
  <c r="AC87" i="12"/>
  <c r="T87" i="12"/>
  <c r="AT86" i="12"/>
  <c r="AJ86" i="12"/>
  <c r="X86" i="12"/>
  <c r="AR78" i="12"/>
  <c r="AI78" i="12"/>
  <c r="AF78" i="12"/>
  <c r="AR86" i="12"/>
  <c r="AH86" i="12"/>
  <c r="Y86" i="12"/>
  <c r="P86" i="12"/>
  <c r="O78" i="12"/>
  <c r="AQ86" i="12"/>
  <c r="AI86" i="12"/>
  <c r="AA86" i="12"/>
  <c r="AS78" i="12"/>
  <c r="AQ76" i="12"/>
  <c r="AI76" i="12"/>
  <c r="AA76" i="12"/>
  <c r="S76" i="12"/>
  <c r="AQ73" i="12"/>
  <c r="L74" i="12"/>
  <c r="AI73" i="12"/>
  <c r="AA73" i="12"/>
  <c r="S73" i="12"/>
  <c r="Q80" i="12"/>
  <c r="T79" i="12"/>
  <c r="AE80" i="12"/>
  <c r="AE78" i="12"/>
  <c r="AM87" i="12"/>
  <c r="AE87" i="12"/>
  <c r="W87" i="12"/>
  <c r="R80" i="12"/>
  <c r="AB78" i="12"/>
  <c r="AO77" i="12"/>
  <c r="AG77" i="12"/>
  <c r="Y77" i="12"/>
  <c r="K73" i="12"/>
  <c r="L79" i="12"/>
  <c r="W78" i="12"/>
  <c r="M79" i="12"/>
  <c r="AT78" i="12"/>
  <c r="V78" i="12"/>
  <c r="AK79" i="12"/>
  <c r="AM81" i="12"/>
  <c r="AJ79" i="12"/>
  <c r="AK81" i="12"/>
  <c r="AH79" i="12"/>
  <c r="AK78" i="12"/>
  <c r="U78" i="12"/>
  <c r="AL81" i="12"/>
  <c r="AI79" i="12"/>
  <c r="AF80" i="12"/>
  <c r="AA79" i="12"/>
  <c r="AJ78" i="12"/>
  <c r="P78" i="12"/>
  <c r="P80" i="12"/>
  <c r="AI82" i="12"/>
  <c r="AH80" i="12"/>
  <c r="AS79" i="12"/>
  <c r="Y79" i="12"/>
  <c r="AQ78" i="12"/>
  <c r="AA78" i="12"/>
  <c r="M78" i="12"/>
  <c r="AR74" i="12"/>
  <c r="U81" i="12"/>
  <c r="O81" i="12"/>
  <c r="AO83" i="12"/>
  <c r="O80" i="12"/>
  <c r="Z79" i="12"/>
  <c r="AB82" i="12"/>
  <c r="AG80" i="12"/>
  <c r="AO79" i="12"/>
  <c r="U79" i="12"/>
  <c r="AL78" i="12"/>
  <c r="X78" i="12"/>
  <c r="L78" i="12"/>
  <c r="AQ74" i="12"/>
  <c r="AG83" i="12"/>
  <c r="S82" i="12"/>
  <c r="AP80" i="12"/>
  <c r="AM75" i="12"/>
  <c r="L82" i="12"/>
  <c r="AO80" i="12"/>
  <c r="AR79" i="12"/>
  <c r="AG79" i="12"/>
  <c r="S79" i="12"/>
  <c r="AG75" i="12"/>
  <c r="AQ82" i="12"/>
  <c r="AT81" i="12"/>
  <c r="W81" i="12"/>
  <c r="AN80" i="12"/>
  <c r="X80" i="12"/>
  <c r="AQ79" i="12"/>
  <c r="AC79" i="12"/>
  <c r="R79" i="12"/>
  <c r="AN78" i="12"/>
  <c r="AD78" i="12"/>
  <c r="T78" i="12"/>
  <c r="Y75" i="12"/>
  <c r="T74" i="12"/>
  <c r="Y83" i="12"/>
  <c r="AA82" i="12"/>
  <c r="AJ74" i="12"/>
  <c r="W83" i="12"/>
  <c r="T82" i="12"/>
  <c r="AE81" i="12"/>
  <c r="M81" i="12"/>
  <c r="AO75" i="12"/>
  <c r="AI74" i="12"/>
  <c r="Q83" i="12"/>
  <c r="AD81" i="12"/>
  <c r="Z80" i="12"/>
  <c r="AB74" i="12"/>
  <c r="AR82" i="12"/>
  <c r="AC81" i="12"/>
  <c r="Y80" i="12"/>
  <c r="AA74" i="12"/>
  <c r="K78" i="12"/>
  <c r="AJ82" i="12"/>
  <c r="AS81" i="12"/>
  <c r="V81" i="12"/>
  <c r="AM80" i="12"/>
  <c r="W80" i="12"/>
  <c r="AP79" i="12"/>
  <c r="AB79" i="12"/>
  <c r="Q79" i="12"/>
  <c r="AM78" i="12"/>
  <c r="AC78" i="12"/>
  <c r="S78" i="12"/>
  <c r="Q75" i="12"/>
  <c r="S74" i="12"/>
  <c r="AN83" i="12"/>
  <c r="AF83" i="12"/>
  <c r="X83" i="12"/>
  <c r="P83" i="12"/>
  <c r="AN75" i="12"/>
  <c r="AF75" i="12"/>
  <c r="X75" i="12"/>
  <c r="P75" i="12"/>
  <c r="AM83" i="12"/>
  <c r="AE83" i="12"/>
  <c r="O83" i="12"/>
  <c r="AP82" i="12"/>
  <c r="AH82" i="12"/>
  <c r="Z82" i="12"/>
  <c r="R82" i="12"/>
  <c r="AE75" i="12"/>
  <c r="O75" i="12"/>
  <c r="AH74" i="12"/>
  <c r="R74" i="12"/>
  <c r="K83" i="12"/>
  <c r="AT83" i="12"/>
  <c r="AD83" i="12"/>
  <c r="AG82" i="12"/>
  <c r="Q82" i="12"/>
  <c r="AJ81" i="12"/>
  <c r="T81" i="12"/>
  <c r="AL75" i="12"/>
  <c r="V75" i="12"/>
  <c r="AO74" i="12"/>
  <c r="Y74" i="12"/>
  <c r="Q74" i="12"/>
  <c r="K82" i="12"/>
  <c r="AK83" i="12"/>
  <c r="U83" i="12"/>
  <c r="AF82" i="12"/>
  <c r="P82" i="12"/>
  <c r="AI81" i="12"/>
  <c r="S81" i="12"/>
  <c r="AL80" i="12"/>
  <c r="AK75" i="12"/>
  <c r="U75" i="12"/>
  <c r="AN74" i="12"/>
  <c r="X74" i="12"/>
  <c r="P74" i="12"/>
  <c r="K81" i="12"/>
  <c r="AR83" i="12"/>
  <c r="T83" i="12"/>
  <c r="AM82" i="12"/>
  <c r="W82" i="12"/>
  <c r="AP81" i="12"/>
  <c r="R81" i="12"/>
  <c r="AK80" i="12"/>
  <c r="U80" i="12"/>
  <c r="AN79" i="12"/>
  <c r="X79" i="12"/>
  <c r="P79" i="12"/>
  <c r="AJ75" i="12"/>
  <c r="L75" i="12"/>
  <c r="K80" i="12"/>
  <c r="AQ83" i="12"/>
  <c r="AI83" i="12"/>
  <c r="AA83" i="12"/>
  <c r="S83" i="12"/>
  <c r="AT82" i="12"/>
  <c r="AL82" i="12"/>
  <c r="AD82" i="12"/>
  <c r="V82" i="12"/>
  <c r="AO81" i="12"/>
  <c r="AG81" i="12"/>
  <c r="Y81" i="12"/>
  <c r="Q81" i="12"/>
  <c r="AR80" i="12"/>
  <c r="AJ80" i="12"/>
  <c r="AB80" i="12"/>
  <c r="T80" i="12"/>
  <c r="L80" i="12"/>
  <c r="AM79" i="12"/>
  <c r="AE79" i="12"/>
  <c r="W79" i="12"/>
  <c r="O79" i="12"/>
  <c r="AP78" i="12"/>
  <c r="AH78" i="12"/>
  <c r="Z78" i="12"/>
  <c r="R78" i="12"/>
  <c r="AQ75" i="12"/>
  <c r="AI75" i="12"/>
  <c r="AA75" i="12"/>
  <c r="S75" i="12"/>
  <c r="AT74" i="12"/>
  <c r="AL74" i="12"/>
  <c r="AD74" i="12"/>
  <c r="V74" i="12"/>
  <c r="W75" i="12"/>
  <c r="AP74" i="12"/>
  <c r="Z74" i="12"/>
  <c r="K75" i="12"/>
  <c r="AL83" i="12"/>
  <c r="V83" i="12"/>
  <c r="AO82" i="12"/>
  <c r="Y82" i="12"/>
  <c r="AR81" i="12"/>
  <c r="AB81" i="12"/>
  <c r="L81" i="12"/>
  <c r="AT75" i="12"/>
  <c r="AD75" i="12"/>
  <c r="AG74" i="12"/>
  <c r="K74" i="12"/>
  <c r="AS83" i="12"/>
  <c r="AC83" i="12"/>
  <c r="M83" i="12"/>
  <c r="AN82" i="12"/>
  <c r="X82" i="12"/>
  <c r="AQ81" i="12"/>
  <c r="AA81" i="12"/>
  <c r="AT80" i="12"/>
  <c r="AD80" i="12"/>
  <c r="V80" i="12"/>
  <c r="AS75" i="12"/>
  <c r="AC75" i="12"/>
  <c r="M75" i="12"/>
  <c r="AF74" i="12"/>
  <c r="AJ83" i="12"/>
  <c r="AB83" i="12"/>
  <c r="L83" i="12"/>
  <c r="AE82" i="12"/>
  <c r="O82" i="12"/>
  <c r="AH81" i="12"/>
  <c r="Z81" i="12"/>
  <c r="AS80" i="12"/>
  <c r="AC80" i="12"/>
  <c r="M80" i="12"/>
  <c r="AF79" i="12"/>
  <c r="AR75" i="12"/>
  <c r="AB75" i="12"/>
  <c r="T75" i="12"/>
  <c r="AM74" i="12"/>
  <c r="AE74" i="12"/>
  <c r="W74" i="12"/>
  <c r="O74" i="12"/>
  <c r="K79" i="12"/>
  <c r="AP83" i="12"/>
  <c r="AH83" i="12"/>
  <c r="Z83" i="12"/>
  <c r="AS82" i="12"/>
  <c r="AK82" i="12"/>
  <c r="AC82" i="12"/>
  <c r="U82" i="12"/>
  <c r="AN81" i="12"/>
  <c r="AF81" i="12"/>
  <c r="X81" i="12"/>
  <c r="AQ80" i="12"/>
  <c r="AI80" i="12"/>
  <c r="AA80" i="12"/>
  <c r="AT79" i="12"/>
  <c r="AL79" i="12"/>
  <c r="AD79" i="12"/>
  <c r="V79" i="12"/>
  <c r="AO78" i="12"/>
  <c r="AG78" i="12"/>
  <c r="Y78" i="12"/>
  <c r="AP75" i="12"/>
  <c r="AH75" i="12"/>
  <c r="Z75" i="12"/>
  <c r="AS74" i="12"/>
  <c r="AK74" i="12"/>
  <c r="AC74" i="12"/>
  <c r="U74" i="12"/>
  <c r="AN73" i="12"/>
  <c r="AF73" i="12"/>
  <c r="X73" i="12"/>
  <c r="P73" i="12"/>
  <c r="AM73" i="12"/>
  <c r="AE73" i="12"/>
  <c r="W73" i="12"/>
  <c r="O73" i="12"/>
  <c r="AT73" i="12"/>
  <c r="AL73" i="12"/>
  <c r="AD73" i="12"/>
  <c r="V73" i="12"/>
  <c r="AS73" i="12"/>
  <c r="AK73" i="12"/>
  <c r="AC73" i="12"/>
  <c r="U73" i="12"/>
  <c r="M73" i="12"/>
  <c r="AR73" i="12"/>
  <c r="AJ73" i="12"/>
  <c r="AB73" i="12"/>
  <c r="T73" i="12"/>
  <c r="L73" i="12"/>
  <c r="AP73" i="12"/>
  <c r="AH73" i="12"/>
  <c r="Z73" i="12"/>
  <c r="R73" i="12"/>
  <c r="AO73" i="12"/>
  <c r="AG73" i="12"/>
  <c r="Y73" i="12"/>
  <c r="J12" i="10"/>
  <c r="H33" i="10"/>
  <c r="J6" i="20"/>
  <c r="I6" i="20"/>
  <c r="AN4" i="20"/>
  <c r="AN19" i="20" s="1"/>
  <c r="AN32" i="20" s="1"/>
  <c r="AO4" i="20"/>
  <c r="AO19" i="20" s="1"/>
  <c r="AO32" i="20" s="1"/>
  <c r="AP4" i="20"/>
  <c r="AP19" i="20" s="1"/>
  <c r="AP32" i="20" s="1"/>
  <c r="AQ4" i="20"/>
  <c r="AQ19" i="20" s="1"/>
  <c r="AQ32" i="20" s="1"/>
  <c r="AI4" i="20"/>
  <c r="AI19" i="20" s="1"/>
  <c r="AI32" i="20" s="1"/>
  <c r="AJ4" i="20"/>
  <c r="AJ19" i="20" s="1"/>
  <c r="AJ32" i="20" s="1"/>
  <c r="AK4" i="20"/>
  <c r="AK19" i="20" s="1"/>
  <c r="AK32" i="20" s="1"/>
  <c r="AL4" i="20"/>
  <c r="AL19" i="20" s="1"/>
  <c r="AL32" i="20" s="1"/>
  <c r="AM4" i="20"/>
  <c r="AM19" i="20" s="1"/>
  <c r="AM32" i="20" s="1"/>
  <c r="J4" i="20"/>
  <c r="J19" i="20" s="1"/>
  <c r="J32" i="20" s="1"/>
  <c r="K4" i="20"/>
  <c r="K19" i="20" s="1"/>
  <c r="K32" i="20" s="1"/>
  <c r="L4" i="20"/>
  <c r="L19" i="20" s="1"/>
  <c r="L32" i="20" s="1"/>
  <c r="M4" i="20"/>
  <c r="M19" i="20" s="1"/>
  <c r="M32" i="20" s="1"/>
  <c r="N4" i="20"/>
  <c r="N19" i="20" s="1"/>
  <c r="N32" i="20" s="1"/>
  <c r="O4" i="20"/>
  <c r="O19" i="20" s="1"/>
  <c r="O32" i="20" s="1"/>
  <c r="P4" i="20"/>
  <c r="P19" i="20" s="1"/>
  <c r="P32" i="20" s="1"/>
  <c r="Q4" i="20"/>
  <c r="Q19" i="20" s="1"/>
  <c r="Q32" i="20" s="1"/>
  <c r="R4" i="20"/>
  <c r="R19" i="20" s="1"/>
  <c r="R32" i="20" s="1"/>
  <c r="S4" i="20"/>
  <c r="S19" i="20" s="1"/>
  <c r="S32" i="20" s="1"/>
  <c r="T4" i="20"/>
  <c r="T19" i="20" s="1"/>
  <c r="T32" i="20" s="1"/>
  <c r="U4" i="20"/>
  <c r="U19" i="20" s="1"/>
  <c r="U32" i="20" s="1"/>
  <c r="V4" i="20"/>
  <c r="V19" i="20" s="1"/>
  <c r="V32" i="20" s="1"/>
  <c r="W4" i="20"/>
  <c r="W19" i="20" s="1"/>
  <c r="W32" i="20" s="1"/>
  <c r="X4" i="20"/>
  <c r="X19" i="20" s="1"/>
  <c r="X32" i="20" s="1"/>
  <c r="Y4" i="20"/>
  <c r="Y19" i="20" s="1"/>
  <c r="Y32" i="20" s="1"/>
  <c r="Z4" i="20"/>
  <c r="Z19" i="20" s="1"/>
  <c r="Z32" i="20" s="1"/>
  <c r="AA4" i="20"/>
  <c r="AA19" i="20" s="1"/>
  <c r="AA32" i="20" s="1"/>
  <c r="AB4" i="20"/>
  <c r="AB19" i="20" s="1"/>
  <c r="AB32" i="20" s="1"/>
  <c r="AC4" i="20"/>
  <c r="AC19" i="20" s="1"/>
  <c r="AC32" i="20" s="1"/>
  <c r="AD4" i="20"/>
  <c r="AD19" i="20" s="1"/>
  <c r="AD32" i="20" s="1"/>
  <c r="AE4" i="20"/>
  <c r="AE19" i="20" s="1"/>
  <c r="AE32" i="20" s="1"/>
  <c r="AF4" i="20"/>
  <c r="AF19" i="20" s="1"/>
  <c r="AF32" i="20" s="1"/>
  <c r="AG4" i="20"/>
  <c r="AG19" i="20" s="1"/>
  <c r="AG32" i="20" s="1"/>
  <c r="AH4" i="20"/>
  <c r="AH19" i="20" s="1"/>
  <c r="AH32" i="20" s="1"/>
  <c r="I4" i="20"/>
  <c r="I19" i="20" s="1"/>
  <c r="I32" i="20" s="1"/>
  <c r="G84" i="9"/>
  <c r="F25" i="20" l="1"/>
  <c r="F40" i="20" s="1"/>
  <c r="F30" i="20"/>
  <c r="F45" i="20" s="1"/>
  <c r="F21" i="20"/>
  <c r="F36" i="20" s="1"/>
  <c r="F23" i="20"/>
  <c r="F38" i="20" s="1"/>
  <c r="F24" i="20"/>
  <c r="F39" i="20" s="1"/>
  <c r="F93" i="22"/>
  <c r="D14" i="1"/>
  <c r="N12" i="9" s="1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J33" i="10"/>
  <c r="I33" i="10"/>
  <c r="T93" i="22" l="1"/>
  <c r="U93" i="22"/>
  <c r="AL93" i="22"/>
  <c r="AJ93" i="22"/>
  <c r="AC93" i="22"/>
  <c r="V93" i="22"/>
  <c r="O93" i="22"/>
  <c r="W93" i="22"/>
  <c r="AE93" i="22"/>
  <c r="AM93" i="22"/>
  <c r="L93" i="22"/>
  <c r="P93" i="22"/>
  <c r="H93" i="22"/>
  <c r="Y93" i="22"/>
  <c r="AO93" i="22"/>
  <c r="J93" i="22"/>
  <c r="R93" i="22"/>
  <c r="Z93" i="22"/>
  <c r="AH93" i="22"/>
  <c r="AB93" i="22"/>
  <c r="M93" i="22"/>
  <c r="AK93" i="22"/>
  <c r="N93" i="22"/>
  <c r="AD93" i="22"/>
  <c r="G93" i="22"/>
  <c r="X93" i="22"/>
  <c r="AF93" i="22"/>
  <c r="AN93" i="22"/>
  <c r="Q93" i="22"/>
  <c r="AG93" i="22"/>
  <c r="K93" i="22"/>
  <c r="S93" i="22"/>
  <c r="AA93" i="22"/>
  <c r="AI93" i="22"/>
  <c r="P12" i="9"/>
  <c r="AB12" i="9"/>
  <c r="AI12" i="9"/>
  <c r="X12" i="9"/>
  <c r="M12" i="9"/>
  <c r="Q12" i="9"/>
  <c r="Y12" i="9"/>
  <c r="AC12" i="9"/>
  <c r="AK12" i="9"/>
  <c r="O12" i="9"/>
  <c r="R12" i="9"/>
  <c r="J12" i="9"/>
  <c r="AM12" i="9"/>
  <c r="Z12" i="9"/>
  <c r="L12" i="9"/>
  <c r="K12" i="9"/>
  <c r="T12" i="9"/>
  <c r="AG12" i="9"/>
  <c r="S12" i="9"/>
  <c r="AF12" i="9"/>
  <c r="AH12" i="9"/>
  <c r="W12" i="9"/>
  <c r="AJ12" i="9"/>
  <c r="AD12" i="9"/>
  <c r="AA12" i="9"/>
  <c r="AN12" i="9"/>
  <c r="V12" i="9"/>
  <c r="AE12" i="9"/>
  <c r="I12" i="9"/>
  <c r="AL12" i="9"/>
  <c r="H12" i="9"/>
  <c r="U12" i="9"/>
  <c r="AW142" i="22"/>
  <c r="AV142" i="22"/>
  <c r="AU142" i="22"/>
  <c r="AT142" i="22"/>
  <c r="AS142" i="22"/>
  <c r="AR142" i="22"/>
  <c r="AQ142" i="22"/>
  <c r="AP142" i="22"/>
  <c r="AO142" i="22"/>
  <c r="AN142" i="22"/>
  <c r="AM142" i="22"/>
  <c r="AL142" i="22"/>
  <c r="AK142" i="22"/>
  <c r="AJ142" i="22"/>
  <c r="AI142" i="22"/>
  <c r="AH142" i="22"/>
  <c r="AG142" i="22"/>
  <c r="AF142" i="22"/>
  <c r="AE142" i="22"/>
  <c r="AD142" i="22"/>
  <c r="AC142" i="22"/>
  <c r="AB142" i="22"/>
  <c r="AA142" i="22"/>
  <c r="Z142" i="22"/>
  <c r="Y142" i="22"/>
  <c r="X142" i="22"/>
  <c r="W142" i="22"/>
  <c r="V142" i="22"/>
  <c r="U142" i="22"/>
  <c r="T142" i="22"/>
  <c r="S142" i="22"/>
  <c r="R142" i="22"/>
  <c r="Q142" i="22"/>
  <c r="K33" i="10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12" i="14"/>
  <c r="C17" i="14"/>
  <c r="L28" i="21" s="1"/>
  <c r="E167" i="14"/>
  <c r="C19" i="14" l="1"/>
  <c r="C10" i="10"/>
  <c r="G12" i="10" s="1"/>
  <c r="I93" i="22"/>
  <c r="G33" i="10"/>
  <c r="E311" i="14" a="1"/>
  <c r="E311" i="14" s="1"/>
  <c r="AR290" i="14" l="1"/>
  <c r="AS290" i="14"/>
  <c r="AT290" i="14"/>
  <c r="AU290" i="14"/>
  <c r="AV290" i="14"/>
  <c r="AW290" i="14"/>
  <c r="AX290" i="14"/>
  <c r="AY290" i="14"/>
  <c r="AZ290" i="14"/>
  <c r="BA290" i="14"/>
  <c r="BB290" i="14"/>
  <c r="BC290" i="14"/>
  <c r="BD290" i="14"/>
  <c r="BE290" i="14"/>
  <c r="BF290" i="14"/>
  <c r="BG290" i="14"/>
  <c r="BH290" i="14"/>
  <c r="BI290" i="14"/>
  <c r="BJ290" i="14"/>
  <c r="BK290" i="14"/>
  <c r="BL290" i="14"/>
  <c r="BM290" i="14"/>
  <c r="BN290" i="14"/>
  <c r="BO290" i="14"/>
  <c r="BP290" i="14"/>
  <c r="BQ290" i="14"/>
  <c r="BR290" i="14"/>
  <c r="BS290" i="14"/>
  <c r="BT290" i="14"/>
  <c r="BU290" i="14"/>
  <c r="BV290" i="14"/>
  <c r="BW290" i="14"/>
  <c r="BX290" i="14"/>
  <c r="BY290" i="14"/>
  <c r="AQ290" i="14"/>
  <c r="AR248" i="14"/>
  <c r="AS248" i="14"/>
  <c r="AT248" i="14"/>
  <c r="AU248" i="14"/>
  <c r="AV248" i="14"/>
  <c r="AW248" i="14"/>
  <c r="AX248" i="14"/>
  <c r="AY248" i="14"/>
  <c r="AZ248" i="14"/>
  <c r="BA248" i="14"/>
  <c r="BB248" i="14"/>
  <c r="BC248" i="14"/>
  <c r="BD248" i="14"/>
  <c r="BE248" i="14"/>
  <c r="BF248" i="14"/>
  <c r="BG248" i="14"/>
  <c r="BH248" i="14"/>
  <c r="BI248" i="14"/>
  <c r="BJ248" i="14"/>
  <c r="BK248" i="14"/>
  <c r="BL248" i="14"/>
  <c r="BM248" i="14"/>
  <c r="BN248" i="14"/>
  <c r="BO248" i="14"/>
  <c r="BP248" i="14"/>
  <c r="BQ248" i="14"/>
  <c r="BR248" i="14"/>
  <c r="BS248" i="14"/>
  <c r="BT248" i="14"/>
  <c r="BU248" i="14"/>
  <c r="BV248" i="14"/>
  <c r="BW248" i="14"/>
  <c r="BX248" i="14"/>
  <c r="BY248" i="14"/>
  <c r="AQ248" i="14"/>
  <c r="BY209" i="14"/>
  <c r="AR209" i="14"/>
  <c r="AS209" i="14"/>
  <c r="AT209" i="14"/>
  <c r="AU209" i="14"/>
  <c r="AV209" i="14"/>
  <c r="AW209" i="14"/>
  <c r="AX209" i="14"/>
  <c r="AY209" i="14"/>
  <c r="AZ209" i="14"/>
  <c r="BA209" i="14"/>
  <c r="BB209" i="14"/>
  <c r="BC209" i="14"/>
  <c r="BD209" i="14"/>
  <c r="BE209" i="14"/>
  <c r="BF209" i="14"/>
  <c r="BG209" i="14"/>
  <c r="BH209" i="14"/>
  <c r="BI209" i="14"/>
  <c r="BJ209" i="14"/>
  <c r="BK209" i="14"/>
  <c r="BL209" i="14"/>
  <c r="BM209" i="14"/>
  <c r="BN209" i="14"/>
  <c r="BO209" i="14"/>
  <c r="BP209" i="14"/>
  <c r="BQ209" i="14"/>
  <c r="BR209" i="14"/>
  <c r="BS209" i="14"/>
  <c r="BT209" i="14"/>
  <c r="BU209" i="14"/>
  <c r="BV209" i="14"/>
  <c r="BW209" i="14"/>
  <c r="BX209" i="14"/>
  <c r="G97" i="9" l="1"/>
  <c r="H97" i="9"/>
  <c r="I97" i="9"/>
  <c r="J97" i="9"/>
  <c r="K97" i="9"/>
  <c r="L97" i="9"/>
  <c r="M97" i="9"/>
  <c r="N97" i="9"/>
  <c r="O97" i="9"/>
  <c r="P97" i="9"/>
  <c r="Q97" i="9"/>
  <c r="R97" i="9"/>
  <c r="S97" i="9"/>
  <c r="T97" i="9"/>
  <c r="U97" i="9"/>
  <c r="V97" i="9"/>
  <c r="W97" i="9"/>
  <c r="X97" i="9"/>
  <c r="Y97" i="9"/>
  <c r="Z97" i="9"/>
  <c r="AA97" i="9"/>
  <c r="AB97" i="9"/>
  <c r="AC97" i="9"/>
  <c r="AD97" i="9"/>
  <c r="AE97" i="9"/>
  <c r="AF97" i="9"/>
  <c r="AG97" i="9"/>
  <c r="AH97" i="9"/>
  <c r="AI97" i="9"/>
  <c r="AJ97" i="9"/>
  <c r="AK97" i="9"/>
  <c r="AL97" i="9"/>
  <c r="AM97" i="9"/>
  <c r="AN97" i="9"/>
  <c r="AQ209" i="14"/>
  <c r="H70" i="14" l="1"/>
  <c r="G70" i="14" s="1"/>
  <c r="D89" i="14" s="1"/>
  <c r="I78" i="1" l="1"/>
  <c r="J78" i="1" s="1"/>
  <c r="I77" i="1"/>
  <c r="J77" i="1" s="1"/>
  <c r="D71" i="1" s="1"/>
  <c r="D70" i="1" s="1"/>
  <c r="E18" i="24" l="1"/>
  <c r="F97" i="9" l="1"/>
  <c r="E97" i="9"/>
  <c r="H84" i="9"/>
  <c r="I84" i="9"/>
  <c r="J84" i="9"/>
  <c r="K84" i="9"/>
  <c r="L84" i="9"/>
  <c r="M84" i="9"/>
  <c r="N84" i="9"/>
  <c r="O84" i="9"/>
  <c r="P84" i="9"/>
  <c r="Q84" i="9"/>
  <c r="R84" i="9"/>
  <c r="S84" i="9"/>
  <c r="T84" i="9"/>
  <c r="U84" i="9"/>
  <c r="V84" i="9"/>
  <c r="W84" i="9"/>
  <c r="X84" i="9"/>
  <c r="Y84" i="9"/>
  <c r="Z84" i="9"/>
  <c r="AA84" i="9"/>
  <c r="AB84" i="9"/>
  <c r="AC84" i="9"/>
  <c r="AD84" i="9"/>
  <c r="AE84" i="9"/>
  <c r="AF84" i="9"/>
  <c r="AG84" i="9"/>
  <c r="AH84" i="9"/>
  <c r="AI84" i="9"/>
  <c r="AJ84" i="9"/>
  <c r="AK84" i="9"/>
  <c r="AL84" i="9"/>
  <c r="AM84" i="9"/>
  <c r="AN84" i="9"/>
  <c r="E84" i="9"/>
  <c r="G69" i="9"/>
  <c r="F36" i="34" s="1"/>
  <c r="H69" i="9"/>
  <c r="G36" i="34" s="1"/>
  <c r="I69" i="9"/>
  <c r="H36" i="34" s="1"/>
  <c r="J69" i="9"/>
  <c r="I36" i="34" s="1"/>
  <c r="E50" i="34" s="1"/>
  <c r="K69" i="9"/>
  <c r="J36" i="34" s="1"/>
  <c r="L69" i="9"/>
  <c r="K36" i="34" s="1"/>
  <c r="M69" i="9"/>
  <c r="L36" i="34" s="1"/>
  <c r="N69" i="9"/>
  <c r="M36" i="34" s="1"/>
  <c r="O69" i="9"/>
  <c r="N36" i="34" s="1"/>
  <c r="F50" i="34" s="1"/>
  <c r="P69" i="9"/>
  <c r="O36" i="34" s="1"/>
  <c r="Q69" i="9"/>
  <c r="P36" i="34" s="1"/>
  <c r="R69" i="9"/>
  <c r="Q36" i="34" s="1"/>
  <c r="S69" i="9"/>
  <c r="R36" i="34" s="1"/>
  <c r="T69" i="9"/>
  <c r="S36" i="34" s="1"/>
  <c r="G50" i="34" s="1"/>
  <c r="U69" i="9"/>
  <c r="T36" i="34" s="1"/>
  <c r="V69" i="9"/>
  <c r="U36" i="34" s="1"/>
  <c r="W69" i="9"/>
  <c r="V36" i="34" s="1"/>
  <c r="X69" i="9"/>
  <c r="W36" i="34" s="1"/>
  <c r="Y69" i="9"/>
  <c r="X36" i="34" s="1"/>
  <c r="H50" i="34" s="1"/>
  <c r="Z69" i="9"/>
  <c r="Y36" i="34" s="1"/>
  <c r="AA69" i="9"/>
  <c r="Z36" i="34" s="1"/>
  <c r="AB69" i="9"/>
  <c r="AA36" i="34" s="1"/>
  <c r="AC69" i="9"/>
  <c r="AB36" i="34" s="1"/>
  <c r="AD69" i="9"/>
  <c r="AC36" i="34" s="1"/>
  <c r="I50" i="34" s="1"/>
  <c r="AE69" i="9"/>
  <c r="AD36" i="34" s="1"/>
  <c r="AF69" i="9"/>
  <c r="AE36" i="34" s="1"/>
  <c r="AG69" i="9"/>
  <c r="AF36" i="34" s="1"/>
  <c r="AH69" i="9"/>
  <c r="AG36" i="34" s="1"/>
  <c r="AI69" i="9"/>
  <c r="AH36" i="34" s="1"/>
  <c r="J50" i="34" s="1"/>
  <c r="AJ69" i="9"/>
  <c r="AI36" i="34" s="1"/>
  <c r="AK69" i="9"/>
  <c r="AJ36" i="34" s="1"/>
  <c r="AL69" i="9"/>
  <c r="AK36" i="34" s="1"/>
  <c r="AM69" i="9"/>
  <c r="AL36" i="34" s="1"/>
  <c r="AN69" i="9"/>
  <c r="AM36" i="34" s="1"/>
  <c r="K50" i="34" s="1"/>
  <c r="F69" i="9"/>
  <c r="E36" i="34" s="1"/>
  <c r="E71" i="9"/>
  <c r="E81" i="9" s="1"/>
  <c r="D97" i="9" l="1"/>
  <c r="D24" i="28" s="1"/>
  <c r="AX45" i="9" l="1"/>
  <c r="AX44" i="9"/>
  <c r="AX43" i="9"/>
  <c r="AY43" i="9" s="1"/>
  <c r="AZ43" i="9" s="1"/>
  <c r="BA43" i="9" s="1"/>
  <c r="BB43" i="9" s="1"/>
  <c r="BC43" i="9" s="1"/>
  <c r="BD43" i="9" s="1"/>
  <c r="BE43" i="9" s="1"/>
  <c r="BF43" i="9" s="1"/>
  <c r="BG43" i="9" s="1"/>
  <c r="BH43" i="9" s="1"/>
  <c r="BI43" i="9" s="1"/>
  <c r="BJ43" i="9" s="1"/>
  <c r="BK43" i="9" s="1"/>
  <c r="BL43" i="9" s="1"/>
  <c r="BM43" i="9" s="1"/>
  <c r="BN43" i="9" s="1"/>
  <c r="BO43" i="9" s="1"/>
  <c r="BP43" i="9" s="1"/>
  <c r="BQ43" i="9" s="1"/>
  <c r="BR43" i="9" s="1"/>
  <c r="BS43" i="9" s="1"/>
  <c r="BT43" i="9" s="1"/>
  <c r="BU43" i="9" s="1"/>
  <c r="BV43" i="9" s="1"/>
  <c r="BW43" i="9" s="1"/>
  <c r="BX43" i="9" s="1"/>
  <c r="BY43" i="9" s="1"/>
  <c r="BZ43" i="9" s="1"/>
  <c r="CA43" i="9" s="1"/>
  <c r="CB43" i="9" s="1"/>
  <c r="CC43" i="9" s="1"/>
  <c r="CD43" i="9" s="1"/>
  <c r="CE43" i="9" s="1"/>
  <c r="E69" i="9"/>
  <c r="B69" i="9" s="1"/>
  <c r="G67" i="9"/>
  <c r="F34" i="34" s="1"/>
  <c r="H67" i="9"/>
  <c r="G34" i="34" s="1"/>
  <c r="I67" i="9"/>
  <c r="H34" i="34" s="1"/>
  <c r="J67" i="9"/>
  <c r="I34" i="34" s="1"/>
  <c r="E48" i="34" s="1"/>
  <c r="K67" i="9"/>
  <c r="J34" i="34" s="1"/>
  <c r="L67" i="9"/>
  <c r="K34" i="34" s="1"/>
  <c r="M67" i="9"/>
  <c r="L34" i="34" s="1"/>
  <c r="N67" i="9"/>
  <c r="M34" i="34" s="1"/>
  <c r="O67" i="9"/>
  <c r="N34" i="34" s="1"/>
  <c r="F48" i="34" s="1"/>
  <c r="P67" i="9"/>
  <c r="O34" i="34" s="1"/>
  <c r="Q67" i="9"/>
  <c r="P34" i="34" s="1"/>
  <c r="R67" i="9"/>
  <c r="Q34" i="34" s="1"/>
  <c r="S67" i="9"/>
  <c r="R34" i="34" s="1"/>
  <c r="T67" i="9"/>
  <c r="S34" i="34" s="1"/>
  <c r="G48" i="34" s="1"/>
  <c r="U67" i="9"/>
  <c r="T34" i="34" s="1"/>
  <c r="V67" i="9"/>
  <c r="U34" i="34" s="1"/>
  <c r="W67" i="9"/>
  <c r="V34" i="34" s="1"/>
  <c r="X67" i="9"/>
  <c r="W34" i="34" s="1"/>
  <c r="Y67" i="9"/>
  <c r="X34" i="34" s="1"/>
  <c r="H48" i="34" s="1"/>
  <c r="Z67" i="9"/>
  <c r="Y34" i="34" s="1"/>
  <c r="AA67" i="9"/>
  <c r="Z34" i="34" s="1"/>
  <c r="AB67" i="9"/>
  <c r="AA34" i="34" s="1"/>
  <c r="AC67" i="9"/>
  <c r="AB34" i="34" s="1"/>
  <c r="AD67" i="9"/>
  <c r="AC34" i="34" s="1"/>
  <c r="I48" i="34" s="1"/>
  <c r="AE67" i="9"/>
  <c r="AD34" i="34" s="1"/>
  <c r="AF67" i="9"/>
  <c r="AE34" i="34" s="1"/>
  <c r="AG67" i="9"/>
  <c r="AF34" i="34" s="1"/>
  <c r="AH67" i="9"/>
  <c r="AG34" i="34" s="1"/>
  <c r="AI67" i="9"/>
  <c r="AH34" i="34" s="1"/>
  <c r="J48" i="34" s="1"/>
  <c r="AJ67" i="9"/>
  <c r="AI34" i="34" s="1"/>
  <c r="AK67" i="9"/>
  <c r="AJ34" i="34" s="1"/>
  <c r="AL67" i="9"/>
  <c r="AK34" i="34" s="1"/>
  <c r="AM67" i="9"/>
  <c r="AL34" i="34" s="1"/>
  <c r="AN67" i="9"/>
  <c r="AM34" i="34" s="1"/>
  <c r="K48" i="34" s="1"/>
  <c r="E67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T58" i="9"/>
  <c r="U58" i="9"/>
  <c r="V58" i="9"/>
  <c r="W58" i="9"/>
  <c r="X58" i="9"/>
  <c r="Y58" i="9"/>
  <c r="Z58" i="9"/>
  <c r="AA58" i="9"/>
  <c r="AB58" i="9"/>
  <c r="AC58" i="9"/>
  <c r="AD58" i="9"/>
  <c r="AE58" i="9"/>
  <c r="AF58" i="9"/>
  <c r="AG58" i="9"/>
  <c r="AH58" i="9"/>
  <c r="AI58" i="9"/>
  <c r="AJ58" i="9"/>
  <c r="AK58" i="9"/>
  <c r="AL58" i="9"/>
  <c r="AM58" i="9"/>
  <c r="AN58" i="9"/>
  <c r="F58" i="9"/>
  <c r="D32" i="9"/>
  <c r="D12" i="9"/>
  <c r="E31" i="9"/>
  <c r="E72" i="9" s="1"/>
  <c r="F7" i="9"/>
  <c r="G7" i="9"/>
  <c r="F6" i="34" s="1"/>
  <c r="E7" i="9"/>
  <c r="D8" i="25"/>
  <c r="D7" i="25"/>
  <c r="D6" i="25"/>
  <c r="D5" i="25"/>
  <c r="C93" i="14"/>
  <c r="D93" i="14" s="1"/>
  <c r="C94" i="14"/>
  <c r="D94" i="14" s="1"/>
  <c r="C95" i="14"/>
  <c r="D95" i="14" s="1"/>
  <c r="C96" i="14"/>
  <c r="D96" i="14" s="1"/>
  <c r="C97" i="14"/>
  <c r="D97" i="14" s="1"/>
  <c r="C98" i="14"/>
  <c r="D98" i="14" s="1"/>
  <c r="C99" i="14"/>
  <c r="D99" i="14" s="1"/>
  <c r="C100" i="14"/>
  <c r="D100" i="14" s="1"/>
  <c r="C101" i="14"/>
  <c r="D101" i="14" s="1"/>
  <c r="C102" i="14"/>
  <c r="D102" i="14" s="1"/>
  <c r="C105" i="14"/>
  <c r="D105" i="14" s="1"/>
  <c r="C106" i="14"/>
  <c r="D106" i="14" s="1"/>
  <c r="C92" i="14"/>
  <c r="D92" i="14" s="1"/>
  <c r="J9" i="10"/>
  <c r="CC120" i="10"/>
  <c r="CB120" i="10"/>
  <c r="CA120" i="10"/>
  <c r="BZ120" i="10"/>
  <c r="BY120" i="10"/>
  <c r="BX120" i="10"/>
  <c r="BW120" i="10"/>
  <c r="BV120" i="10"/>
  <c r="BU120" i="10"/>
  <c r="BT120" i="10"/>
  <c r="BS120" i="10"/>
  <c r="BR120" i="10"/>
  <c r="BQ120" i="10"/>
  <c r="BP120" i="10"/>
  <c r="BO120" i="10"/>
  <c r="BN120" i="10"/>
  <c r="BM120" i="10"/>
  <c r="BL120" i="10"/>
  <c r="BK120" i="10"/>
  <c r="BH120" i="10"/>
  <c r="BF120" i="10"/>
  <c r="BE120" i="10"/>
  <c r="BD120" i="10"/>
  <c r="BB120" i="10"/>
  <c r="BA120" i="10"/>
  <c r="AZ120" i="10"/>
  <c r="AY120" i="10"/>
  <c r="AW120" i="10"/>
  <c r="AV120" i="10"/>
  <c r="G45" i="10"/>
  <c r="R285" i="1"/>
  <c r="R284" i="1"/>
  <c r="R283" i="1"/>
  <c r="R282" i="1"/>
  <c r="R281" i="1"/>
  <c r="R278" i="1"/>
  <c r="R277" i="1"/>
  <c r="R276" i="1"/>
  <c r="R275" i="1"/>
  <c r="S280" i="1"/>
  <c r="J8" i="10"/>
  <c r="J7" i="10"/>
  <c r="C75" i="14"/>
  <c r="C76" i="14"/>
  <c r="C77" i="14"/>
  <c r="C78" i="14"/>
  <c r="C79" i="14"/>
  <c r="C80" i="14"/>
  <c r="C81" i="14"/>
  <c r="C82" i="14"/>
  <c r="C83" i="14"/>
  <c r="C84" i="14"/>
  <c r="C85" i="14"/>
  <c r="C86" i="14"/>
  <c r="G86" i="14"/>
  <c r="G84" i="12" s="1"/>
  <c r="N84" i="12" s="1"/>
  <c r="C87" i="14"/>
  <c r="G87" i="14"/>
  <c r="G85" i="12" s="1"/>
  <c r="N85" i="12" s="1"/>
  <c r="C88" i="14"/>
  <c r="C89" i="14"/>
  <c r="E89" i="14" s="1"/>
  <c r="E126" i="14" s="1"/>
  <c r="N72" i="12" l="1"/>
  <c r="G24" i="9"/>
  <c r="E8" i="32" s="1"/>
  <c r="E6" i="34"/>
  <c r="B67" i="9"/>
  <c r="F24" i="9"/>
  <c r="Y30" i="10"/>
  <c r="AO30" i="10"/>
  <c r="AG30" i="10"/>
  <c r="Q30" i="10"/>
  <c r="H30" i="10"/>
  <c r="AJ30" i="10"/>
  <c r="AB30" i="10"/>
  <c r="T30" i="10"/>
  <c r="L30" i="10"/>
  <c r="AK30" i="10"/>
  <c r="AC30" i="10"/>
  <c r="U30" i="10"/>
  <c r="M30" i="10"/>
  <c r="AQ30" i="10"/>
  <c r="AI30" i="10"/>
  <c r="AA30" i="10"/>
  <c r="S30" i="10"/>
  <c r="AP30" i="10"/>
  <c r="AH30" i="10"/>
  <c r="Z30" i="10"/>
  <c r="R30" i="10"/>
  <c r="I30" i="10"/>
  <c r="L85" i="12"/>
  <c r="M85" i="12"/>
  <c r="K85" i="12"/>
  <c r="O85" i="12"/>
  <c r="P85" i="12"/>
  <c r="Q85" i="12"/>
  <c r="R85" i="12"/>
  <c r="S85" i="12"/>
  <c r="T85" i="12"/>
  <c r="U85" i="12"/>
  <c r="V85" i="12"/>
  <c r="W85" i="12"/>
  <c r="X85" i="12"/>
  <c r="Y85" i="12"/>
  <c r="Z85" i="12"/>
  <c r="AA85" i="12"/>
  <c r="AB85" i="12"/>
  <c r="AC85" i="12"/>
  <c r="AD85" i="12"/>
  <c r="AE85" i="12"/>
  <c r="AF85" i="12"/>
  <c r="AG85" i="12"/>
  <c r="AH85" i="12"/>
  <c r="AI85" i="12"/>
  <c r="AJ85" i="12"/>
  <c r="AK85" i="12"/>
  <c r="AL85" i="12"/>
  <c r="AM85" i="12"/>
  <c r="AN85" i="12"/>
  <c r="AO85" i="12"/>
  <c r="AP85" i="12"/>
  <c r="AQ85" i="12"/>
  <c r="AR85" i="12"/>
  <c r="AS85" i="12"/>
  <c r="AT85" i="12"/>
  <c r="L84" i="12"/>
  <c r="L72" i="12" s="1"/>
  <c r="M84" i="12"/>
  <c r="M72" i="12" s="1"/>
  <c r="K84" i="12"/>
  <c r="K72" i="12" s="1"/>
  <c r="O84" i="12"/>
  <c r="O72" i="12" s="1"/>
  <c r="P84" i="12"/>
  <c r="P72" i="12" s="1"/>
  <c r="Q84" i="12"/>
  <c r="Q72" i="12" s="1"/>
  <c r="R84" i="12"/>
  <c r="R72" i="12" s="1"/>
  <c r="S84" i="12"/>
  <c r="S72" i="12" s="1"/>
  <c r="T84" i="12"/>
  <c r="T72" i="12" s="1"/>
  <c r="U84" i="12"/>
  <c r="U72" i="12" s="1"/>
  <c r="V84" i="12"/>
  <c r="V72" i="12" s="1"/>
  <c r="W84" i="12"/>
  <c r="W72" i="12" s="1"/>
  <c r="X84" i="12"/>
  <c r="X72" i="12" s="1"/>
  <c r="Y84" i="12"/>
  <c r="Y72" i="12" s="1"/>
  <c r="Z84" i="12"/>
  <c r="Z72" i="12" s="1"/>
  <c r="AA84" i="12"/>
  <c r="AA72" i="12" s="1"/>
  <c r="AB84" i="12"/>
  <c r="AB72" i="12" s="1"/>
  <c r="AC84" i="12"/>
  <c r="AC72" i="12" s="1"/>
  <c r="AD84" i="12"/>
  <c r="AD72" i="12" s="1"/>
  <c r="AE84" i="12"/>
  <c r="AE72" i="12" s="1"/>
  <c r="AF84" i="12"/>
  <c r="AF72" i="12" s="1"/>
  <c r="AG84" i="12"/>
  <c r="AG72" i="12" s="1"/>
  <c r="AH84" i="12"/>
  <c r="AH72" i="12" s="1"/>
  <c r="AI84" i="12"/>
  <c r="AI72" i="12" s="1"/>
  <c r="AJ84" i="12"/>
  <c r="AJ72" i="12" s="1"/>
  <c r="AK84" i="12"/>
  <c r="AK72" i="12" s="1"/>
  <c r="AL84" i="12"/>
  <c r="AL72" i="12" s="1"/>
  <c r="AM84" i="12"/>
  <c r="AM72" i="12" s="1"/>
  <c r="AN84" i="12"/>
  <c r="AN72" i="12" s="1"/>
  <c r="AO84" i="12"/>
  <c r="AO72" i="12" s="1"/>
  <c r="AP84" i="12"/>
  <c r="AP72" i="12" s="1"/>
  <c r="AQ84" i="12"/>
  <c r="AQ72" i="12" s="1"/>
  <c r="AR84" i="12"/>
  <c r="AR72" i="12" s="1"/>
  <c r="AS84" i="12"/>
  <c r="AS72" i="12" s="1"/>
  <c r="AT84" i="12"/>
  <c r="AT72" i="12" s="1"/>
  <c r="AN24" i="5"/>
  <c r="D53" i="5"/>
  <c r="AN23" i="5"/>
  <c r="D52" i="5"/>
  <c r="H24" i="9"/>
  <c r="F8" i="32" s="1"/>
  <c r="J20" i="20"/>
  <c r="I20" i="20"/>
  <c r="AN30" i="10"/>
  <c r="AF30" i="10"/>
  <c r="X30" i="10"/>
  <c r="P30" i="10"/>
  <c r="AM30" i="10"/>
  <c r="AE30" i="10"/>
  <c r="W30" i="10"/>
  <c r="O30" i="10"/>
  <c r="AL30" i="10"/>
  <c r="AD30" i="10"/>
  <c r="V30" i="10"/>
  <c r="N30" i="10"/>
  <c r="C104" i="14"/>
  <c r="D104" i="14" s="1"/>
  <c r="C103" i="14"/>
  <c r="D103" i="14" s="1"/>
  <c r="R279" i="1"/>
  <c r="R280" i="1"/>
  <c r="S279" i="1"/>
  <c r="L280" i="1"/>
  <c r="G282" i="1"/>
  <c r="G285" i="1"/>
  <c r="G284" i="1"/>
  <c r="G283" i="1"/>
  <c r="G281" i="1"/>
  <c r="G280" i="1"/>
  <c r="Q280" i="1" s="1"/>
  <c r="G279" i="1"/>
  <c r="G278" i="1"/>
  <c r="G277" i="1"/>
  <c r="G276" i="1"/>
  <c r="Q276" i="1" s="1"/>
  <c r="G275" i="1"/>
  <c r="D100" i="12"/>
  <c r="F44" i="1"/>
  <c r="U14" i="16" s="1"/>
  <c r="F45" i="1"/>
  <c r="U15" i="16" s="1"/>
  <c r="F46" i="1"/>
  <c r="U16" i="16" s="1"/>
  <c r="F47" i="1"/>
  <c r="U17" i="16" s="1"/>
  <c r="F48" i="1"/>
  <c r="U18" i="16" s="1"/>
  <c r="F49" i="1"/>
  <c r="U19" i="16" s="1"/>
  <c r="F50" i="1"/>
  <c r="U20" i="16" s="1"/>
  <c r="F43" i="1"/>
  <c r="U13" i="16" s="1"/>
  <c r="H69" i="14"/>
  <c r="G69" i="14" s="1"/>
  <c r="D88" i="14" s="1"/>
  <c r="E88" i="14" s="1"/>
  <c r="E125" i="14" s="1"/>
  <c r="U21" i="16" l="1"/>
  <c r="I8" i="20"/>
  <c r="D8" i="32"/>
  <c r="F289" i="14"/>
  <c r="F281" i="14"/>
  <c r="F273" i="14"/>
  <c r="F286" i="14"/>
  <c r="F278" i="14"/>
  <c r="F288" i="14"/>
  <c r="F280" i="14"/>
  <c r="F272" i="14"/>
  <c r="F285" i="14"/>
  <c r="F277" i="14"/>
  <c r="F282" i="14"/>
  <c r="F274" i="14"/>
  <c r="F266" i="14"/>
  <c r="F271" i="14"/>
  <c r="F263" i="14"/>
  <c r="F268" i="14"/>
  <c r="F260" i="14"/>
  <c r="F283" i="14"/>
  <c r="F265" i="14"/>
  <c r="F275" i="14"/>
  <c r="F270" i="14"/>
  <c r="F262" i="14"/>
  <c r="F287" i="14"/>
  <c r="F284" i="14"/>
  <c r="F264" i="14"/>
  <c r="F279" i="14"/>
  <c r="F276" i="14"/>
  <c r="F269" i="14"/>
  <c r="F256" i="14"/>
  <c r="F255" i="14"/>
  <c r="F257" i="14"/>
  <c r="F261" i="14"/>
  <c r="F267" i="14"/>
  <c r="F258" i="14"/>
  <c r="F259" i="14"/>
  <c r="G286" i="14"/>
  <c r="G278" i="14"/>
  <c r="G283" i="14"/>
  <c r="G275" i="14"/>
  <c r="G285" i="14"/>
  <c r="G277" i="14"/>
  <c r="G282" i="14"/>
  <c r="G274" i="14"/>
  <c r="G287" i="14"/>
  <c r="G279" i="14"/>
  <c r="G271" i="14"/>
  <c r="G263" i="14"/>
  <c r="G288" i="14"/>
  <c r="G268" i="14"/>
  <c r="G260" i="14"/>
  <c r="G280" i="14"/>
  <c r="G265" i="14"/>
  <c r="G272" i="14"/>
  <c r="G270" i="14"/>
  <c r="G262" i="14"/>
  <c r="G289" i="14"/>
  <c r="G267" i="14"/>
  <c r="G259" i="14"/>
  <c r="G276" i="14"/>
  <c r="G273" i="14"/>
  <c r="G269" i="14"/>
  <c r="G261" i="14"/>
  <c r="G266" i="14"/>
  <c r="G284" i="14"/>
  <c r="G258" i="14"/>
  <c r="G264" i="14"/>
  <c r="G257" i="14"/>
  <c r="G281" i="14"/>
  <c r="G256" i="14"/>
  <c r="G255" i="14"/>
  <c r="M91" i="22"/>
  <c r="G91" i="22"/>
  <c r="AG91" i="22"/>
  <c r="Z91" i="22"/>
  <c r="P91" i="22"/>
  <c r="AO91" i="22"/>
  <c r="AH91" i="22"/>
  <c r="AC91" i="22"/>
  <c r="K91" i="22"/>
  <c r="F91" i="22"/>
  <c r="AK91" i="22"/>
  <c r="AH105" i="10"/>
  <c r="S91" i="22"/>
  <c r="O91" i="22"/>
  <c r="N91" i="22"/>
  <c r="AN91" i="22"/>
  <c r="AA91" i="22"/>
  <c r="AE91" i="22"/>
  <c r="T91" i="22"/>
  <c r="V91" i="22"/>
  <c r="AI91" i="22"/>
  <c r="AM91" i="22"/>
  <c r="L91" i="22"/>
  <c r="AB91" i="22"/>
  <c r="AD91" i="22"/>
  <c r="Q91" i="22"/>
  <c r="J91" i="22"/>
  <c r="W91" i="22"/>
  <c r="U91" i="22"/>
  <c r="AJ91" i="22"/>
  <c r="AL91" i="22"/>
  <c r="Y91" i="22"/>
  <c r="R91" i="22"/>
  <c r="P107" i="12"/>
  <c r="P108" i="12"/>
  <c r="Q108" i="12" s="1"/>
  <c r="P109" i="12"/>
  <c r="Q109" i="12" s="1"/>
  <c r="Y105" i="10"/>
  <c r="Y104" i="10"/>
  <c r="Q100" i="10"/>
  <c r="AG96" i="10"/>
  <c r="AG118" i="10"/>
  <c r="AG109" i="10"/>
  <c r="AG104" i="10"/>
  <c r="AG97" i="10"/>
  <c r="AG95" i="10"/>
  <c r="AG120" i="10"/>
  <c r="AG94" i="10"/>
  <c r="AG119" i="10"/>
  <c r="AQ91" i="10"/>
  <c r="Q119" i="10"/>
  <c r="Q108" i="10"/>
  <c r="AG111" i="10"/>
  <c r="AG89" i="10"/>
  <c r="Q107" i="10"/>
  <c r="AG110" i="10"/>
  <c r="AO94" i="10"/>
  <c r="AG106" i="10"/>
  <c r="AG88" i="10"/>
  <c r="AG87" i="10"/>
  <c r="AG105" i="10"/>
  <c r="U112" i="10"/>
  <c r="AG117" i="10"/>
  <c r="AG101" i="10"/>
  <c r="AJ99" i="10"/>
  <c r="Q94" i="10"/>
  <c r="U98" i="10"/>
  <c r="AG114" i="10"/>
  <c r="AG98" i="10"/>
  <c r="Y87" i="10"/>
  <c r="Y99" i="10"/>
  <c r="Y120" i="10"/>
  <c r="Y98" i="10"/>
  <c r="Y115" i="10"/>
  <c r="Y97" i="10"/>
  <c r="Y114" i="10"/>
  <c r="Y96" i="10"/>
  <c r="AO118" i="10"/>
  <c r="Y113" i="10"/>
  <c r="Y89" i="10"/>
  <c r="AO112" i="10"/>
  <c r="Q93" i="10"/>
  <c r="Y112" i="10"/>
  <c r="Y88" i="10"/>
  <c r="AO111" i="10"/>
  <c r="AO88" i="10"/>
  <c r="Q112" i="10"/>
  <c r="Q111" i="10"/>
  <c r="U87" i="10"/>
  <c r="AG113" i="10"/>
  <c r="AG103" i="10"/>
  <c r="AG93" i="10"/>
  <c r="Q92" i="10"/>
  <c r="Q110" i="10"/>
  <c r="U116" i="10"/>
  <c r="AG112" i="10"/>
  <c r="AG102" i="10"/>
  <c r="AG90" i="10"/>
  <c r="AO104" i="10"/>
  <c r="AO103" i="10"/>
  <c r="AJ98" i="10"/>
  <c r="AO102" i="10"/>
  <c r="Y107" i="10"/>
  <c r="Y91" i="10"/>
  <c r="AO120" i="10"/>
  <c r="AO96" i="10"/>
  <c r="Q87" i="10"/>
  <c r="Q99" i="10"/>
  <c r="U96" i="10"/>
  <c r="Y106" i="10"/>
  <c r="Y90" i="10"/>
  <c r="AO119" i="10"/>
  <c r="AO95" i="10"/>
  <c r="AJ117" i="10"/>
  <c r="AJ116" i="10"/>
  <c r="Q118" i="10"/>
  <c r="Q103" i="10"/>
  <c r="Q91" i="10"/>
  <c r="U91" i="10"/>
  <c r="AJ108" i="10"/>
  <c r="Q117" i="10"/>
  <c r="Q102" i="10"/>
  <c r="Q89" i="10"/>
  <c r="U88" i="10"/>
  <c r="AG116" i="10"/>
  <c r="AG108" i="10"/>
  <c r="AG100" i="10"/>
  <c r="AG92" i="10"/>
  <c r="AJ101" i="10"/>
  <c r="Q116" i="10"/>
  <c r="Q101" i="10"/>
  <c r="Q88" i="10"/>
  <c r="AG115" i="10"/>
  <c r="AG107" i="10"/>
  <c r="AG99" i="10"/>
  <c r="AG91" i="10"/>
  <c r="AJ100" i="10"/>
  <c r="AO110" i="10"/>
  <c r="AQ111" i="10"/>
  <c r="U107" i="10"/>
  <c r="U99" i="10"/>
  <c r="AH88" i="10"/>
  <c r="U108" i="10"/>
  <c r="AO117" i="10"/>
  <c r="AO109" i="10"/>
  <c r="AO101" i="10"/>
  <c r="AO93" i="10"/>
  <c r="Y119" i="10"/>
  <c r="Y111" i="10"/>
  <c r="Y103" i="10"/>
  <c r="Y95" i="10"/>
  <c r="AB117" i="10"/>
  <c r="AO116" i="10"/>
  <c r="AO108" i="10"/>
  <c r="AO100" i="10"/>
  <c r="AO92" i="10"/>
  <c r="Y118" i="10"/>
  <c r="Y110" i="10"/>
  <c r="Y102" i="10"/>
  <c r="Y94" i="10"/>
  <c r="AB116" i="10"/>
  <c r="AJ115" i="10"/>
  <c r="AJ93" i="10"/>
  <c r="AO115" i="10"/>
  <c r="AO107" i="10"/>
  <c r="AO99" i="10"/>
  <c r="AO91" i="10"/>
  <c r="Y117" i="10"/>
  <c r="Y109" i="10"/>
  <c r="Y101" i="10"/>
  <c r="Y93" i="10"/>
  <c r="AB115" i="10"/>
  <c r="AJ114" i="10"/>
  <c r="AJ92" i="10"/>
  <c r="AO114" i="10"/>
  <c r="AO106" i="10"/>
  <c r="AO98" i="10"/>
  <c r="AO90" i="10"/>
  <c r="Q120" i="10"/>
  <c r="Q109" i="10"/>
  <c r="Q97" i="10"/>
  <c r="U120" i="10"/>
  <c r="U92" i="10"/>
  <c r="Y116" i="10"/>
  <c r="Y108" i="10"/>
  <c r="Y100" i="10"/>
  <c r="Y92" i="10"/>
  <c r="AB94" i="10"/>
  <c r="AJ109" i="10"/>
  <c r="AO87" i="10"/>
  <c r="AO113" i="10"/>
  <c r="AO105" i="10"/>
  <c r="AO97" i="10"/>
  <c r="AO89" i="10"/>
  <c r="AJ107" i="10"/>
  <c r="AJ91" i="10"/>
  <c r="AJ106" i="10"/>
  <c r="AJ90" i="10"/>
  <c r="AB113" i="10"/>
  <c r="AJ87" i="10"/>
  <c r="AJ97" i="10"/>
  <c r="AB102" i="10"/>
  <c r="AJ120" i="10"/>
  <c r="AJ112" i="10"/>
  <c r="AJ104" i="10"/>
  <c r="AJ96" i="10"/>
  <c r="Q115" i="10"/>
  <c r="Q105" i="10"/>
  <c r="Q96" i="10"/>
  <c r="T115" i="10"/>
  <c r="U106" i="10"/>
  <c r="AB101" i="10"/>
  <c r="AJ119" i="10"/>
  <c r="AJ111" i="10"/>
  <c r="AJ103" i="10"/>
  <c r="AJ95" i="10"/>
  <c r="M96" i="10"/>
  <c r="Q113" i="10"/>
  <c r="Q104" i="10"/>
  <c r="Q95" i="10"/>
  <c r="T88" i="10"/>
  <c r="U105" i="10"/>
  <c r="AB95" i="10"/>
  <c r="AJ118" i="10"/>
  <c r="AJ110" i="10"/>
  <c r="AJ102" i="10"/>
  <c r="AJ94" i="10"/>
  <c r="AB103" i="10"/>
  <c r="AJ113" i="10"/>
  <c r="AJ105" i="10"/>
  <c r="AJ89" i="10"/>
  <c r="AJ88" i="10"/>
  <c r="AC101" i="10"/>
  <c r="T120" i="10"/>
  <c r="T106" i="10"/>
  <c r="T105" i="10"/>
  <c r="L116" i="10"/>
  <c r="L100" i="10"/>
  <c r="T99" i="10"/>
  <c r="AB111" i="10"/>
  <c r="AB93" i="10"/>
  <c r="L115" i="10"/>
  <c r="L99" i="10"/>
  <c r="T90" i="10"/>
  <c r="AB107" i="10"/>
  <c r="AB92" i="10"/>
  <c r="AK119" i="10"/>
  <c r="T104" i="10"/>
  <c r="L98" i="10"/>
  <c r="T87" i="10"/>
  <c r="T89" i="10"/>
  <c r="AB105" i="10"/>
  <c r="AB91" i="10"/>
  <c r="AK112" i="10"/>
  <c r="AK111" i="10"/>
  <c r="AK104" i="10"/>
  <c r="T114" i="10"/>
  <c r="AK96" i="10"/>
  <c r="L114" i="10"/>
  <c r="L91" i="10"/>
  <c r="T98" i="10"/>
  <c r="L108" i="10"/>
  <c r="L90" i="10"/>
  <c r="T113" i="10"/>
  <c r="T97" i="10"/>
  <c r="AB87" i="10"/>
  <c r="AB110" i="10"/>
  <c r="AB100" i="10"/>
  <c r="AB89" i="10"/>
  <c r="L107" i="10"/>
  <c r="Q114" i="10"/>
  <c r="Q106" i="10"/>
  <c r="Q98" i="10"/>
  <c r="Q90" i="10"/>
  <c r="T112" i="10"/>
  <c r="T96" i="10"/>
  <c r="U113" i="10"/>
  <c r="U97" i="10"/>
  <c r="AB119" i="10"/>
  <c r="AB109" i="10"/>
  <c r="AB99" i="10"/>
  <c r="AC87" i="10"/>
  <c r="AK95" i="10"/>
  <c r="AC89" i="10"/>
  <c r="L92" i="10"/>
  <c r="AK103" i="10"/>
  <c r="L106" i="10"/>
  <c r="T107" i="10"/>
  <c r="T91" i="10"/>
  <c r="AB118" i="10"/>
  <c r="AB108" i="10"/>
  <c r="AB97" i="10"/>
  <c r="AC111" i="10"/>
  <c r="AK120" i="10"/>
  <c r="AK88" i="10"/>
  <c r="AP98" i="10"/>
  <c r="AC110" i="10"/>
  <c r="AC98" i="10"/>
  <c r="AC88" i="10"/>
  <c r="AP97" i="10"/>
  <c r="AK118" i="10"/>
  <c r="L87" i="10"/>
  <c r="L113" i="10"/>
  <c r="L97" i="10"/>
  <c r="L89" i="10"/>
  <c r="AC118" i="10"/>
  <c r="AC106" i="10"/>
  <c r="AC96" i="10"/>
  <c r="AK117" i="10"/>
  <c r="AK109" i="10"/>
  <c r="AK101" i="10"/>
  <c r="AK93" i="10"/>
  <c r="AP87" i="10"/>
  <c r="L120" i="10"/>
  <c r="L112" i="10"/>
  <c r="L104" i="10"/>
  <c r="L96" i="10"/>
  <c r="L88" i="10"/>
  <c r="T119" i="10"/>
  <c r="T111" i="10"/>
  <c r="T103" i="10"/>
  <c r="T95" i="10"/>
  <c r="AC117" i="10"/>
  <c r="AC105" i="10"/>
  <c r="AC95" i="10"/>
  <c r="AK116" i="10"/>
  <c r="AK108" i="10"/>
  <c r="AK100" i="10"/>
  <c r="AK92" i="10"/>
  <c r="AP115" i="10"/>
  <c r="L119" i="10"/>
  <c r="L111" i="10"/>
  <c r="L103" i="10"/>
  <c r="L95" i="10"/>
  <c r="M104" i="10"/>
  <c r="T118" i="10"/>
  <c r="T110" i="10"/>
  <c r="T102" i="10"/>
  <c r="T94" i="10"/>
  <c r="AB114" i="10"/>
  <c r="AB106" i="10"/>
  <c r="AB98" i="10"/>
  <c r="AB90" i="10"/>
  <c r="AC114" i="10"/>
  <c r="AC104" i="10"/>
  <c r="AC94" i="10"/>
  <c r="AK115" i="10"/>
  <c r="AK107" i="10"/>
  <c r="AK99" i="10"/>
  <c r="AK91" i="10"/>
  <c r="AP114" i="10"/>
  <c r="AC120" i="10"/>
  <c r="AC119" i="10"/>
  <c r="AC109" i="10"/>
  <c r="AC97" i="10"/>
  <c r="AK110" i="10"/>
  <c r="AK102" i="10"/>
  <c r="AK94" i="10"/>
  <c r="L105" i="10"/>
  <c r="L118" i="10"/>
  <c r="L110" i="10"/>
  <c r="L102" i="10"/>
  <c r="L94" i="10"/>
  <c r="T117" i="10"/>
  <c r="T109" i="10"/>
  <c r="T101" i="10"/>
  <c r="T93" i="10"/>
  <c r="AC113" i="10"/>
  <c r="AC103" i="10"/>
  <c r="AC93" i="10"/>
  <c r="AK114" i="10"/>
  <c r="AK106" i="10"/>
  <c r="AK98" i="10"/>
  <c r="AK90" i="10"/>
  <c r="AP105" i="10"/>
  <c r="L117" i="10"/>
  <c r="L109" i="10"/>
  <c r="L101" i="10"/>
  <c r="L93" i="10"/>
  <c r="M95" i="10"/>
  <c r="T116" i="10"/>
  <c r="T108" i="10"/>
  <c r="T100" i="10"/>
  <c r="T92" i="10"/>
  <c r="AB120" i="10"/>
  <c r="AB112" i="10"/>
  <c r="AB104" i="10"/>
  <c r="AB96" i="10"/>
  <c r="AB88" i="10"/>
  <c r="AC112" i="10"/>
  <c r="AC102" i="10"/>
  <c r="AC90" i="10"/>
  <c r="AK87" i="10"/>
  <c r="AK113" i="10"/>
  <c r="AK105" i="10"/>
  <c r="AK97" i="10"/>
  <c r="AK89" i="10"/>
  <c r="AP99" i="10"/>
  <c r="AJ13" i="5"/>
  <c r="AB13" i="5"/>
  <c r="T13" i="5"/>
  <c r="L13" i="5"/>
  <c r="E13" i="5"/>
  <c r="E27" i="5" s="1"/>
  <c r="S110" i="10"/>
  <c r="R87" i="10"/>
  <c r="M109" i="10"/>
  <c r="R114" i="10"/>
  <c r="U115" i="10"/>
  <c r="U104" i="10"/>
  <c r="U90" i="10"/>
  <c r="M120" i="10"/>
  <c r="M108" i="10"/>
  <c r="R113" i="10"/>
  <c r="U114" i="10"/>
  <c r="U100" i="10"/>
  <c r="U89" i="10"/>
  <c r="AP91" i="10"/>
  <c r="S102" i="10"/>
  <c r="M119" i="10"/>
  <c r="M94" i="10"/>
  <c r="R92" i="10"/>
  <c r="AA117" i="10"/>
  <c r="AI87" i="10"/>
  <c r="I99" i="10"/>
  <c r="M93" i="10"/>
  <c r="R91" i="10"/>
  <c r="AI98" i="10"/>
  <c r="AQ116" i="10"/>
  <c r="S94" i="10"/>
  <c r="R99" i="10"/>
  <c r="M118" i="10"/>
  <c r="I98" i="10"/>
  <c r="M110" i="10"/>
  <c r="S118" i="10"/>
  <c r="AI90" i="10"/>
  <c r="AQ115" i="10"/>
  <c r="AA110" i="10"/>
  <c r="I87" i="10"/>
  <c r="AA109" i="10"/>
  <c r="AI120" i="10"/>
  <c r="I89" i="10"/>
  <c r="R112" i="10"/>
  <c r="AA102" i="10"/>
  <c r="AI112" i="10"/>
  <c r="AQ103" i="10"/>
  <c r="I88" i="10"/>
  <c r="M103" i="10"/>
  <c r="R109" i="10"/>
  <c r="AI109" i="10"/>
  <c r="AQ102" i="10"/>
  <c r="M116" i="10"/>
  <c r="M88" i="10"/>
  <c r="U119" i="10"/>
  <c r="U103" i="10"/>
  <c r="AI108" i="10"/>
  <c r="I102" i="10"/>
  <c r="M111" i="10"/>
  <c r="M100" i="10"/>
  <c r="R100" i="10"/>
  <c r="U117" i="10"/>
  <c r="U109" i="10"/>
  <c r="U101" i="10"/>
  <c r="U93" i="10"/>
  <c r="AA118" i="10"/>
  <c r="AC115" i="10"/>
  <c r="AC107" i="10"/>
  <c r="AC99" i="10"/>
  <c r="AC91" i="10"/>
  <c r="AH89" i="10"/>
  <c r="AI99" i="10"/>
  <c r="AP106" i="10"/>
  <c r="AQ117" i="10"/>
  <c r="AQ92" i="10"/>
  <c r="I90" i="10"/>
  <c r="AI89" i="10"/>
  <c r="I120" i="10"/>
  <c r="R90" i="10"/>
  <c r="AI88" i="10"/>
  <c r="I112" i="10"/>
  <c r="M117" i="10"/>
  <c r="M92" i="10"/>
  <c r="R89" i="10"/>
  <c r="AA101" i="10"/>
  <c r="I111" i="10"/>
  <c r="M102" i="10"/>
  <c r="R104" i="10"/>
  <c r="U111" i="10"/>
  <c r="U95" i="10"/>
  <c r="AA94" i="10"/>
  <c r="AH87" i="10"/>
  <c r="AP113" i="10"/>
  <c r="AP90" i="10"/>
  <c r="AQ101" i="10"/>
  <c r="I110" i="10"/>
  <c r="M112" i="10"/>
  <c r="M101" i="10"/>
  <c r="R101" i="10"/>
  <c r="U118" i="10"/>
  <c r="U110" i="10"/>
  <c r="U102" i="10"/>
  <c r="U94" i="10"/>
  <c r="AA93" i="10"/>
  <c r="AC116" i="10"/>
  <c r="AC108" i="10"/>
  <c r="AC100" i="10"/>
  <c r="AC92" i="10"/>
  <c r="AH120" i="10"/>
  <c r="AI100" i="10"/>
  <c r="AP107" i="10"/>
  <c r="AP89" i="10"/>
  <c r="AQ100" i="10"/>
  <c r="S109" i="10"/>
  <c r="S93" i="10"/>
  <c r="S100" i="10"/>
  <c r="I97" i="10"/>
  <c r="AQ109" i="10"/>
  <c r="AQ95" i="10"/>
  <c r="S116" i="10"/>
  <c r="S108" i="10"/>
  <c r="S92" i="10"/>
  <c r="AA116" i="10"/>
  <c r="AA108" i="10"/>
  <c r="AA100" i="10"/>
  <c r="AA92" i="10"/>
  <c r="I119" i="10"/>
  <c r="S107" i="10"/>
  <c r="S91" i="10"/>
  <c r="AA115" i="10"/>
  <c r="AA99" i="10"/>
  <c r="AI107" i="10"/>
  <c r="I118" i="10"/>
  <c r="I96" i="10"/>
  <c r="R108" i="10"/>
  <c r="R88" i="10"/>
  <c r="S106" i="10"/>
  <c r="S90" i="10"/>
  <c r="AA106" i="10"/>
  <c r="AA90" i="10"/>
  <c r="AI106" i="10"/>
  <c r="AQ110" i="10"/>
  <c r="AQ99" i="10"/>
  <c r="I105" i="10"/>
  <c r="M115" i="10"/>
  <c r="M99" i="10"/>
  <c r="R117" i="10"/>
  <c r="R97" i="10"/>
  <c r="S113" i="10"/>
  <c r="S97" i="10"/>
  <c r="AA87" i="10"/>
  <c r="AA113" i="10"/>
  <c r="AA97" i="10"/>
  <c r="AI105" i="10"/>
  <c r="I114" i="10"/>
  <c r="I104" i="10"/>
  <c r="I94" i="10"/>
  <c r="M114" i="10"/>
  <c r="M106" i="10"/>
  <c r="M98" i="10"/>
  <c r="M90" i="10"/>
  <c r="R116" i="10"/>
  <c r="R106" i="10"/>
  <c r="R96" i="10"/>
  <c r="S120" i="10"/>
  <c r="S112" i="10"/>
  <c r="S104" i="10"/>
  <c r="S96" i="10"/>
  <c r="S88" i="10"/>
  <c r="AA120" i="10"/>
  <c r="AA112" i="10"/>
  <c r="AA104" i="10"/>
  <c r="AA96" i="10"/>
  <c r="AA88" i="10"/>
  <c r="AI114" i="10"/>
  <c r="AI104" i="10"/>
  <c r="AI92" i="10"/>
  <c r="AQ119" i="10"/>
  <c r="AQ108" i="10"/>
  <c r="AQ94" i="10"/>
  <c r="S117" i="10"/>
  <c r="S101" i="10"/>
  <c r="I107" i="10"/>
  <c r="S115" i="10"/>
  <c r="S99" i="10"/>
  <c r="AA107" i="10"/>
  <c r="AA91" i="10"/>
  <c r="AI117" i="10"/>
  <c r="AI97" i="10"/>
  <c r="I106" i="10"/>
  <c r="R120" i="10"/>
  <c r="R98" i="10"/>
  <c r="S114" i="10"/>
  <c r="S98" i="10"/>
  <c r="AA114" i="10"/>
  <c r="AA98" i="10"/>
  <c r="AI116" i="10"/>
  <c r="AI96" i="10"/>
  <c r="I115" i="10"/>
  <c r="I95" i="10"/>
  <c r="M107" i="10"/>
  <c r="M91" i="10"/>
  <c r="R107" i="10"/>
  <c r="S87" i="10"/>
  <c r="S105" i="10"/>
  <c r="S89" i="10"/>
  <c r="AA105" i="10"/>
  <c r="AA89" i="10"/>
  <c r="AI115" i="10"/>
  <c r="AI93" i="10"/>
  <c r="I113" i="10"/>
  <c r="I103" i="10"/>
  <c r="I91" i="10"/>
  <c r="M87" i="10"/>
  <c r="M113" i="10"/>
  <c r="M105" i="10"/>
  <c r="M97" i="10"/>
  <c r="M89" i="10"/>
  <c r="R115" i="10"/>
  <c r="R105" i="10"/>
  <c r="R93" i="10"/>
  <c r="S119" i="10"/>
  <c r="S111" i="10"/>
  <c r="S103" i="10"/>
  <c r="S95" i="10"/>
  <c r="AA119" i="10"/>
  <c r="AA111" i="10"/>
  <c r="AA103" i="10"/>
  <c r="AA95" i="10"/>
  <c r="AI113" i="10"/>
  <c r="AI101" i="10"/>
  <c r="AI91" i="10"/>
  <c r="AQ118" i="10"/>
  <c r="AQ107" i="10"/>
  <c r="AQ93" i="10"/>
  <c r="Z88" i="10"/>
  <c r="X91" i="22"/>
  <c r="AH113" i="10"/>
  <c r="AH112" i="10"/>
  <c r="AP120" i="10"/>
  <c r="AP112" i="10"/>
  <c r="AP104" i="10"/>
  <c r="AP96" i="10"/>
  <c r="AP88" i="10"/>
  <c r="AQ114" i="10"/>
  <c r="AQ106" i="10"/>
  <c r="AQ98" i="10"/>
  <c r="AQ90" i="10"/>
  <c r="I117" i="10"/>
  <c r="I109" i="10"/>
  <c r="I101" i="10"/>
  <c r="I93" i="10"/>
  <c r="R119" i="10"/>
  <c r="R111" i="10"/>
  <c r="R103" i="10"/>
  <c r="R95" i="10"/>
  <c r="Z119" i="10"/>
  <c r="AI119" i="10"/>
  <c r="AI111" i="10"/>
  <c r="AI103" i="10"/>
  <c r="AI95" i="10"/>
  <c r="AP119" i="10"/>
  <c r="AP111" i="10"/>
  <c r="AP103" i="10"/>
  <c r="AP95" i="10"/>
  <c r="AQ87" i="10"/>
  <c r="AQ113" i="10"/>
  <c r="AQ105" i="10"/>
  <c r="AQ97" i="10"/>
  <c r="AQ89" i="10"/>
  <c r="AH90" i="10"/>
  <c r="AF91" i="22"/>
  <c r="I116" i="10"/>
  <c r="I108" i="10"/>
  <c r="I100" i="10"/>
  <c r="I92" i="10"/>
  <c r="R118" i="10"/>
  <c r="R110" i="10"/>
  <c r="R102" i="10"/>
  <c r="R94" i="10"/>
  <c r="Z111" i="10"/>
  <c r="AH104" i="10"/>
  <c r="AI118" i="10"/>
  <c r="AI110" i="10"/>
  <c r="AI102" i="10"/>
  <c r="AI94" i="10"/>
  <c r="AP118" i="10"/>
  <c r="AP110" i="10"/>
  <c r="AP102" i="10"/>
  <c r="AP94" i="10"/>
  <c r="AQ120" i="10"/>
  <c r="AQ112" i="10"/>
  <c r="AQ104" i="10"/>
  <c r="AQ96" i="10"/>
  <c r="AQ88" i="10"/>
  <c r="Z103" i="10"/>
  <c r="AH97" i="10"/>
  <c r="AP117" i="10"/>
  <c r="AP109" i="10"/>
  <c r="AP101" i="10"/>
  <c r="AP93" i="10"/>
  <c r="Z95" i="10"/>
  <c r="AH96" i="10"/>
  <c r="AP116" i="10"/>
  <c r="AP108" i="10"/>
  <c r="AP100" i="10"/>
  <c r="AP92" i="10"/>
  <c r="AK13" i="5"/>
  <c r="AC13" i="5"/>
  <c r="U13" i="5"/>
  <c r="M13" i="5"/>
  <c r="F13" i="5"/>
  <c r="F27" i="5" s="1"/>
  <c r="AM13" i="5"/>
  <c r="AL13" i="5"/>
  <c r="AD13" i="5"/>
  <c r="V13" i="5"/>
  <c r="N13" i="5"/>
  <c r="G13" i="5"/>
  <c r="AA13" i="5"/>
  <c r="K13" i="5"/>
  <c r="Z13" i="5"/>
  <c r="R13" i="5"/>
  <c r="AI13" i="5"/>
  <c r="S13" i="5"/>
  <c r="AH13" i="5"/>
  <c r="J13" i="5"/>
  <c r="Z117" i="10"/>
  <c r="Z109" i="10"/>
  <c r="Z101" i="10"/>
  <c r="Z93" i="10"/>
  <c r="AH119" i="10"/>
  <c r="AH111" i="10"/>
  <c r="AH103" i="10"/>
  <c r="AH95" i="10"/>
  <c r="Z118" i="10"/>
  <c r="Z116" i="10"/>
  <c r="Z108" i="10"/>
  <c r="Z100" i="10"/>
  <c r="Z92" i="10"/>
  <c r="AH118" i="10"/>
  <c r="AH110" i="10"/>
  <c r="AH102" i="10"/>
  <c r="AH94" i="10"/>
  <c r="Z94" i="10"/>
  <c r="Z115" i="10"/>
  <c r="Z107" i="10"/>
  <c r="Z99" i="10"/>
  <c r="Z91" i="10"/>
  <c r="AH117" i="10"/>
  <c r="AH109" i="10"/>
  <c r="AH101" i="10"/>
  <c r="AH93" i="10"/>
  <c r="AG13" i="5"/>
  <c r="Y13" i="5"/>
  <c r="Q13" i="5"/>
  <c r="I13" i="5"/>
  <c r="Z114" i="10"/>
  <c r="Z106" i="10"/>
  <c r="Z98" i="10"/>
  <c r="Z90" i="10"/>
  <c r="AH116" i="10"/>
  <c r="AH108" i="10"/>
  <c r="AH100" i="10"/>
  <c r="AH92" i="10"/>
  <c r="AF13" i="5"/>
  <c r="X13" i="5"/>
  <c r="P13" i="5"/>
  <c r="H13" i="5"/>
  <c r="Z102" i="10"/>
  <c r="Z87" i="10"/>
  <c r="Z113" i="10"/>
  <c r="Z105" i="10"/>
  <c r="Z97" i="10"/>
  <c r="Z89" i="10"/>
  <c r="AH115" i="10"/>
  <c r="AH107" i="10"/>
  <c r="AH99" i="10"/>
  <c r="AH91" i="10"/>
  <c r="AE13" i="5"/>
  <c r="W13" i="5"/>
  <c r="O13" i="5"/>
  <c r="Z110" i="10"/>
  <c r="Z120" i="10"/>
  <c r="Z112" i="10"/>
  <c r="Z104" i="10"/>
  <c r="Z96" i="10"/>
  <c r="AH114" i="10"/>
  <c r="AH106" i="10"/>
  <c r="AH98" i="10"/>
  <c r="J8" i="20"/>
  <c r="K8" i="2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V101" i="10"/>
  <c r="V102" i="10"/>
  <c r="V103" i="10"/>
  <c r="V104" i="10"/>
  <c r="V105" i="10"/>
  <c r="V106" i="10"/>
  <c r="V107" i="10"/>
  <c r="V108" i="10"/>
  <c r="V109" i="10"/>
  <c r="V110" i="10"/>
  <c r="V111" i="10"/>
  <c r="V112" i="10"/>
  <c r="V113" i="10"/>
  <c r="V114" i="10"/>
  <c r="V115" i="10"/>
  <c r="V116" i="10"/>
  <c r="V117" i="10"/>
  <c r="V118" i="10"/>
  <c r="V119" i="10"/>
  <c r="V120" i="10"/>
  <c r="V87" i="10"/>
  <c r="AD88" i="10"/>
  <c r="AD89" i="10"/>
  <c r="AD90" i="10"/>
  <c r="AD91" i="10"/>
  <c r="AD92" i="10"/>
  <c r="AD93" i="10"/>
  <c r="AD94" i="10"/>
  <c r="AD95" i="10"/>
  <c r="AD96" i="10"/>
  <c r="AD97" i="10"/>
  <c r="AD98" i="10"/>
  <c r="AD99" i="10"/>
  <c r="AD100" i="10"/>
  <c r="AD101" i="10"/>
  <c r="AD102" i="10"/>
  <c r="AD103" i="10"/>
  <c r="AD104" i="10"/>
  <c r="AD105" i="10"/>
  <c r="AD106" i="10"/>
  <c r="AD107" i="10"/>
  <c r="AD108" i="10"/>
  <c r="AD109" i="10"/>
  <c r="AD110" i="10"/>
  <c r="AD111" i="10"/>
  <c r="AD112" i="10"/>
  <c r="AD113" i="10"/>
  <c r="AD114" i="10"/>
  <c r="AD115" i="10"/>
  <c r="AD116" i="10"/>
  <c r="AD117" i="10"/>
  <c r="AD118" i="10"/>
  <c r="AD119" i="10"/>
  <c r="AD120" i="10"/>
  <c r="AD87" i="10"/>
  <c r="AL88" i="10"/>
  <c r="AL89" i="10"/>
  <c r="AL90" i="10"/>
  <c r="AL91" i="10"/>
  <c r="AL92" i="10"/>
  <c r="AL93" i="10"/>
  <c r="AL94" i="10"/>
  <c r="AL95" i="10"/>
  <c r="AL96" i="10"/>
  <c r="AL97" i="10"/>
  <c r="AL98" i="10"/>
  <c r="AL99" i="10"/>
  <c r="AL100" i="10"/>
  <c r="AL101" i="10"/>
  <c r="AL102" i="10"/>
  <c r="AL103" i="10"/>
  <c r="AL104" i="10"/>
  <c r="AL105" i="10"/>
  <c r="AL106" i="10"/>
  <c r="AL107" i="10"/>
  <c r="AL108" i="10"/>
  <c r="AL109" i="10"/>
  <c r="AL110" i="10"/>
  <c r="AL111" i="10"/>
  <c r="AL112" i="10"/>
  <c r="AL113" i="10"/>
  <c r="AL114" i="10"/>
  <c r="AL115" i="10"/>
  <c r="AL116" i="10"/>
  <c r="AL117" i="10"/>
  <c r="AL118" i="10"/>
  <c r="AL119" i="10"/>
  <c r="AL120" i="10"/>
  <c r="AL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O101" i="10"/>
  <c r="O102" i="10"/>
  <c r="O103" i="10"/>
  <c r="O104" i="10"/>
  <c r="O105" i="10"/>
  <c r="O106" i="10"/>
  <c r="O107" i="10"/>
  <c r="O108" i="10"/>
  <c r="O109" i="10"/>
  <c r="O110" i="10"/>
  <c r="O111" i="10"/>
  <c r="O112" i="10"/>
  <c r="O113" i="10"/>
  <c r="O114" i="10"/>
  <c r="O115" i="10"/>
  <c r="O116" i="10"/>
  <c r="O117" i="10"/>
  <c r="O118" i="10"/>
  <c r="O119" i="10"/>
  <c r="O120" i="10"/>
  <c r="O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W101" i="10"/>
  <c r="W102" i="10"/>
  <c r="W103" i="10"/>
  <c r="W104" i="10"/>
  <c r="W105" i="10"/>
  <c r="W106" i="10"/>
  <c r="W107" i="10"/>
  <c r="W108" i="10"/>
  <c r="W109" i="10"/>
  <c r="W110" i="10"/>
  <c r="W111" i="10"/>
  <c r="W112" i="10"/>
  <c r="W113" i="10"/>
  <c r="W114" i="10"/>
  <c r="W115" i="10"/>
  <c r="W116" i="10"/>
  <c r="W117" i="10"/>
  <c r="W118" i="10"/>
  <c r="W119" i="10"/>
  <c r="W120" i="10"/>
  <c r="W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101" i="10"/>
  <c r="AE102" i="10"/>
  <c r="AE103" i="10"/>
  <c r="AE104" i="10"/>
  <c r="AE105" i="10"/>
  <c r="AE106" i="10"/>
  <c r="AE107" i="10"/>
  <c r="AE108" i="10"/>
  <c r="AE109" i="10"/>
  <c r="AE110" i="10"/>
  <c r="AE111" i="10"/>
  <c r="AE112" i="10"/>
  <c r="AE113" i="10"/>
  <c r="AE114" i="10"/>
  <c r="AE115" i="10"/>
  <c r="AE116" i="10"/>
  <c r="AE117" i="10"/>
  <c r="AE118" i="10"/>
  <c r="AE119" i="10"/>
  <c r="AE120" i="10"/>
  <c r="AE87" i="10"/>
  <c r="AM88" i="10"/>
  <c r="AM89" i="10"/>
  <c r="AM90" i="10"/>
  <c r="AM91" i="10"/>
  <c r="AM92" i="10"/>
  <c r="AM93" i="10"/>
  <c r="AM94" i="10"/>
  <c r="AM95" i="10"/>
  <c r="AM96" i="10"/>
  <c r="AM97" i="10"/>
  <c r="AM98" i="10"/>
  <c r="AM99" i="10"/>
  <c r="AM100" i="10"/>
  <c r="AM101" i="10"/>
  <c r="AM102" i="10"/>
  <c r="AM103" i="10"/>
  <c r="AM104" i="10"/>
  <c r="AM105" i="10"/>
  <c r="AM106" i="10"/>
  <c r="AM107" i="10"/>
  <c r="AM108" i="10"/>
  <c r="AM109" i="10"/>
  <c r="AM110" i="10"/>
  <c r="AM111" i="10"/>
  <c r="AM112" i="10"/>
  <c r="AM113" i="10"/>
  <c r="AM114" i="10"/>
  <c r="AM115" i="10"/>
  <c r="AM116" i="10"/>
  <c r="AM117" i="10"/>
  <c r="AM118" i="10"/>
  <c r="AM119" i="10"/>
  <c r="AM120" i="10"/>
  <c r="AM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101" i="10"/>
  <c r="P102" i="10"/>
  <c r="P103" i="10"/>
  <c r="P104" i="10"/>
  <c r="P105" i="10"/>
  <c r="P106" i="10"/>
  <c r="P107" i="10"/>
  <c r="P108" i="10"/>
  <c r="P109" i="10"/>
  <c r="P110" i="10"/>
  <c r="P111" i="10"/>
  <c r="P112" i="10"/>
  <c r="P113" i="10"/>
  <c r="P114" i="10"/>
  <c r="P115" i="10"/>
  <c r="P116" i="10"/>
  <c r="P117" i="10"/>
  <c r="P118" i="10"/>
  <c r="P119" i="10"/>
  <c r="P120" i="10"/>
  <c r="P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101" i="10"/>
  <c r="X102" i="10"/>
  <c r="X103" i="10"/>
  <c r="X104" i="10"/>
  <c r="X105" i="10"/>
  <c r="X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87" i="10"/>
  <c r="AN88" i="10"/>
  <c r="AN89" i="10"/>
  <c r="AN90" i="10"/>
  <c r="AN91" i="10"/>
  <c r="AN92" i="10"/>
  <c r="AN93" i="10"/>
  <c r="AN94" i="10"/>
  <c r="AN95" i="10"/>
  <c r="AN96" i="10"/>
  <c r="AN97" i="10"/>
  <c r="AN98" i="10"/>
  <c r="AN99" i="10"/>
  <c r="AN100" i="10"/>
  <c r="AN101" i="10"/>
  <c r="AN102" i="10"/>
  <c r="AN103" i="10"/>
  <c r="AN104" i="10"/>
  <c r="AN105" i="10"/>
  <c r="AN106" i="10"/>
  <c r="AN107" i="10"/>
  <c r="AN108" i="10"/>
  <c r="AN109" i="10"/>
  <c r="AN110" i="10"/>
  <c r="AN111" i="10"/>
  <c r="AN112" i="10"/>
  <c r="AN113" i="10"/>
  <c r="AN114" i="10"/>
  <c r="AN115" i="10"/>
  <c r="AN116" i="10"/>
  <c r="AN117" i="10"/>
  <c r="AN118" i="10"/>
  <c r="AN119" i="10"/>
  <c r="AN120" i="10"/>
  <c r="AN87" i="10"/>
  <c r="C107" i="14"/>
  <c r="D107" i="14" s="1"/>
  <c r="S282" i="1"/>
  <c r="S281" i="1"/>
  <c r="S276" i="1"/>
  <c r="L281" i="1"/>
  <c r="T280" i="1"/>
  <c r="K280" i="1" s="1"/>
  <c r="M280" i="1" s="1"/>
  <c r="H68" i="14"/>
  <c r="G68" i="14" s="1"/>
  <c r="D87" i="14" s="1"/>
  <c r="E87" i="14" s="1"/>
  <c r="E124" i="14" s="1"/>
  <c r="H67" i="14"/>
  <c r="H57" i="14"/>
  <c r="G57" i="14" s="1"/>
  <c r="D76" i="14" s="1"/>
  <c r="E76" i="14" s="1"/>
  <c r="E113" i="14" s="1"/>
  <c r="H58" i="14"/>
  <c r="G58" i="14" s="1"/>
  <c r="D77" i="14" s="1"/>
  <c r="E77" i="14" s="1"/>
  <c r="E114" i="14" s="1"/>
  <c r="H59" i="14"/>
  <c r="G59" i="14" s="1"/>
  <c r="D78" i="14" s="1"/>
  <c r="E78" i="14" s="1"/>
  <c r="E115" i="14" s="1"/>
  <c r="H60" i="14"/>
  <c r="H61" i="14"/>
  <c r="G61" i="14" s="1"/>
  <c r="D80" i="14" s="1"/>
  <c r="E80" i="14" s="1"/>
  <c r="E117" i="14" s="1"/>
  <c r="H62" i="14"/>
  <c r="H63" i="14"/>
  <c r="H64" i="14"/>
  <c r="H65" i="14"/>
  <c r="G65" i="14" s="1"/>
  <c r="D84" i="14" s="1"/>
  <c r="E84" i="14" s="1"/>
  <c r="E121" i="14" s="1"/>
  <c r="H66" i="14"/>
  <c r="G66" i="14" s="1"/>
  <c r="D85" i="14" s="1"/>
  <c r="E85" i="14" s="1"/>
  <c r="E122" i="14" s="1"/>
  <c r="G56" i="14"/>
  <c r="D75" i="14" s="1"/>
  <c r="E75" i="14" s="1"/>
  <c r="E112" i="14" s="1"/>
  <c r="BL111" i="14" l="1"/>
  <c r="T276" i="1"/>
  <c r="K276" i="1" s="1"/>
  <c r="M276" i="1" s="1"/>
  <c r="D13" i="5"/>
  <c r="G23" i="9"/>
  <c r="F23" i="9"/>
  <c r="Q107" i="12"/>
  <c r="E108" i="12" s="1"/>
  <c r="D108" i="12"/>
  <c r="D42" i="5"/>
  <c r="L282" i="1"/>
  <c r="P284" i="1"/>
  <c r="Q284" i="1" s="1"/>
  <c r="G64" i="14"/>
  <c r="D83" i="14" s="1"/>
  <c r="E83" i="14" s="1"/>
  <c r="E120" i="14" s="1"/>
  <c r="P279" i="1"/>
  <c r="Q279" i="1" s="1"/>
  <c r="T279" i="1" s="1"/>
  <c r="G67" i="14"/>
  <c r="D86" i="14" s="1"/>
  <c r="E86" i="14" s="1"/>
  <c r="E123" i="14" s="1"/>
  <c r="P283" i="1"/>
  <c r="Q283" i="1" s="1"/>
  <c r="G63" i="14"/>
  <c r="D82" i="14" s="1"/>
  <c r="E82" i="14" s="1"/>
  <c r="E119" i="14" s="1"/>
  <c r="P282" i="1"/>
  <c r="Q282" i="1" s="1"/>
  <c r="T282" i="1" s="1"/>
  <c r="G62" i="14"/>
  <c r="D81" i="14" s="1"/>
  <c r="E81" i="14" s="1"/>
  <c r="E118" i="14" s="1"/>
  <c r="P278" i="1"/>
  <c r="Q278" i="1" s="1"/>
  <c r="G60" i="14"/>
  <c r="D79" i="14" s="1"/>
  <c r="E79" i="14" s="1"/>
  <c r="E116" i="14" s="1"/>
  <c r="P275" i="1"/>
  <c r="Q275" i="1" s="1"/>
  <c r="T275" i="1" s="1"/>
  <c r="K275" i="1" s="1"/>
  <c r="M275" i="1" s="1"/>
  <c r="P277" i="1"/>
  <c r="Q277" i="1" s="1"/>
  <c r="P281" i="1"/>
  <c r="Q281" i="1" s="1"/>
  <c r="T281" i="1" s="1"/>
  <c r="P285" i="1"/>
  <c r="Q285" i="1" s="1"/>
  <c r="C38" i="14"/>
  <c r="D36" i="14" s="1"/>
  <c r="F7" i="14" s="1"/>
  <c r="E111" i="14" l="1"/>
  <c r="F14" i="14" s="1"/>
  <c r="F242" i="14"/>
  <c r="F247" i="14"/>
  <c r="F239" i="14"/>
  <c r="F241" i="14"/>
  <c r="F246" i="14"/>
  <c r="F238" i="14"/>
  <c r="F243" i="14"/>
  <c r="F236" i="14"/>
  <c r="F230" i="14"/>
  <c r="F222" i="14"/>
  <c r="F214" i="14"/>
  <c r="F235" i="14"/>
  <c r="F227" i="14"/>
  <c r="F219" i="14"/>
  <c r="F248" i="14"/>
  <c r="F245" i="14"/>
  <c r="F232" i="14"/>
  <c r="F224" i="14"/>
  <c r="F216" i="14"/>
  <c r="F240" i="14"/>
  <c r="F237" i="14"/>
  <c r="F229" i="14"/>
  <c r="F221" i="14"/>
  <c r="F234" i="14"/>
  <c r="F226" i="14"/>
  <c r="F218" i="14"/>
  <c r="F231" i="14"/>
  <c r="F223" i="14"/>
  <c r="F215" i="14"/>
  <c r="F228" i="14"/>
  <c r="F220" i="14"/>
  <c r="F244" i="14"/>
  <c r="F217" i="14"/>
  <c r="F233" i="14"/>
  <c r="F225" i="14"/>
  <c r="F186" i="14"/>
  <c r="F194" i="14"/>
  <c r="F178" i="14"/>
  <c r="F195" i="14"/>
  <c r="F201" i="14"/>
  <c r="F206" i="14"/>
  <c r="F203" i="14"/>
  <c r="F208" i="14"/>
  <c r="F200" i="14"/>
  <c r="F205" i="14"/>
  <c r="F202" i="14"/>
  <c r="F207" i="14"/>
  <c r="F199" i="14"/>
  <c r="F191" i="14"/>
  <c r="F183" i="14"/>
  <c r="F175" i="14"/>
  <c r="F196" i="14"/>
  <c r="F188" i="14"/>
  <c r="F180" i="14"/>
  <c r="F193" i="14"/>
  <c r="F185" i="14"/>
  <c r="F177" i="14"/>
  <c r="F198" i="14"/>
  <c r="F190" i="14"/>
  <c r="F182" i="14"/>
  <c r="F174" i="14"/>
  <c r="F204" i="14"/>
  <c r="F192" i="14"/>
  <c r="F184" i="14"/>
  <c r="F176" i="14"/>
  <c r="F181" i="14"/>
  <c r="F179" i="14"/>
  <c r="F197" i="14"/>
  <c r="F189" i="14"/>
  <c r="F187" i="14"/>
  <c r="F149" i="14"/>
  <c r="F155" i="14"/>
  <c r="F161" i="14"/>
  <c r="F141" i="14"/>
  <c r="F157" i="14"/>
  <c r="F139" i="14"/>
  <c r="F147" i="14"/>
  <c r="F154" i="14"/>
  <c r="F144" i="14"/>
  <c r="F166" i="14"/>
  <c r="F163" i="14"/>
  <c r="F160" i="14"/>
  <c r="F165" i="14"/>
  <c r="F167" i="14"/>
  <c r="F134" i="14"/>
  <c r="F142" i="14"/>
  <c r="F150" i="14"/>
  <c r="F158" i="14"/>
  <c r="F136" i="14"/>
  <c r="F137" i="14"/>
  <c r="F145" i="14"/>
  <c r="F153" i="14"/>
  <c r="F133" i="14"/>
  <c r="F152" i="14"/>
  <c r="F140" i="14"/>
  <c r="F148" i="14"/>
  <c r="F156" i="14"/>
  <c r="F162" i="14"/>
  <c r="F138" i="14"/>
  <c r="F146" i="14"/>
  <c r="F164" i="14"/>
  <c r="F135" i="14"/>
  <c r="F143" i="14"/>
  <c r="F151" i="14"/>
  <c r="F159" i="14"/>
  <c r="G214" i="14"/>
  <c r="G247" i="14"/>
  <c r="G239" i="14"/>
  <c r="G244" i="14"/>
  <c r="G236" i="14"/>
  <c r="G246" i="14"/>
  <c r="G238" i="14"/>
  <c r="G243" i="14"/>
  <c r="G248" i="14"/>
  <c r="G240" i="14"/>
  <c r="G235" i="14"/>
  <c r="G227" i="14"/>
  <c r="G219" i="14"/>
  <c r="G245" i="14"/>
  <c r="G242" i="14"/>
  <c r="G232" i="14"/>
  <c r="G224" i="14"/>
  <c r="G216" i="14"/>
  <c r="G237" i="14"/>
  <c r="G229" i="14"/>
  <c r="G221" i="14"/>
  <c r="G234" i="14"/>
  <c r="G226" i="14"/>
  <c r="G218" i="14"/>
  <c r="G231" i="14"/>
  <c r="G223" i="14"/>
  <c r="G215" i="14"/>
  <c r="G228" i="14"/>
  <c r="G220" i="14"/>
  <c r="G241" i="14"/>
  <c r="G233" i="14"/>
  <c r="G225" i="14"/>
  <c r="G217" i="14"/>
  <c r="G230" i="14"/>
  <c r="G222" i="14"/>
  <c r="G194" i="14"/>
  <c r="G199" i="14"/>
  <c r="G192" i="14"/>
  <c r="G186" i="14"/>
  <c r="G184" i="14"/>
  <c r="G183" i="14"/>
  <c r="G178" i="14"/>
  <c r="G175" i="14"/>
  <c r="G191" i="14"/>
  <c r="G206" i="14"/>
  <c r="G203" i="14"/>
  <c r="G208" i="14"/>
  <c r="G200" i="14"/>
  <c r="G205" i="14"/>
  <c r="G202" i="14"/>
  <c r="G207" i="14"/>
  <c r="G204" i="14"/>
  <c r="G196" i="14"/>
  <c r="G188" i="14"/>
  <c r="G180" i="14"/>
  <c r="G201" i="14"/>
  <c r="G193" i="14"/>
  <c r="G185" i="14"/>
  <c r="G177" i="14"/>
  <c r="G198" i="14"/>
  <c r="G190" i="14"/>
  <c r="G182" i="14"/>
  <c r="G174" i="14"/>
  <c r="G195" i="14"/>
  <c r="G187" i="14"/>
  <c r="G179" i="14"/>
  <c r="G197" i="14"/>
  <c r="G189" i="14"/>
  <c r="G181" i="14"/>
  <c r="G176" i="14"/>
  <c r="G152" i="14"/>
  <c r="G167" i="14"/>
  <c r="G166" i="14"/>
  <c r="G161" i="14"/>
  <c r="G159" i="14"/>
  <c r="G157" i="14"/>
  <c r="G154" i="14"/>
  <c r="G151" i="14"/>
  <c r="G149" i="14"/>
  <c r="G146" i="14"/>
  <c r="G143" i="14"/>
  <c r="G141" i="14"/>
  <c r="G138" i="14"/>
  <c r="G135" i="14"/>
  <c r="G133" i="14"/>
  <c r="G144" i="14"/>
  <c r="G163" i="14"/>
  <c r="G160" i="14"/>
  <c r="G165" i="14"/>
  <c r="G162" i="14"/>
  <c r="G164" i="14"/>
  <c r="G139" i="14"/>
  <c r="G147" i="14"/>
  <c r="G155" i="14"/>
  <c r="G136" i="14"/>
  <c r="G134" i="14"/>
  <c r="G142" i="14"/>
  <c r="G150" i="14"/>
  <c r="G158" i="14"/>
  <c r="G137" i="14"/>
  <c r="G145" i="14"/>
  <c r="G153" i="14"/>
  <c r="G140" i="14"/>
  <c r="G148" i="14"/>
  <c r="G156" i="14"/>
  <c r="S285" i="1"/>
  <c r="T285" i="1" s="1"/>
  <c r="D27" i="5"/>
  <c r="E23" i="9" s="1"/>
  <c r="E22" i="9" s="1"/>
  <c r="AN13" i="5"/>
  <c r="S283" i="1"/>
  <c r="T283" i="1" s="1"/>
  <c r="L283" i="1"/>
  <c r="L284" i="1"/>
  <c r="B53" i="27"/>
  <c r="Q31" i="21" s="1"/>
  <c r="B35" i="27"/>
  <c r="Q15" i="21" s="1"/>
  <c r="S284" i="1" l="1"/>
  <c r="T284" i="1" s="1"/>
  <c r="C7" i="14"/>
  <c r="L24" i="21" s="1"/>
  <c r="G35" i="27"/>
  <c r="G7" i="10" s="1"/>
  <c r="L285" i="1"/>
  <c r="F51" i="27"/>
  <c r="R29" i="21" s="1"/>
  <c r="I23" i="27"/>
  <c r="T3" i="21" s="1"/>
  <c r="I24" i="27"/>
  <c r="T4" i="21" s="1"/>
  <c r="I25" i="27"/>
  <c r="T5" i="21" s="1"/>
  <c r="I26" i="27"/>
  <c r="T6" i="21" s="1"/>
  <c r="I27" i="27"/>
  <c r="T7" i="21" s="1"/>
  <c r="I28" i="27"/>
  <c r="T8" i="21" s="1"/>
  <c r="I29" i="27"/>
  <c r="T9" i="21" s="1"/>
  <c r="I30" i="27"/>
  <c r="T10" i="21" s="1"/>
  <c r="I31" i="27"/>
  <c r="T11" i="21" s="1"/>
  <c r="I32" i="27"/>
  <c r="T12" i="21" s="1"/>
  <c r="I33" i="27"/>
  <c r="T13" i="21" s="1"/>
  <c r="I34" i="27"/>
  <c r="T14" i="21" s="1"/>
  <c r="I39" i="27"/>
  <c r="T17" i="21" s="1"/>
  <c r="I40" i="27"/>
  <c r="T18" i="21" s="1"/>
  <c r="I41" i="27"/>
  <c r="T19" i="21" s="1"/>
  <c r="I42" i="27"/>
  <c r="T20" i="21" s="1"/>
  <c r="I43" i="27"/>
  <c r="T21" i="21" s="1"/>
  <c r="I44" i="27"/>
  <c r="T22" i="21" s="1"/>
  <c r="I45" i="27"/>
  <c r="T23" i="21" s="1"/>
  <c r="I46" i="27"/>
  <c r="T24" i="21" s="1"/>
  <c r="I47" i="27"/>
  <c r="T25" i="21" s="1"/>
  <c r="I48" i="27"/>
  <c r="T26" i="21" s="1"/>
  <c r="I49" i="27"/>
  <c r="T27" i="21" s="1"/>
  <c r="H58" i="27" l="1"/>
  <c r="D35" i="28"/>
  <c r="D34" i="28" s="1"/>
  <c r="B13" i="25" s="1"/>
  <c r="C6" i="10"/>
  <c r="D16" i="28"/>
  <c r="T15" i="21"/>
  <c r="F33" i="27"/>
  <c r="R13" i="21" s="1"/>
  <c r="F39" i="27"/>
  <c r="R17" i="21" s="1"/>
  <c r="F47" i="27"/>
  <c r="R25" i="21" s="1"/>
  <c r="F42" i="27"/>
  <c r="R20" i="21" s="1"/>
  <c r="F40" i="27"/>
  <c r="R18" i="21" s="1"/>
  <c r="F48" i="27"/>
  <c r="R26" i="21" s="1"/>
  <c r="F41" i="27"/>
  <c r="R19" i="21" s="1"/>
  <c r="F49" i="27"/>
  <c r="R27" i="21" s="1"/>
  <c r="F43" i="27"/>
  <c r="R21" i="21" s="1"/>
  <c r="F44" i="27"/>
  <c r="R22" i="21" s="1"/>
  <c r="F45" i="27"/>
  <c r="R23" i="21" s="1"/>
  <c r="F46" i="27"/>
  <c r="R24" i="21" s="1"/>
  <c r="F24" i="27"/>
  <c r="R4" i="21" s="1"/>
  <c r="F31" i="27"/>
  <c r="R11" i="21" s="1"/>
  <c r="F28" i="27"/>
  <c r="R8" i="21" s="1"/>
  <c r="F29" i="27"/>
  <c r="R9" i="21" s="1"/>
  <c r="F26" i="27"/>
  <c r="R6" i="21" s="1"/>
  <c r="F23" i="27"/>
  <c r="R3" i="21" s="1"/>
  <c r="F27" i="27"/>
  <c r="R7" i="21" s="1"/>
  <c r="G8" i="10"/>
  <c r="F30" i="27"/>
  <c r="R10" i="21" s="1"/>
  <c r="F34" i="27"/>
  <c r="R14" i="21" s="1"/>
  <c r="F25" i="27"/>
  <c r="R5" i="21" s="1"/>
  <c r="F32" i="27"/>
  <c r="R12" i="21" s="1"/>
  <c r="I53" i="27"/>
  <c r="T31" i="21" s="1"/>
  <c r="T32" i="21" s="1"/>
  <c r="I35" i="27"/>
  <c r="I58" i="27" s="1"/>
  <c r="I29" i="10" l="1"/>
  <c r="R15" i="21"/>
  <c r="R31" i="21"/>
  <c r="F66" i="9"/>
  <c r="E33" i="34" s="1"/>
  <c r="J29" i="10"/>
  <c r="J48" i="10" s="1"/>
  <c r="AK29" i="10"/>
  <c r="AC29" i="10"/>
  <c r="U29" i="10"/>
  <c r="M29" i="10"/>
  <c r="AB29" i="10"/>
  <c r="T29" i="10"/>
  <c r="L29" i="10"/>
  <c r="L50" i="10" s="1"/>
  <c r="AI29" i="10"/>
  <c r="S29" i="10"/>
  <c r="AJ29" i="10"/>
  <c r="AQ29" i="10"/>
  <c r="AQ47" i="10" s="1"/>
  <c r="AP29" i="10"/>
  <c r="AH29" i="10"/>
  <c r="Z29" i="10"/>
  <c r="R29" i="10"/>
  <c r="AO29" i="10"/>
  <c r="AG29" i="10"/>
  <c r="Y29" i="10"/>
  <c r="Q29" i="10"/>
  <c r="H29" i="10"/>
  <c r="X29" i="10"/>
  <c r="P29" i="10"/>
  <c r="AN29" i="10"/>
  <c r="AF29" i="10"/>
  <c r="O29" i="10"/>
  <c r="AM29" i="10"/>
  <c r="AE29" i="10"/>
  <c r="W29" i="10"/>
  <c r="AL29" i="10"/>
  <c r="AD29" i="10"/>
  <c r="V29" i="10"/>
  <c r="N29" i="10"/>
  <c r="AA29" i="10"/>
  <c r="K29" i="10"/>
  <c r="D5" i="21"/>
  <c r="I18" i="10"/>
  <c r="J18" i="10"/>
  <c r="J19" i="10"/>
  <c r="I19" i="10"/>
  <c r="G13" i="6"/>
  <c r="G14" i="6"/>
  <c r="G15" i="6"/>
  <c r="G12" i="6"/>
  <c r="D13" i="6"/>
  <c r="D14" i="6"/>
  <c r="D15" i="6"/>
  <c r="E13" i="6"/>
  <c r="E14" i="6"/>
  <c r="E15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12" i="6"/>
  <c r="D12" i="6"/>
  <c r="C7" i="6"/>
  <c r="M31" i="24"/>
  <c r="O20" i="24"/>
  <c r="P20" i="24" s="1"/>
  <c r="O19" i="24"/>
  <c r="P19" i="24" s="1"/>
  <c r="E19" i="24"/>
  <c r="E20" i="24" s="1"/>
  <c r="O18" i="24"/>
  <c r="P18" i="24" s="1"/>
  <c r="O17" i="24"/>
  <c r="P17" i="24" s="1"/>
  <c r="M15" i="24"/>
  <c r="E7" i="24" s="1"/>
  <c r="E12" i="24"/>
  <c r="E9" i="24"/>
  <c r="M8" i="24"/>
  <c r="E6" i="24" s="1"/>
  <c r="BL7" i="24"/>
  <c r="BK7" i="24"/>
  <c r="BJ7" i="24"/>
  <c r="BI7" i="24"/>
  <c r="BH7" i="24"/>
  <c r="BG7" i="24"/>
  <c r="BF7" i="24"/>
  <c r="BE7" i="24"/>
  <c r="BD7" i="24"/>
  <c r="BC7" i="24"/>
  <c r="BB7" i="24"/>
  <c r="BA7" i="24"/>
  <c r="AZ7" i="24"/>
  <c r="AY7" i="24"/>
  <c r="AX7" i="24"/>
  <c r="AW7" i="24"/>
  <c r="AV7" i="24"/>
  <c r="AU7" i="24"/>
  <c r="AT7" i="24"/>
  <c r="AS7" i="24"/>
  <c r="AR7" i="24"/>
  <c r="AQ7" i="24"/>
  <c r="AP7" i="24"/>
  <c r="AO7" i="24"/>
  <c r="AN7" i="24"/>
  <c r="AM7" i="24"/>
  <c r="AL7" i="24"/>
  <c r="AK7" i="24"/>
  <c r="AJ7" i="24"/>
  <c r="AI7" i="24"/>
  <c r="AH7" i="24"/>
  <c r="AG7" i="24"/>
  <c r="AF7" i="24"/>
  <c r="AE7" i="24"/>
  <c r="AD7" i="24"/>
  <c r="E5" i="24"/>
  <c r="AB4" i="24"/>
  <c r="M27" i="24" s="1"/>
  <c r="E10" i="24" s="1"/>
  <c r="F65" i="9" l="1"/>
  <c r="E32" i="34" s="1"/>
  <c r="G19" i="10"/>
  <c r="B16" i="25"/>
  <c r="C5" i="25"/>
  <c r="K78" i="10"/>
  <c r="K48" i="10"/>
  <c r="K46" i="10"/>
  <c r="K47" i="10"/>
  <c r="I46" i="10"/>
  <c r="G29" i="10"/>
  <c r="J47" i="10"/>
  <c r="J46" i="10"/>
  <c r="J50" i="10"/>
  <c r="G18" i="10"/>
  <c r="E8" i="24"/>
  <c r="E11" i="24" s="1"/>
  <c r="AD8" i="24"/>
  <c r="AD9" i="24" s="1"/>
  <c r="AF4" i="24" s="1"/>
  <c r="M32" i="24" s="1"/>
  <c r="E13" i="24" s="1"/>
  <c r="E14" i="24" s="1"/>
  <c r="E15" i="24" l="1"/>
  <c r="E21" i="24" s="1"/>
  <c r="F4" i="20" s="1"/>
  <c r="R4" i="25"/>
  <c r="AE4" i="25"/>
  <c r="I4" i="25"/>
  <c r="AL4" i="25"/>
  <c r="AD4" i="25"/>
  <c r="V4" i="25"/>
  <c r="N4" i="25"/>
  <c r="W4" i="25"/>
  <c r="AO4" i="25"/>
  <c r="AG4" i="25"/>
  <c r="Y4" i="25"/>
  <c r="Q4" i="25"/>
  <c r="AM4" i="25"/>
  <c r="O4" i="25"/>
  <c r="AN4" i="25"/>
  <c r="AF4" i="25"/>
  <c r="X4" i="25"/>
  <c r="P4" i="25"/>
  <c r="J4" i="25"/>
  <c r="AK4" i="25"/>
  <c r="AC4" i="25"/>
  <c r="U4" i="25"/>
  <c r="M4" i="25"/>
  <c r="AR4" i="25"/>
  <c r="AJ4" i="25"/>
  <c r="AB4" i="25"/>
  <c r="T4" i="25"/>
  <c r="L4" i="25"/>
  <c r="AQ4" i="25"/>
  <c r="AI4" i="25"/>
  <c r="AA4" i="25"/>
  <c r="S4" i="25"/>
  <c r="K4" i="25"/>
  <c r="AP4" i="25"/>
  <c r="AH4" i="25"/>
  <c r="Z4" i="25"/>
  <c r="G7" i="11"/>
  <c r="G12" i="11" s="1"/>
  <c r="H7" i="11"/>
  <c r="H12" i="11" s="1"/>
  <c r="F7" i="11"/>
  <c r="F12" i="11" s="1"/>
  <c r="F85" i="9" l="1"/>
  <c r="D9" i="32" s="1"/>
  <c r="H85" i="9"/>
  <c r="F9" i="32" s="1"/>
  <c r="I85" i="9"/>
  <c r="G9" i="32" s="1"/>
  <c r="G11" i="32" s="1"/>
  <c r="J85" i="9"/>
  <c r="H9" i="32" s="1"/>
  <c r="H11" i="32" s="1"/>
  <c r="K85" i="9"/>
  <c r="I9" i="32" s="1"/>
  <c r="I11" i="32" s="1"/>
  <c r="L85" i="9"/>
  <c r="J9" i="32" s="1"/>
  <c r="J11" i="32" s="1"/>
  <c r="M85" i="9"/>
  <c r="K9" i="32" s="1"/>
  <c r="K11" i="32" s="1"/>
  <c r="N85" i="9"/>
  <c r="L9" i="32" s="1"/>
  <c r="L11" i="32" s="1"/>
  <c r="O85" i="9"/>
  <c r="M9" i="32" s="1"/>
  <c r="M11" i="32" s="1"/>
  <c r="P85" i="9"/>
  <c r="N9" i="32" s="1"/>
  <c r="N11" i="32" s="1"/>
  <c r="Q85" i="9"/>
  <c r="O9" i="32" s="1"/>
  <c r="O11" i="32" s="1"/>
  <c r="R85" i="9"/>
  <c r="P9" i="32" s="1"/>
  <c r="P11" i="32" s="1"/>
  <c r="S85" i="9"/>
  <c r="Q9" i="32" s="1"/>
  <c r="Q11" i="32" s="1"/>
  <c r="T85" i="9"/>
  <c r="R9" i="32" s="1"/>
  <c r="R11" i="32" s="1"/>
  <c r="U85" i="9"/>
  <c r="S9" i="32" s="1"/>
  <c r="S11" i="32" s="1"/>
  <c r="V85" i="9"/>
  <c r="T9" i="32" s="1"/>
  <c r="T11" i="32" s="1"/>
  <c r="W85" i="9"/>
  <c r="U9" i="32" s="1"/>
  <c r="U11" i="32" s="1"/>
  <c r="X85" i="9"/>
  <c r="V9" i="32" s="1"/>
  <c r="V11" i="32" s="1"/>
  <c r="Y85" i="9"/>
  <c r="W9" i="32" s="1"/>
  <c r="W11" i="32" s="1"/>
  <c r="Z85" i="9"/>
  <c r="X9" i="32" s="1"/>
  <c r="X11" i="32" s="1"/>
  <c r="AA85" i="9"/>
  <c r="Y9" i="32" s="1"/>
  <c r="Y11" i="32" s="1"/>
  <c r="AB85" i="9"/>
  <c r="Z9" i="32" s="1"/>
  <c r="Z11" i="32" s="1"/>
  <c r="AC85" i="9"/>
  <c r="AA9" i="32" s="1"/>
  <c r="AA11" i="32" s="1"/>
  <c r="AD85" i="9"/>
  <c r="AB9" i="32" s="1"/>
  <c r="AB11" i="32" s="1"/>
  <c r="AE85" i="9"/>
  <c r="AC9" i="32" s="1"/>
  <c r="AC11" i="32" s="1"/>
  <c r="AF85" i="9"/>
  <c r="AD9" i="32" s="1"/>
  <c r="AD11" i="32" s="1"/>
  <c r="AG85" i="9"/>
  <c r="AE9" i="32" s="1"/>
  <c r="AE11" i="32" s="1"/>
  <c r="AH85" i="9"/>
  <c r="AF9" i="32" s="1"/>
  <c r="AF11" i="32" s="1"/>
  <c r="AI85" i="9"/>
  <c r="AG9" i="32" s="1"/>
  <c r="AG11" i="32" s="1"/>
  <c r="AJ85" i="9"/>
  <c r="AH9" i="32" s="1"/>
  <c r="AH11" i="32" s="1"/>
  <c r="AK85" i="9"/>
  <c r="AI9" i="32" s="1"/>
  <c r="AI11" i="32" s="1"/>
  <c r="AL85" i="9"/>
  <c r="AJ9" i="32" s="1"/>
  <c r="AJ11" i="32" s="1"/>
  <c r="AM85" i="9"/>
  <c r="AK9" i="32" s="1"/>
  <c r="AK11" i="32" s="1"/>
  <c r="AN85" i="9"/>
  <c r="AL9" i="32" s="1"/>
  <c r="AL11" i="32" s="1"/>
  <c r="G85" i="9"/>
  <c r="E9" i="32" s="1"/>
  <c r="E85" i="9"/>
  <c r="D20" i="28"/>
  <c r="AI17" i="20"/>
  <c r="S17" i="20"/>
  <c r="R17" i="20"/>
  <c r="T17" i="20"/>
  <c r="N17" i="20"/>
  <c r="K17" i="20"/>
  <c r="M17" i="20"/>
  <c r="F11" i="11"/>
  <c r="F10" i="11"/>
  <c r="G9" i="11"/>
  <c r="G10" i="11"/>
  <c r="G11" i="11"/>
  <c r="G14" i="11"/>
  <c r="G17" i="11" s="1"/>
  <c r="H9" i="11"/>
  <c r="H10" i="11"/>
  <c r="H11" i="11"/>
  <c r="H14" i="11"/>
  <c r="H17" i="11" s="1"/>
  <c r="F9" i="11"/>
  <c r="F14" i="11"/>
  <c r="F16" i="11" s="1"/>
  <c r="AC17" i="20" l="1"/>
  <c r="I17" i="20"/>
  <c r="U17" i="20"/>
  <c r="AK17" i="20"/>
  <c r="AB17" i="20"/>
  <c r="P17" i="20"/>
  <c r="Q17" i="20"/>
  <c r="AG17" i="20"/>
  <c r="AJ17" i="20"/>
  <c r="AA17" i="20"/>
  <c r="J17" i="20"/>
  <c r="AD17" i="20"/>
  <c r="Y17" i="20"/>
  <c r="AH17" i="20"/>
  <c r="AF17" i="20"/>
  <c r="AP17" i="20"/>
  <c r="O17" i="20"/>
  <c r="AE17" i="20"/>
  <c r="L17" i="20"/>
  <c r="V17" i="20"/>
  <c r="W17" i="20"/>
  <c r="Z17" i="20"/>
  <c r="AM17" i="20"/>
  <c r="AN17" i="20"/>
  <c r="AO17" i="20"/>
  <c r="AL17" i="20"/>
  <c r="AQ17" i="20"/>
  <c r="X17" i="20"/>
  <c r="E11" i="32"/>
  <c r="E12" i="32"/>
  <c r="F11" i="32"/>
  <c r="F12" i="32"/>
  <c r="D11" i="32"/>
  <c r="D12" i="32"/>
  <c r="D9" i="21"/>
  <c r="D4" i="32"/>
  <c r="F8" i="11"/>
  <c r="E19" i="9" s="1"/>
  <c r="E18" i="9" s="1"/>
  <c r="E21" i="9" s="1"/>
  <c r="H8" i="11"/>
  <c r="G19" i="9" s="1"/>
  <c r="H16" i="11"/>
  <c r="H15" i="11"/>
  <c r="G8" i="11"/>
  <c r="F19" i="9" s="1"/>
  <c r="G16" i="11"/>
  <c r="G15" i="11"/>
  <c r="F15" i="11"/>
  <c r="F17" i="11"/>
  <c r="D14" i="32" l="1"/>
  <c r="F5" i="20"/>
  <c r="E35" i="20" s="1"/>
  <c r="F14" i="20"/>
  <c r="E44" i="20" s="1"/>
  <c r="F13" i="20"/>
  <c r="E43" i="20" s="1"/>
  <c r="F9" i="20"/>
  <c r="F12" i="20"/>
  <c r="E42" i="20" s="1"/>
  <c r="F11" i="20"/>
  <c r="E41" i="20" s="1"/>
  <c r="F10" i="20"/>
  <c r="F7" i="20"/>
  <c r="E37" i="20" s="1"/>
  <c r="F18" i="9"/>
  <c r="G18" i="9"/>
  <c r="E27" i="9"/>
  <c r="E28" i="9" s="1"/>
  <c r="H13" i="11"/>
  <c r="G35" i="9" s="1"/>
  <c r="G73" i="9" s="1"/>
  <c r="F40" i="34" s="1"/>
  <c r="G13" i="11"/>
  <c r="F35" i="9" s="1"/>
  <c r="F13" i="11"/>
  <c r="F73" i="9" l="1"/>
  <c r="E40" i="34" s="1"/>
  <c r="I15" i="20"/>
  <c r="G21" i="9"/>
  <c r="F8" i="34" s="1"/>
  <c r="F7" i="34"/>
  <c r="F21" i="9"/>
  <c r="E8" i="34" s="1"/>
  <c r="E7" i="34"/>
  <c r="E40" i="20"/>
  <c r="G40" i="20" s="1"/>
  <c r="G39" i="20"/>
  <c r="J15" i="20"/>
  <c r="E35" i="9"/>
  <c r="E73" i="9" s="1"/>
  <c r="E30" i="9"/>
  <c r="E34" i="9" s="1"/>
  <c r="E63" i="9"/>
  <c r="G43" i="9"/>
  <c r="F43" i="9"/>
  <c r="E36" i="9" l="1"/>
  <c r="E37" i="9" s="1"/>
  <c r="E306" i="1"/>
  <c r="G306" i="1" s="1"/>
  <c r="H306" i="1" s="1"/>
  <c r="E301" i="1" s="1"/>
  <c r="C39" i="5"/>
  <c r="E302" i="1"/>
  <c r="D55" i="12"/>
  <c r="D5" i="19"/>
  <c r="D6" i="19"/>
  <c r="D7" i="19"/>
  <c r="D8" i="19"/>
  <c r="K7" i="19"/>
  <c r="Q7" i="19"/>
  <c r="K10" i="19"/>
  <c r="Q10" i="19"/>
  <c r="K11" i="19"/>
  <c r="K12" i="19"/>
  <c r="Q12" i="19"/>
  <c r="K13" i="19"/>
  <c r="K15" i="19"/>
  <c r="O15" i="19"/>
  <c r="Q15" i="19"/>
  <c r="Q16" i="19"/>
  <c r="K18" i="19"/>
  <c r="Q18" i="19"/>
  <c r="K19" i="19"/>
  <c r="I20" i="19"/>
  <c r="K20" i="19" s="1"/>
  <c r="O21" i="19"/>
  <c r="P21" i="19"/>
  <c r="P22" i="19"/>
  <c r="Q22" i="19" s="1"/>
  <c r="O23" i="19"/>
  <c r="P23" i="19"/>
  <c r="H26" i="19"/>
  <c r="Q8" i="19" l="1"/>
  <c r="Q23" i="19"/>
  <c r="Q13" i="19"/>
  <c r="K16" i="19"/>
  <c r="K8" i="19"/>
  <c r="Q21" i="19"/>
  <c r="H24" i="19"/>
  <c r="K20" i="12"/>
  <c r="E8" i="12" s="1"/>
  <c r="K19" i="12"/>
  <c r="E7" i="12" s="1"/>
  <c r="K18" i="12"/>
  <c r="E6" i="12" s="1"/>
  <c r="E5" i="12"/>
  <c r="E4" i="12"/>
  <c r="D56" i="12"/>
  <c r="D57" i="12" s="1"/>
  <c r="D59" i="12" s="1"/>
  <c r="D60" i="12" s="1"/>
  <c r="D21" i="12" s="1"/>
  <c r="Q19" i="19" l="1"/>
  <c r="H25" i="19" s="1"/>
  <c r="H27" i="19" s="1"/>
  <c r="H28" i="19" s="1"/>
  <c r="D16" i="12" s="1"/>
  <c r="AV141" i="22"/>
  <c r="AR141" i="22"/>
  <c r="AN141" i="22"/>
  <c r="AJ141" i="22"/>
  <c r="AF141" i="22"/>
  <c r="AB141" i="22"/>
  <c r="X141" i="22"/>
  <c r="T141" i="22"/>
  <c r="AT141" i="22"/>
  <c r="AL141" i="22"/>
  <c r="Z141" i="22"/>
  <c r="AU141" i="22"/>
  <c r="AQ141" i="22"/>
  <c r="AM141" i="22"/>
  <c r="AI141" i="22"/>
  <c r="AE141" i="22"/>
  <c r="AA141" i="22"/>
  <c r="W141" i="22"/>
  <c r="S141" i="22"/>
  <c r="AP141" i="22"/>
  <c r="AH141" i="22"/>
  <c r="V141" i="22"/>
  <c r="D13" i="1"/>
  <c r="AC11" i="9" s="1"/>
  <c r="AW141" i="22"/>
  <c r="AS141" i="22"/>
  <c r="AO141" i="22"/>
  <c r="AK141" i="22"/>
  <c r="AG141" i="22"/>
  <c r="AC141" i="22"/>
  <c r="Y141" i="22"/>
  <c r="U141" i="22"/>
  <c r="Q141" i="22"/>
  <c r="AD141" i="22"/>
  <c r="R141" i="22"/>
  <c r="E9" i="12"/>
  <c r="G19" i="5"/>
  <c r="H19" i="5" s="1"/>
  <c r="E21" i="12"/>
  <c r="W11" i="9" l="1"/>
  <c r="J11" i="9"/>
  <c r="AK11" i="9"/>
  <c r="AE11" i="9"/>
  <c r="AB11" i="9"/>
  <c r="AM11" i="9"/>
  <c r="Z11" i="9"/>
  <c r="K11" i="9"/>
  <c r="O11" i="9"/>
  <c r="L11" i="9"/>
  <c r="U11" i="9"/>
  <c r="T11" i="9"/>
  <c r="AJ11" i="9"/>
  <c r="R11" i="9"/>
  <c r="M11" i="9"/>
  <c r="AD11" i="9"/>
  <c r="AA11" i="9"/>
  <c r="H11" i="9"/>
  <c r="X11" i="9"/>
  <c r="AN11" i="9"/>
  <c r="V11" i="9"/>
  <c r="Q11" i="9"/>
  <c r="AG11" i="9"/>
  <c r="AH11" i="9"/>
  <c r="S11" i="9"/>
  <c r="AI11" i="9"/>
  <c r="P11" i="9"/>
  <c r="AF11" i="9"/>
  <c r="N11" i="9"/>
  <c r="I11" i="9"/>
  <c r="Y11" i="9"/>
  <c r="AL11" i="9"/>
  <c r="AL19" i="5"/>
  <c r="V19" i="5"/>
  <c r="AB19" i="5"/>
  <c r="K19" i="5"/>
  <c r="U19" i="5"/>
  <c r="G12" i="5"/>
  <c r="H12" i="5" s="1"/>
  <c r="Z12" i="5" s="1"/>
  <c r="E16" i="12"/>
  <c r="N19" i="5"/>
  <c r="AD19" i="5"/>
  <c r="W19" i="5"/>
  <c r="Z19" i="5"/>
  <c r="X19" i="5"/>
  <c r="Q19" i="5"/>
  <c r="J19" i="5"/>
  <c r="AI19" i="5"/>
  <c r="I19" i="5"/>
  <c r="AK19" i="5"/>
  <c r="AA19" i="5"/>
  <c r="P19" i="5"/>
  <c r="R19" i="5"/>
  <c r="O19" i="5"/>
  <c r="AM19" i="5"/>
  <c r="S19" i="5"/>
  <c r="AF19" i="5"/>
  <c r="M19" i="5"/>
  <c r="AC19" i="5"/>
  <c r="AG19" i="5"/>
  <c r="AJ19" i="5"/>
  <c r="AE19" i="5"/>
  <c r="Y19" i="5"/>
  <c r="T19" i="5"/>
  <c r="AH19" i="5"/>
  <c r="L19" i="5"/>
  <c r="D11" i="9" l="1"/>
  <c r="AM12" i="5"/>
  <c r="D48" i="5"/>
  <c r="AJ12" i="5"/>
  <c r="AB12" i="5"/>
  <c r="Q12" i="5"/>
  <c r="V12" i="5"/>
  <c r="X12" i="5"/>
  <c r="U12" i="5"/>
  <c r="P12" i="5"/>
  <c r="AD12" i="5"/>
  <c r="AK12" i="5"/>
  <c r="Y12" i="5"/>
  <c r="AN19" i="5"/>
  <c r="AF12" i="5"/>
  <c r="I12" i="5"/>
  <c r="O12" i="5"/>
  <c r="AI12" i="5"/>
  <c r="AG12" i="5"/>
  <c r="R12" i="5"/>
  <c r="T12" i="5"/>
  <c r="AL12" i="5"/>
  <c r="AA12" i="5"/>
  <c r="N12" i="5"/>
  <c r="L12" i="5"/>
  <c r="S12" i="5"/>
  <c r="M12" i="5"/>
  <c r="AH12" i="5"/>
  <c r="AE12" i="5"/>
  <c r="K12" i="5"/>
  <c r="W12" i="5"/>
  <c r="AC12" i="5"/>
  <c r="J12" i="5"/>
  <c r="G5" i="12"/>
  <c r="H5" i="12" s="1"/>
  <c r="I5" i="12" s="1"/>
  <c r="G7" i="12"/>
  <c r="H7" i="12" s="1"/>
  <c r="I7" i="12" s="1"/>
  <c r="G8" i="12"/>
  <c r="H8" i="12" s="1"/>
  <c r="I8" i="12" s="1"/>
  <c r="G6" i="12"/>
  <c r="H6" i="12" s="1"/>
  <c r="I6" i="12" s="1"/>
  <c r="AN12" i="5" l="1"/>
  <c r="D41" i="5"/>
  <c r="G4" i="12"/>
  <c r="G9" i="12" s="1"/>
  <c r="G8" i="16"/>
  <c r="L8" i="16"/>
  <c r="L12" i="16"/>
  <c r="G13" i="16"/>
  <c r="G11" i="16" s="1"/>
  <c r="L13" i="16"/>
  <c r="G17" i="16"/>
  <c r="L26" i="16"/>
  <c r="G31" i="16"/>
  <c r="G32" i="16"/>
  <c r="L32" i="16"/>
  <c r="G42" i="16"/>
  <c r="L16" i="16" l="1"/>
  <c r="N26" i="16" s="1"/>
  <c r="L11" i="16"/>
  <c r="N13" i="16" s="1"/>
  <c r="L5" i="16"/>
  <c r="G16" i="16"/>
  <c r="J20" i="16" s="1"/>
  <c r="H4" i="12"/>
  <c r="H9" i="12" s="1"/>
  <c r="J12" i="16"/>
  <c r="J15" i="16"/>
  <c r="J14" i="16"/>
  <c r="G5" i="16"/>
  <c r="G7" i="16"/>
  <c r="J13" i="16"/>
  <c r="L7" i="16"/>
  <c r="N8" i="16" s="1"/>
  <c r="N28" i="16" l="1"/>
  <c r="N19" i="16"/>
  <c r="N25" i="16"/>
  <c r="N34" i="16"/>
  <c r="N38" i="16"/>
  <c r="N18" i="16"/>
  <c r="N20" i="16"/>
  <c r="L6" i="16"/>
  <c r="L4" i="16" s="1"/>
  <c r="N5" i="16" s="1"/>
  <c r="N40" i="16"/>
  <c r="N32" i="16"/>
  <c r="N17" i="16"/>
  <c r="N22" i="16"/>
  <c r="N24" i="16"/>
  <c r="N35" i="16"/>
  <c r="N27" i="16"/>
  <c r="J17" i="16"/>
  <c r="J18" i="16"/>
  <c r="J27" i="16"/>
  <c r="J39" i="16"/>
  <c r="J32" i="16"/>
  <c r="J29" i="16"/>
  <c r="N12" i="16"/>
  <c r="L10" i="16"/>
  <c r="N11" i="16" s="1"/>
  <c r="G6" i="16"/>
  <c r="G4" i="16" s="1"/>
  <c r="J36" i="16"/>
  <c r="J38" i="16"/>
  <c r="J34" i="16"/>
  <c r="J31" i="16"/>
  <c r="J30" i="16"/>
  <c r="J26" i="16"/>
  <c r="J37" i="16"/>
  <c r="G10" i="16"/>
  <c r="J33" i="16"/>
  <c r="J35" i="16"/>
  <c r="J25" i="16"/>
  <c r="J40" i="16"/>
  <c r="J22" i="16"/>
  <c r="J24" i="16"/>
  <c r="J19" i="16"/>
  <c r="J28" i="16"/>
  <c r="I4" i="12"/>
  <c r="J9" i="16"/>
  <c r="J8" i="16"/>
  <c r="N9" i="16"/>
  <c r="N7" i="16" l="1"/>
  <c r="N6" i="16"/>
  <c r="I9" i="12"/>
  <c r="G10" i="5" s="1"/>
  <c r="N10" i="16"/>
  <c r="N16" i="16"/>
  <c r="J6" i="16"/>
  <c r="J5" i="16"/>
  <c r="J16" i="16"/>
  <c r="J11" i="16"/>
  <c r="J10" i="16"/>
  <c r="J7" i="16"/>
  <c r="D111" i="1"/>
  <c r="D113" i="1" s="1"/>
  <c r="H10" i="5" l="1"/>
  <c r="AJ10" i="5" s="1"/>
  <c r="D280" i="1"/>
  <c r="D278" i="1"/>
  <c r="D277" i="1"/>
  <c r="H279" i="1" s="1"/>
  <c r="K279" i="1" s="1"/>
  <c r="M279" i="1" s="1"/>
  <c r="D276" i="1"/>
  <c r="I10" i="5" l="1"/>
  <c r="AG10" i="5"/>
  <c r="N10" i="5"/>
  <c r="U10" i="5"/>
  <c r="J10" i="5"/>
  <c r="AA10" i="5"/>
  <c r="AC10" i="5"/>
  <c r="AL10" i="5"/>
  <c r="AH10" i="5"/>
  <c r="AK10" i="5"/>
  <c r="R10" i="5"/>
  <c r="AB10" i="5"/>
  <c r="AF10" i="5"/>
  <c r="AM10" i="5"/>
  <c r="W10" i="5"/>
  <c r="Z10" i="5"/>
  <c r="AD10" i="5"/>
  <c r="P10" i="5"/>
  <c r="O10" i="5"/>
  <c r="V10" i="5"/>
  <c r="X10" i="5"/>
  <c r="S10" i="5"/>
  <c r="M10" i="5"/>
  <c r="Q10" i="5"/>
  <c r="AE10" i="5"/>
  <c r="Y10" i="5"/>
  <c r="L10" i="5"/>
  <c r="AI10" i="5"/>
  <c r="T10" i="5"/>
  <c r="K10" i="5"/>
  <c r="H285" i="1"/>
  <c r="K285" i="1" s="1"/>
  <c r="M285" i="1" s="1"/>
  <c r="H281" i="1"/>
  <c r="K281" i="1" s="1"/>
  <c r="M281" i="1" s="1"/>
  <c r="H278" i="1"/>
  <c r="H277" i="1"/>
  <c r="H284" i="1"/>
  <c r="K284" i="1" s="1"/>
  <c r="M284" i="1" s="1"/>
  <c r="H283" i="1"/>
  <c r="K283" i="1" s="1"/>
  <c r="M283" i="1" s="1"/>
  <c r="H282" i="1"/>
  <c r="K282" i="1" s="1"/>
  <c r="M282" i="1" s="1"/>
  <c r="D250" i="1"/>
  <c r="H248" i="1"/>
  <c r="H249" i="1"/>
  <c r="H247" i="1"/>
  <c r="D252" i="1" l="1"/>
  <c r="AN10" i="5"/>
  <c r="D38" i="5"/>
  <c r="D242" i="1" l="1"/>
  <c r="D243" i="1" s="1"/>
  <c r="D254" i="1" s="1"/>
  <c r="D235" i="1" s="1"/>
  <c r="E190" i="1"/>
  <c r="D230" i="1" l="1"/>
  <c r="D236" i="1"/>
  <c r="D237" i="1" s="1"/>
  <c r="E7" i="3"/>
  <c r="E24" i="3" s="1"/>
  <c r="E8" i="3" l="1"/>
  <c r="D18" i="1"/>
  <c r="AV146" i="22"/>
  <c r="AR146" i="22"/>
  <c r="AN146" i="22"/>
  <c r="AJ146" i="22"/>
  <c r="AF146" i="22"/>
  <c r="AB146" i="22"/>
  <c r="X146" i="22"/>
  <c r="T146" i="22"/>
  <c r="AK146" i="22"/>
  <c r="Y146" i="22"/>
  <c r="AU146" i="22"/>
  <c r="AQ146" i="22"/>
  <c r="AM146" i="22"/>
  <c r="AI146" i="22"/>
  <c r="AE146" i="22"/>
  <c r="AA146" i="22"/>
  <c r="W146" i="22"/>
  <c r="S146" i="22"/>
  <c r="AS146" i="22"/>
  <c r="AC146" i="22"/>
  <c r="Q146" i="22"/>
  <c r="AT146" i="22"/>
  <c r="AP146" i="22"/>
  <c r="AL146" i="22"/>
  <c r="AH146" i="22"/>
  <c r="AD146" i="22"/>
  <c r="Z146" i="22"/>
  <c r="V146" i="22"/>
  <c r="R146" i="22"/>
  <c r="AW146" i="22"/>
  <c r="AO146" i="22"/>
  <c r="AG146" i="22"/>
  <c r="U146" i="22"/>
  <c r="D72" i="1"/>
  <c r="D11" i="1" s="1"/>
  <c r="E12" i="3"/>
  <c r="F7" i="3"/>
  <c r="F24" i="3" s="1"/>
  <c r="D107" i="1"/>
  <c r="AA16" i="9" l="1"/>
  <c r="W16" i="9"/>
  <c r="S16" i="9"/>
  <c r="O16" i="9"/>
  <c r="L16" i="9"/>
  <c r="AM16" i="9"/>
  <c r="AI16" i="9"/>
  <c r="AE16" i="9"/>
  <c r="X16" i="9"/>
  <c r="H16" i="9"/>
  <c r="AF16" i="9"/>
  <c r="Z16" i="9"/>
  <c r="V16" i="9"/>
  <c r="R16" i="9"/>
  <c r="N16" i="9"/>
  <c r="K16" i="9"/>
  <c r="AL16" i="9"/>
  <c r="AH16" i="9"/>
  <c r="AD16" i="9"/>
  <c r="T16" i="9"/>
  <c r="AJ16" i="9"/>
  <c r="I16" i="9"/>
  <c r="Y16" i="9"/>
  <c r="U16" i="9"/>
  <c r="Q16" i="9"/>
  <c r="M16" i="9"/>
  <c r="J16" i="9"/>
  <c r="AK16" i="9"/>
  <c r="AG16" i="9"/>
  <c r="AC16" i="9"/>
  <c r="AB16" i="9"/>
  <c r="P16" i="9"/>
  <c r="AN16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AD9" i="9"/>
  <c r="AE9" i="9"/>
  <c r="AF9" i="9"/>
  <c r="AG9" i="9"/>
  <c r="AH9" i="9"/>
  <c r="AI9" i="9"/>
  <c r="AJ9" i="9"/>
  <c r="AK9" i="9"/>
  <c r="AL9" i="9"/>
  <c r="AM9" i="9"/>
  <c r="AN9" i="9"/>
  <c r="H9" i="9"/>
  <c r="AW139" i="22"/>
  <c r="AV139" i="22"/>
  <c r="AU139" i="22"/>
  <c r="AT139" i="22"/>
  <c r="AS139" i="22"/>
  <c r="AR139" i="22"/>
  <c r="AQ139" i="22"/>
  <c r="AP139" i="22"/>
  <c r="AO139" i="22"/>
  <c r="AN139" i="22"/>
  <c r="AM139" i="22"/>
  <c r="AL139" i="22"/>
  <c r="AK139" i="22"/>
  <c r="AJ139" i="22"/>
  <c r="AI139" i="22"/>
  <c r="AH139" i="22"/>
  <c r="AG139" i="22"/>
  <c r="AF139" i="22"/>
  <c r="AE139" i="22"/>
  <c r="AD139" i="22"/>
  <c r="AC139" i="22"/>
  <c r="AB139" i="22"/>
  <c r="AA139" i="22"/>
  <c r="Z139" i="22"/>
  <c r="Y139" i="22"/>
  <c r="X139" i="22"/>
  <c r="W139" i="22"/>
  <c r="V139" i="22"/>
  <c r="U139" i="22"/>
  <c r="T139" i="22"/>
  <c r="S139" i="22"/>
  <c r="R139" i="22"/>
  <c r="Q139" i="22"/>
  <c r="E25" i="3"/>
  <c r="D139" i="1" s="1"/>
  <c r="E43" i="3"/>
  <c r="F8" i="3"/>
  <c r="F25" i="3"/>
  <c r="F26" i="3" s="1"/>
  <c r="F12" i="3"/>
  <c r="G7" i="3"/>
  <c r="G49" i="1"/>
  <c r="H49" i="1" s="1"/>
  <c r="G50" i="1"/>
  <c r="H50" i="1" s="1"/>
  <c r="D154" i="1" l="1"/>
  <c r="F154" i="1" s="1"/>
  <c r="D153" i="1"/>
  <c r="D16" i="9"/>
  <c r="E26" i="3"/>
  <c r="E44" i="3"/>
  <c r="D9" i="9"/>
  <c r="G8" i="3"/>
  <c r="G24" i="3"/>
  <c r="G25" i="3" s="1"/>
  <c r="G26" i="3" s="1"/>
  <c r="D155" i="1"/>
  <c r="F155" i="1" s="1"/>
  <c r="D157" i="1"/>
  <c r="F157" i="1" s="1"/>
  <c r="D156" i="1"/>
  <c r="J277" i="1" s="1"/>
  <c r="H7" i="3"/>
  <c r="G12" i="3"/>
  <c r="G44" i="1"/>
  <c r="H44" i="1" s="1"/>
  <c r="G46" i="1"/>
  <c r="H46" i="1" s="1"/>
  <c r="G45" i="1"/>
  <c r="H45" i="1" s="1"/>
  <c r="G43" i="1"/>
  <c r="H43" i="1" s="1"/>
  <c r="E45" i="3" l="1"/>
  <c r="F156" i="1"/>
  <c r="S277" i="1"/>
  <c r="H8" i="3"/>
  <c r="H24" i="3"/>
  <c r="H25" i="3" s="1"/>
  <c r="H26" i="3" s="1"/>
  <c r="D158" i="1"/>
  <c r="F153" i="1"/>
  <c r="I7" i="3"/>
  <c r="H12" i="3"/>
  <c r="F158" i="1" l="1"/>
  <c r="L277" i="1"/>
  <c r="T277" i="1"/>
  <c r="K277" i="1" s="1"/>
  <c r="J278" i="1"/>
  <c r="S278" i="1" s="1"/>
  <c r="I8" i="3"/>
  <c r="I24" i="3"/>
  <c r="I25" i="3" s="1"/>
  <c r="I26" i="3" s="1"/>
  <c r="D144" i="1"/>
  <c r="D148" i="1" s="1"/>
  <c r="I12" i="3"/>
  <c r="J7" i="3"/>
  <c r="M277" i="1" l="1"/>
  <c r="T278" i="1"/>
  <c r="K278" i="1" s="1"/>
  <c r="L278" i="1"/>
  <c r="D145" i="1"/>
  <c r="D149" i="1" s="1"/>
  <c r="J8" i="3"/>
  <c r="J24" i="3"/>
  <c r="K7" i="3"/>
  <c r="J12" i="3"/>
  <c r="M278" i="1" l="1"/>
  <c r="D270" i="1" s="1"/>
  <c r="AW143" i="22"/>
  <c r="AV143" i="22"/>
  <c r="AU143" i="22"/>
  <c r="AT143" i="22"/>
  <c r="AS143" i="22"/>
  <c r="AR143" i="22"/>
  <c r="AQ143" i="22"/>
  <c r="AP143" i="22"/>
  <c r="AO143" i="22"/>
  <c r="AN143" i="22"/>
  <c r="AM143" i="22"/>
  <c r="AL143" i="22"/>
  <c r="AK143" i="22"/>
  <c r="AJ143" i="22"/>
  <c r="AI143" i="22"/>
  <c r="AH143" i="22"/>
  <c r="AG143" i="22"/>
  <c r="AF143" i="22"/>
  <c r="AE143" i="22"/>
  <c r="AD143" i="22"/>
  <c r="AC143" i="22"/>
  <c r="AB143" i="22"/>
  <c r="AA143" i="22"/>
  <c r="Z143" i="22"/>
  <c r="Y143" i="22"/>
  <c r="X143" i="22"/>
  <c r="W143" i="22"/>
  <c r="V143" i="22"/>
  <c r="U143" i="22"/>
  <c r="T143" i="22"/>
  <c r="S143" i="22"/>
  <c r="R143" i="22"/>
  <c r="Q143" i="22"/>
  <c r="J25" i="3"/>
  <c r="J26" i="3" s="1"/>
  <c r="F43" i="3"/>
  <c r="D15" i="1"/>
  <c r="K8" i="3"/>
  <c r="K24" i="3"/>
  <c r="K25" i="3" s="1"/>
  <c r="K26" i="3" s="1"/>
  <c r="L7" i="3"/>
  <c r="K12" i="3"/>
  <c r="K13" i="9" l="1"/>
  <c r="H13" i="9"/>
  <c r="AK13" i="9"/>
  <c r="AG13" i="9"/>
  <c r="AC13" i="9"/>
  <c r="Y13" i="9"/>
  <c r="U13" i="9"/>
  <c r="Q13" i="9"/>
  <c r="M13" i="9"/>
  <c r="I13" i="9"/>
  <c r="AL13" i="9"/>
  <c r="AH13" i="9"/>
  <c r="AD13" i="9"/>
  <c r="Z13" i="9"/>
  <c r="V13" i="9"/>
  <c r="R13" i="9"/>
  <c r="N13" i="9"/>
  <c r="J13" i="9"/>
  <c r="AN13" i="9"/>
  <c r="AJ13" i="9"/>
  <c r="AF13" i="9"/>
  <c r="AB13" i="9"/>
  <c r="X13" i="9"/>
  <c r="T13" i="9"/>
  <c r="P13" i="9"/>
  <c r="L13" i="9"/>
  <c r="AM13" i="9"/>
  <c r="AI13" i="9"/>
  <c r="AE13" i="9"/>
  <c r="AA13" i="9"/>
  <c r="W13" i="9"/>
  <c r="S13" i="9"/>
  <c r="O13" i="9"/>
  <c r="L8" i="3"/>
  <c r="L24" i="3"/>
  <c r="L25" i="3" s="1"/>
  <c r="L26" i="3" s="1"/>
  <c r="L12" i="3"/>
  <c r="M7" i="3"/>
  <c r="D13" i="9" l="1"/>
  <c r="M8" i="3"/>
  <c r="M24" i="3"/>
  <c r="M25" i="3" s="1"/>
  <c r="M26" i="3" s="1"/>
  <c r="M12" i="3"/>
  <c r="N7" i="3"/>
  <c r="N8" i="3" l="1"/>
  <c r="N24" i="3"/>
  <c r="N25" i="3" s="1"/>
  <c r="N26" i="3" s="1"/>
  <c r="N12" i="3"/>
  <c r="O7" i="3"/>
  <c r="O8" i="3" l="1"/>
  <c r="O24" i="3"/>
  <c r="P7" i="3"/>
  <c r="O12" i="3"/>
  <c r="O25" i="3" l="1"/>
  <c r="O26" i="3" s="1"/>
  <c r="G43" i="3"/>
  <c r="P8" i="3"/>
  <c r="P24" i="3"/>
  <c r="P25" i="3" s="1"/>
  <c r="P26" i="3" s="1"/>
  <c r="Q7" i="3"/>
  <c r="P12" i="3"/>
  <c r="Q8" i="3" l="1"/>
  <c r="Q24" i="3"/>
  <c r="Q25" i="3" s="1"/>
  <c r="Q26" i="3" s="1"/>
  <c r="Q12" i="3"/>
  <c r="R7" i="3"/>
  <c r="R8" i="3" l="1"/>
  <c r="R24" i="3"/>
  <c r="R25" i="3" s="1"/>
  <c r="R26" i="3" s="1"/>
  <c r="S7" i="3"/>
  <c r="R12" i="3"/>
  <c r="S8" i="3" l="1"/>
  <c r="S24" i="3"/>
  <c r="S25" i="3" s="1"/>
  <c r="S26" i="3" s="1"/>
  <c r="T7" i="3"/>
  <c r="S12" i="3"/>
  <c r="T8" i="3" l="1"/>
  <c r="T24" i="3"/>
  <c r="T12" i="3"/>
  <c r="U7" i="3"/>
  <c r="T25" i="3" l="1"/>
  <c r="T26" i="3" s="1"/>
  <c r="H43" i="3"/>
  <c r="U8" i="3"/>
  <c r="U24" i="3"/>
  <c r="U25" i="3" s="1"/>
  <c r="U26" i="3" s="1"/>
  <c r="U12" i="3"/>
  <c r="V7" i="3"/>
  <c r="V8" i="3" l="1"/>
  <c r="V24" i="3"/>
  <c r="V25" i="3" s="1"/>
  <c r="V26" i="3" s="1"/>
  <c r="V12" i="3"/>
  <c r="W7" i="3"/>
  <c r="W8" i="3" l="1"/>
  <c r="W24" i="3"/>
  <c r="W25" i="3" s="1"/>
  <c r="W26" i="3" s="1"/>
  <c r="X7" i="3"/>
  <c r="W12" i="3"/>
  <c r="X8" i="3" l="1"/>
  <c r="X24" i="3"/>
  <c r="X25" i="3" s="1"/>
  <c r="X26" i="3" s="1"/>
  <c r="Y7" i="3"/>
  <c r="X12" i="3"/>
  <c r="Y8" i="3" l="1"/>
  <c r="Y24" i="3"/>
  <c r="Y25" i="3" s="1"/>
  <c r="Y26" i="3" s="1"/>
  <c r="Y12" i="3"/>
  <c r="Z7" i="3"/>
  <c r="Z8" i="3" l="1"/>
  <c r="Z24" i="3"/>
  <c r="AA7" i="3"/>
  <c r="Z12" i="3"/>
  <c r="Z25" i="3" l="1"/>
  <c r="Z26" i="3" s="1"/>
  <c r="I43" i="3"/>
  <c r="AA8" i="3"/>
  <c r="AA24" i="3"/>
  <c r="AA25" i="3" s="1"/>
  <c r="AA26" i="3" s="1"/>
  <c r="AB7" i="3"/>
  <c r="AA12" i="3"/>
  <c r="AB8" i="3" l="1"/>
  <c r="AB24" i="3"/>
  <c r="AB25" i="3" s="1"/>
  <c r="AB26" i="3" s="1"/>
  <c r="AB12" i="3"/>
  <c r="AC7" i="3"/>
  <c r="AC8" i="3" l="1"/>
  <c r="AC24" i="3"/>
  <c r="AC25" i="3" s="1"/>
  <c r="AC26" i="3" s="1"/>
  <c r="AC12" i="3"/>
  <c r="AD7" i="3"/>
  <c r="AD8" i="3" l="1"/>
  <c r="AD24" i="3"/>
  <c r="AD25" i="3" s="1"/>
  <c r="AD26" i="3" s="1"/>
  <c r="AD12" i="3"/>
  <c r="AE7" i="3"/>
  <c r="AE8" i="3" l="1"/>
  <c r="AE24" i="3"/>
  <c r="AF7" i="3"/>
  <c r="AE12" i="3"/>
  <c r="AE25" i="3" l="1"/>
  <c r="AE26" i="3" s="1"/>
  <c r="J43" i="3"/>
  <c r="AF8" i="3"/>
  <c r="AF24" i="3"/>
  <c r="AF25" i="3" s="1"/>
  <c r="AF26" i="3" s="1"/>
  <c r="AG7" i="3"/>
  <c r="AF12" i="3"/>
  <c r="AG8" i="3" l="1"/>
  <c r="AG24" i="3"/>
  <c r="AG25" i="3" s="1"/>
  <c r="AG26" i="3" s="1"/>
  <c r="AG12" i="3"/>
  <c r="AH7" i="3"/>
  <c r="AH8" i="3" l="1"/>
  <c r="AH24" i="3"/>
  <c r="AH25" i="3" s="1"/>
  <c r="AH26" i="3" s="1"/>
  <c r="AI7" i="3"/>
  <c r="AH12" i="3"/>
  <c r="AI8" i="3" l="1"/>
  <c r="AI24" i="3"/>
  <c r="AI25" i="3" s="1"/>
  <c r="AI26" i="3" s="1"/>
  <c r="AJ7" i="3"/>
  <c r="AI12" i="3"/>
  <c r="AJ8" i="3" l="1"/>
  <c r="AJ24" i="3"/>
  <c r="AJ12" i="3"/>
  <c r="AK7" i="3"/>
  <c r="AJ25" i="3" l="1"/>
  <c r="AJ26" i="3" s="1"/>
  <c r="K43" i="3"/>
  <c r="AK8" i="3"/>
  <c r="AK24" i="3"/>
  <c r="AK25" i="3" s="1"/>
  <c r="AK26" i="3" s="1"/>
  <c r="AK12" i="3"/>
  <c r="AL7" i="3"/>
  <c r="AL8" i="3" l="1"/>
  <c r="AL24" i="3"/>
  <c r="AL25" i="3" s="1"/>
  <c r="AL26" i="3" s="1"/>
  <c r="AL12" i="3"/>
  <c r="AM7" i="3"/>
  <c r="AM8" i="3" l="1"/>
  <c r="AM24" i="3"/>
  <c r="AN7" i="3"/>
  <c r="AM12" i="3"/>
  <c r="AM25" i="3" l="1"/>
  <c r="AM26" i="3" s="1"/>
  <c r="L43" i="3"/>
  <c r="AN8" i="3"/>
  <c r="AN24" i="3"/>
  <c r="AN25" i="3" s="1"/>
  <c r="AN26" i="3" s="1"/>
  <c r="AO7" i="3"/>
  <c r="AN12" i="3"/>
  <c r="AO8" i="3" l="1"/>
  <c r="AO24" i="3"/>
  <c r="AO25" i="3" s="1"/>
  <c r="AO26" i="3" s="1"/>
  <c r="AO12" i="3"/>
  <c r="AP7" i="3"/>
  <c r="AP8" i="3" l="1"/>
  <c r="AP24" i="3"/>
  <c r="AP25" i="3" s="1"/>
  <c r="AP26" i="3" s="1"/>
  <c r="AQ7" i="3"/>
  <c r="AP12" i="3"/>
  <c r="AQ8" i="3" l="1"/>
  <c r="AQ24" i="3"/>
  <c r="AQ25" i="3" s="1"/>
  <c r="AQ26" i="3" s="1"/>
  <c r="AR7" i="3"/>
  <c r="AQ12" i="3"/>
  <c r="AR8" i="3" l="1"/>
  <c r="AR24" i="3"/>
  <c r="AR25" i="3" s="1"/>
  <c r="AR26" i="3" s="1"/>
  <c r="AR12" i="3"/>
  <c r="AS7" i="3"/>
  <c r="AS8" i="3" l="1"/>
  <c r="AS24" i="3"/>
  <c r="AS25" i="3" s="1"/>
  <c r="AS26" i="3" s="1"/>
  <c r="AS12" i="3"/>
  <c r="AT7" i="3"/>
  <c r="AT8" i="3" l="1"/>
  <c r="AT24" i="3"/>
  <c r="AT25" i="3" s="1"/>
  <c r="AT26" i="3" s="1"/>
  <c r="AT12" i="3"/>
  <c r="AU7" i="3"/>
  <c r="AU8" i="3" l="1"/>
  <c r="AU24" i="3"/>
  <c r="AU25" i="3" s="1"/>
  <c r="AU26" i="3" s="1"/>
  <c r="AV7" i="3"/>
  <c r="AU12" i="3"/>
  <c r="AV8" i="3" l="1"/>
  <c r="AV24" i="3"/>
  <c r="AV25" i="3" s="1"/>
  <c r="AV26" i="3" s="1"/>
  <c r="AW7" i="3"/>
  <c r="AW24" i="3" s="1"/>
  <c r="AW25" i="3" s="1"/>
  <c r="AW26" i="3" s="1"/>
  <c r="D114" i="1" s="1"/>
  <c r="D115" i="1" s="1"/>
  <c r="D205" i="1" s="1"/>
  <c r="D207" i="1" s="1"/>
  <c r="D208" i="1" s="1"/>
  <c r="D29" i="14" s="1"/>
  <c r="AV12" i="3"/>
  <c r="K30" i="10" l="1"/>
  <c r="F6" i="14"/>
  <c r="F10" i="14" s="1"/>
  <c r="J30" i="10" s="1"/>
  <c r="D166" i="1"/>
  <c r="D222" i="1"/>
  <c r="F222" i="1" s="1"/>
  <c r="D215" i="1" s="1"/>
  <c r="AW12" i="3"/>
  <c r="AW8" i="3"/>
  <c r="G30" i="10" l="1"/>
  <c r="J90" i="10"/>
  <c r="J99" i="10"/>
  <c r="C6" i="14"/>
  <c r="J89" i="10"/>
  <c r="J112" i="10"/>
  <c r="J87" i="10"/>
  <c r="J97" i="10"/>
  <c r="J106" i="10"/>
  <c r="J96" i="10"/>
  <c r="J105" i="10"/>
  <c r="J93" i="10"/>
  <c r="J88" i="10"/>
  <c r="J107" i="10"/>
  <c r="J116" i="10"/>
  <c r="J104" i="10"/>
  <c r="J92" i="10"/>
  <c r="J91" i="10"/>
  <c r="J119" i="10"/>
  <c r="J111" i="10"/>
  <c r="J95" i="10"/>
  <c r="J118" i="10"/>
  <c r="J94" i="10"/>
  <c r="K91" i="10"/>
  <c r="K97" i="10"/>
  <c r="K118" i="10"/>
  <c r="I91" i="22"/>
  <c r="K102" i="10"/>
  <c r="K111" i="10"/>
  <c r="K94" i="10"/>
  <c r="K113" i="10"/>
  <c r="K112" i="10"/>
  <c r="K87" i="10"/>
  <c r="K116" i="10"/>
  <c r="K92" i="10"/>
  <c r="K106" i="10"/>
  <c r="K108" i="10"/>
  <c r="K89" i="10"/>
  <c r="K114" i="10"/>
  <c r="K88" i="10"/>
  <c r="K109" i="10"/>
  <c r="K100" i="10"/>
  <c r="K103" i="10"/>
  <c r="K105" i="10"/>
  <c r="K93" i="10"/>
  <c r="K119" i="10"/>
  <c r="K107" i="10"/>
  <c r="K96" i="10"/>
  <c r="K95" i="10"/>
  <c r="K90" i="10"/>
  <c r="K101" i="10"/>
  <c r="K98" i="10"/>
  <c r="K120" i="10"/>
  <c r="K104" i="10"/>
  <c r="K117" i="10"/>
  <c r="K110" i="10"/>
  <c r="K115" i="10"/>
  <c r="K99" i="10"/>
  <c r="D191" i="1"/>
  <c r="F191" i="1" s="1"/>
  <c r="D190" i="1"/>
  <c r="F190" i="1" s="1"/>
  <c r="I111" i="1"/>
  <c r="O111" i="1" s="1"/>
  <c r="I130" i="1"/>
  <c r="I121" i="1"/>
  <c r="I128" i="1"/>
  <c r="I127" i="1"/>
  <c r="I125" i="1"/>
  <c r="I117" i="1"/>
  <c r="I115" i="1"/>
  <c r="I119" i="1"/>
  <c r="I123" i="1"/>
  <c r="I129" i="1"/>
  <c r="I124" i="1"/>
  <c r="I116" i="1"/>
  <c r="I112" i="1"/>
  <c r="I114" i="1"/>
  <c r="I126" i="1"/>
  <c r="I122" i="1"/>
  <c r="I120" i="1"/>
  <c r="I118" i="1"/>
  <c r="I113" i="1"/>
  <c r="D271" i="1"/>
  <c r="L23" i="21" l="1"/>
  <c r="C10" i="14"/>
  <c r="G90" i="10"/>
  <c r="J100" i="10"/>
  <c r="G116" i="10"/>
  <c r="G118" i="10"/>
  <c r="J103" i="10"/>
  <c r="G103" i="10" s="1"/>
  <c r="J114" i="10"/>
  <c r="G114" i="10" s="1"/>
  <c r="J115" i="10"/>
  <c r="G115" i="10" s="1"/>
  <c r="J109" i="10"/>
  <c r="G109" i="10" s="1"/>
  <c r="J102" i="10"/>
  <c r="G102" i="10" s="1"/>
  <c r="J101" i="10"/>
  <c r="G101" i="10" s="1"/>
  <c r="J98" i="10"/>
  <c r="G98" i="10" s="1"/>
  <c r="J117" i="10"/>
  <c r="G117" i="10" s="1"/>
  <c r="H91" i="22"/>
  <c r="G93" i="10"/>
  <c r="J110" i="10"/>
  <c r="G110" i="10" s="1"/>
  <c r="J113" i="10"/>
  <c r="G113" i="10" s="1"/>
  <c r="J120" i="10"/>
  <c r="G120" i="10" s="1"/>
  <c r="J108" i="10"/>
  <c r="G108" i="10" s="1"/>
  <c r="G88" i="10"/>
  <c r="G112" i="10"/>
  <c r="G99" i="10"/>
  <c r="G92" i="10"/>
  <c r="G97" i="10"/>
  <c r="G91" i="10"/>
  <c r="G89" i="10"/>
  <c r="G96" i="10"/>
  <c r="G100" i="10"/>
  <c r="G107" i="10"/>
  <c r="G95" i="10"/>
  <c r="G87" i="10"/>
  <c r="G104" i="10"/>
  <c r="G119" i="10"/>
  <c r="G94" i="10"/>
  <c r="G111" i="10"/>
  <c r="G105" i="10"/>
  <c r="G106" i="10"/>
  <c r="D183" i="1"/>
  <c r="D184" i="1" s="1"/>
  <c r="D185" i="1" s="1"/>
  <c r="D216" i="1"/>
  <c r="D217" i="1" s="1"/>
  <c r="N111" i="1"/>
  <c r="R22" i="30"/>
  <c r="O125" i="1"/>
  <c r="N125" i="1"/>
  <c r="R24" i="30"/>
  <c r="O127" i="1"/>
  <c r="N127" i="1"/>
  <c r="R25" i="30"/>
  <c r="O128" i="1"/>
  <c r="N128" i="1"/>
  <c r="R26" i="30"/>
  <c r="N129" i="1"/>
  <c r="O129" i="1"/>
  <c r="R11" i="30"/>
  <c r="O114" i="1"/>
  <c r="N114" i="1"/>
  <c r="R10" i="30"/>
  <c r="O113" i="1"/>
  <c r="N113" i="1"/>
  <c r="R21" i="30"/>
  <c r="O124" i="1"/>
  <c r="N124" i="1"/>
  <c r="R18" i="30"/>
  <c r="O121" i="1"/>
  <c r="N121" i="1"/>
  <c r="R27" i="30"/>
  <c r="N130" i="1"/>
  <c r="O130" i="1"/>
  <c r="R14" i="30"/>
  <c r="O117" i="1"/>
  <c r="N117" i="1"/>
  <c r="R9" i="30"/>
  <c r="O112" i="1"/>
  <c r="N112" i="1"/>
  <c r="R13" i="30"/>
  <c r="O116" i="1"/>
  <c r="N116" i="1"/>
  <c r="R15" i="30"/>
  <c r="N118" i="1"/>
  <c r="O118" i="1"/>
  <c r="R20" i="30"/>
  <c r="N123" i="1"/>
  <c r="O123" i="1"/>
  <c r="R19" i="30"/>
  <c r="O122" i="1"/>
  <c r="N122" i="1"/>
  <c r="R16" i="30"/>
  <c r="O119" i="1"/>
  <c r="N119" i="1"/>
  <c r="R17" i="30"/>
  <c r="O120" i="1"/>
  <c r="N120" i="1"/>
  <c r="R23" i="30"/>
  <c r="O126" i="1"/>
  <c r="N126" i="1"/>
  <c r="R12" i="30"/>
  <c r="O115" i="1"/>
  <c r="N115" i="1"/>
  <c r="R8" i="30"/>
  <c r="I131" i="1"/>
  <c r="AW147" i="22"/>
  <c r="AV147" i="22"/>
  <c r="AU147" i="22"/>
  <c r="AT147" i="22"/>
  <c r="AS147" i="22"/>
  <c r="AR147" i="22"/>
  <c r="AQ147" i="22"/>
  <c r="AP147" i="22"/>
  <c r="AO147" i="22"/>
  <c r="AN147" i="22"/>
  <c r="AM147" i="22"/>
  <c r="AL147" i="22"/>
  <c r="AK147" i="22"/>
  <c r="AJ147" i="22"/>
  <c r="AI147" i="22"/>
  <c r="AH147" i="22"/>
  <c r="AG147" i="22"/>
  <c r="AF147" i="22"/>
  <c r="AE147" i="22"/>
  <c r="AD147" i="22"/>
  <c r="AC147" i="22"/>
  <c r="AB147" i="22"/>
  <c r="AA147" i="22"/>
  <c r="Z147" i="22"/>
  <c r="Y147" i="22"/>
  <c r="X147" i="22"/>
  <c r="W147" i="22"/>
  <c r="V147" i="22"/>
  <c r="U147" i="22"/>
  <c r="T147" i="22"/>
  <c r="S147" i="22"/>
  <c r="R147" i="22"/>
  <c r="Q147" i="22"/>
  <c r="D19" i="1"/>
  <c r="G48" i="1"/>
  <c r="H48" i="1" s="1"/>
  <c r="G47" i="1"/>
  <c r="H47" i="1" s="1"/>
  <c r="G9" i="10" l="1"/>
  <c r="C8" i="10"/>
  <c r="I84" i="10" a="1"/>
  <c r="D16" i="1"/>
  <c r="AW144" i="22"/>
  <c r="AV144" i="22"/>
  <c r="AU144" i="22"/>
  <c r="AT144" i="22"/>
  <c r="AS144" i="22"/>
  <c r="AR144" i="22"/>
  <c r="AQ144" i="22"/>
  <c r="AP144" i="22"/>
  <c r="AO144" i="22"/>
  <c r="AN144" i="22"/>
  <c r="AM144" i="22"/>
  <c r="AL144" i="22"/>
  <c r="AK144" i="22"/>
  <c r="AJ144" i="22"/>
  <c r="AI144" i="22"/>
  <c r="AH144" i="22"/>
  <c r="AG144" i="22"/>
  <c r="AF144" i="22"/>
  <c r="AE144" i="22"/>
  <c r="AD144" i="22"/>
  <c r="AC144" i="22"/>
  <c r="AB144" i="22"/>
  <c r="AA144" i="22"/>
  <c r="Z144" i="22"/>
  <c r="Y144" i="22"/>
  <c r="X144" i="22"/>
  <c r="W144" i="22"/>
  <c r="V144" i="22"/>
  <c r="U144" i="22"/>
  <c r="T144" i="22"/>
  <c r="S144" i="22"/>
  <c r="R144" i="22"/>
  <c r="Q144" i="22"/>
  <c r="AD145" i="22"/>
  <c r="U145" i="22"/>
  <c r="Z145" i="22"/>
  <c r="AG145" i="22"/>
  <c r="AW145" i="22"/>
  <c r="AT145" i="22"/>
  <c r="AF145" i="22"/>
  <c r="D17" i="1"/>
  <c r="H15" i="9" s="1"/>
  <c r="AJ145" i="22"/>
  <c r="AO145" i="22"/>
  <c r="AC145" i="22"/>
  <c r="AH145" i="22"/>
  <c r="AR145" i="22"/>
  <c r="X145" i="22"/>
  <c r="AL145" i="22"/>
  <c r="AP145" i="22"/>
  <c r="T145" i="22"/>
  <c r="AM145" i="22"/>
  <c r="AU145" i="22"/>
  <c r="Y145" i="22"/>
  <c r="R145" i="22"/>
  <c r="AB145" i="22"/>
  <c r="W145" i="22"/>
  <c r="AV145" i="22"/>
  <c r="AN145" i="22"/>
  <c r="AK145" i="22"/>
  <c r="V145" i="22"/>
  <c r="AI145" i="22"/>
  <c r="AS145" i="22"/>
  <c r="S145" i="22"/>
  <c r="AA145" i="22"/>
  <c r="AE145" i="22"/>
  <c r="Q145" i="22"/>
  <c r="AQ145" i="22"/>
  <c r="E105" i="1"/>
  <c r="O131" i="1"/>
  <c r="F33" i="30" s="1"/>
  <c r="E33" i="30" s="1"/>
  <c r="R28" i="30"/>
  <c r="N131" i="1"/>
  <c r="E106" i="1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AF17" i="9"/>
  <c r="AG17" i="9"/>
  <c r="AH17" i="9"/>
  <c r="AI17" i="9"/>
  <c r="AJ17" i="9"/>
  <c r="AK17" i="9"/>
  <c r="AL17" i="9"/>
  <c r="AM17" i="9"/>
  <c r="AN17" i="9"/>
  <c r="H17" i="9"/>
  <c r="D36" i="1"/>
  <c r="D37" i="1" s="1"/>
  <c r="D10" i="1" s="1"/>
  <c r="I84" i="10" l="1"/>
  <c r="G166" i="10" s="1"/>
  <c r="I14" i="9"/>
  <c r="AJ14" i="9"/>
  <c r="AE14" i="9"/>
  <c r="AD14" i="9"/>
  <c r="AC14" i="9"/>
  <c r="W14" i="9"/>
  <c r="U14" i="9"/>
  <c r="P14" i="9"/>
  <c r="R14" i="9"/>
  <c r="H14" i="9"/>
  <c r="M14" i="9"/>
  <c r="L14" i="9"/>
  <c r="J14" i="9"/>
  <c r="AM14" i="9"/>
  <c r="AI14" i="9"/>
  <c r="T14" i="9"/>
  <c r="AA14" i="9"/>
  <c r="Z14" i="9"/>
  <c r="Y14" i="9"/>
  <c r="V14" i="9"/>
  <c r="S14" i="9"/>
  <c r="Q14" i="9"/>
  <c r="AB14" i="9"/>
  <c r="O14" i="9"/>
  <c r="N14" i="9"/>
  <c r="X14" i="9"/>
  <c r="K14" i="9"/>
  <c r="AN14" i="9"/>
  <c r="AL14" i="9"/>
  <c r="AK14" i="9"/>
  <c r="AH14" i="9"/>
  <c r="AG14" i="9"/>
  <c r="AF14" i="9"/>
  <c r="AA15" i="9"/>
  <c r="O15" i="9"/>
  <c r="AG15" i="9"/>
  <c r="U15" i="9"/>
  <c r="S15" i="9"/>
  <c r="AL15" i="9"/>
  <c r="T15" i="9"/>
  <c r="AK15" i="9"/>
  <c r="AF15" i="9"/>
  <c r="L15" i="9"/>
  <c r="M15" i="9"/>
  <c r="AH15" i="9"/>
  <c r="N15" i="9"/>
  <c r="AI15" i="9"/>
  <c r="V15" i="9"/>
  <c r="AD15" i="9"/>
  <c r="K15" i="9"/>
  <c r="AE15" i="9"/>
  <c r="J15" i="9"/>
  <c r="Q15" i="9"/>
  <c r="P15" i="9"/>
  <c r="X15" i="9"/>
  <c r="I15" i="9"/>
  <c r="AM15" i="9"/>
  <c r="AB15" i="9"/>
  <c r="W15" i="9"/>
  <c r="R15" i="9"/>
  <c r="Z15" i="9"/>
  <c r="Y15" i="9"/>
  <c r="AJ15" i="9"/>
  <c r="AC15" i="9"/>
  <c r="AN15" i="9"/>
  <c r="D98" i="1"/>
  <c r="D99" i="1" s="1"/>
  <c r="D100" i="1" s="1"/>
  <c r="X9" i="30"/>
  <c r="X11" i="30" s="1"/>
  <c r="F32" i="30" s="1"/>
  <c r="X17" i="30"/>
  <c r="X19" i="30" s="1"/>
  <c r="X25" i="30" s="1"/>
  <c r="M131" i="1"/>
  <c r="E107" i="1"/>
  <c r="D17" i="9"/>
  <c r="I8" i="9"/>
  <c r="J8" i="9"/>
  <c r="K8" i="9"/>
  <c r="L8" i="9"/>
  <c r="M8" i="9"/>
  <c r="N8" i="9"/>
  <c r="O8" i="9"/>
  <c r="P8" i="9"/>
  <c r="Q8" i="9"/>
  <c r="R8" i="9"/>
  <c r="S8" i="9"/>
  <c r="T8" i="9"/>
  <c r="U8" i="9"/>
  <c r="V8" i="9"/>
  <c r="W8" i="9"/>
  <c r="X8" i="9"/>
  <c r="Y8" i="9"/>
  <c r="Z8" i="9"/>
  <c r="AA8" i="9"/>
  <c r="AB8" i="9"/>
  <c r="AC8" i="9"/>
  <c r="AD8" i="9"/>
  <c r="AE8" i="9"/>
  <c r="AF8" i="9"/>
  <c r="AG8" i="9"/>
  <c r="AH8" i="9"/>
  <c r="AI8" i="9"/>
  <c r="AJ8" i="9"/>
  <c r="AK8" i="9"/>
  <c r="AL8" i="9"/>
  <c r="AM8" i="9"/>
  <c r="AN8" i="9"/>
  <c r="H8" i="9"/>
  <c r="AW138" i="22"/>
  <c r="AV138" i="22"/>
  <c r="AU138" i="22"/>
  <c r="AT138" i="22"/>
  <c r="AS138" i="22"/>
  <c r="AR138" i="22"/>
  <c r="AQ138" i="22"/>
  <c r="AP138" i="22"/>
  <c r="AO138" i="22"/>
  <c r="AN138" i="22"/>
  <c r="AM138" i="22"/>
  <c r="AL138" i="22"/>
  <c r="AK138" i="22"/>
  <c r="AJ138" i="22"/>
  <c r="AI138" i="22"/>
  <c r="AH138" i="22"/>
  <c r="AG138" i="22"/>
  <c r="AF138" i="22"/>
  <c r="AE138" i="22"/>
  <c r="AD138" i="22"/>
  <c r="AC138" i="22"/>
  <c r="AB138" i="22"/>
  <c r="AA138" i="22"/>
  <c r="Z138" i="22"/>
  <c r="Y138" i="22"/>
  <c r="X138" i="22"/>
  <c r="W138" i="22"/>
  <c r="V138" i="22"/>
  <c r="U138" i="22"/>
  <c r="T138" i="22"/>
  <c r="S138" i="22"/>
  <c r="R138" i="22"/>
  <c r="Q138" i="22"/>
  <c r="D14" i="9" l="1"/>
  <c r="D15" i="9"/>
  <c r="X26" i="30"/>
  <c r="W26" i="30"/>
  <c r="X13" i="30"/>
  <c r="X27" i="30" s="1"/>
  <c r="D12" i="1"/>
  <c r="D21" i="1" s="1"/>
  <c r="T140" i="22"/>
  <c r="U140" i="22"/>
  <c r="V140" i="22"/>
  <c r="X140" i="22"/>
  <c r="AW140" i="22"/>
  <c r="AK140" i="22"/>
  <c r="Q140" i="22"/>
  <c r="Z140" i="22"/>
  <c r="AA140" i="22"/>
  <c r="AD140" i="22"/>
  <c r="AF140" i="22"/>
  <c r="AJ140" i="22"/>
  <c r="R140" i="22"/>
  <c r="AB140" i="22"/>
  <c r="AC140" i="22"/>
  <c r="AL140" i="22"/>
  <c r="AN140" i="22"/>
  <c r="AH140" i="22"/>
  <c r="AI140" i="22"/>
  <c r="AT140" i="22"/>
  <c r="AV140" i="22"/>
  <c r="AQ140" i="22"/>
  <c r="W140" i="22"/>
  <c r="AE140" i="22"/>
  <c r="Y140" i="22"/>
  <c r="AP140" i="22"/>
  <c r="AR140" i="22"/>
  <c r="AM140" i="22"/>
  <c r="AG140" i="22"/>
  <c r="S140" i="22"/>
  <c r="AS140" i="22"/>
  <c r="AU140" i="22"/>
  <c r="AO140" i="22"/>
  <c r="D8" i="9"/>
  <c r="G6" i="1" l="1"/>
  <c r="E20" i="1"/>
  <c r="E19" i="1"/>
  <c r="W14" i="30"/>
  <c r="X14" i="30"/>
  <c r="O10" i="9"/>
  <c r="AI10" i="9"/>
  <c r="I10" i="9"/>
  <c r="AF10" i="9"/>
  <c r="N10" i="9"/>
  <c r="S10" i="9"/>
  <c r="AK10" i="9"/>
  <c r="M10" i="9"/>
  <c r="AH10" i="9"/>
  <c r="AM10" i="9"/>
  <c r="AB10" i="9"/>
  <c r="T10" i="9"/>
  <c r="P10" i="9"/>
  <c r="X10" i="9"/>
  <c r="H10" i="9"/>
  <c r="AL10" i="9"/>
  <c r="AE10" i="9"/>
  <c r="U10" i="9"/>
  <c r="L10" i="9"/>
  <c r="V10" i="9"/>
  <c r="R10" i="9"/>
  <c r="K10" i="9"/>
  <c r="J10" i="9"/>
  <c r="AG10" i="9"/>
  <c r="AA10" i="9"/>
  <c r="AJ10" i="9"/>
  <c r="AN10" i="9"/>
  <c r="W10" i="9"/>
  <c r="AC10" i="9"/>
  <c r="Y10" i="9"/>
  <c r="Z10" i="9"/>
  <c r="AD10" i="9"/>
  <c r="Q10" i="9"/>
  <c r="G9" i="5" l="1"/>
  <c r="F30" i="12"/>
  <c r="J11" i="30"/>
  <c r="J10" i="30"/>
  <c r="L10" i="30"/>
  <c r="J9" i="30"/>
  <c r="L9" i="30"/>
  <c r="L11" i="30"/>
  <c r="J8" i="30"/>
  <c r="L8" i="30"/>
  <c r="D10" i="9"/>
  <c r="Z6" i="1"/>
  <c r="AH6" i="1"/>
  <c r="U6" i="1"/>
  <c r="AI6" i="1"/>
  <c r="AA6" i="1"/>
  <c r="K6" i="1"/>
  <c r="W6" i="1"/>
  <c r="E16" i="1"/>
  <c r="AJ6" i="1"/>
  <c r="T6" i="1"/>
  <c r="X6" i="1"/>
  <c r="AG6" i="1"/>
  <c r="L6" i="1"/>
  <c r="AB6" i="1"/>
  <c r="H6" i="1"/>
  <c r="AK6" i="1"/>
  <c r="E18" i="1"/>
  <c r="N6" i="1"/>
  <c r="P6" i="1"/>
  <c r="Q6" i="1"/>
  <c r="R6" i="1"/>
  <c r="M6" i="1"/>
  <c r="AM6" i="1"/>
  <c r="S6" i="1"/>
  <c r="E12" i="1"/>
  <c r="AL6" i="1"/>
  <c r="AE6" i="1"/>
  <c r="E21" i="1"/>
  <c r="I6" i="1"/>
  <c r="E17" i="1"/>
  <c r="V6" i="1"/>
  <c r="AD6" i="1"/>
  <c r="E11" i="1"/>
  <c r="AF6" i="1"/>
  <c r="E14" i="1"/>
  <c r="E10" i="1"/>
  <c r="J6" i="1"/>
  <c r="E15" i="1"/>
  <c r="E13" i="1"/>
  <c r="Y6" i="1"/>
  <c r="AC6" i="1"/>
  <c r="O6" i="1"/>
  <c r="F39" i="12" l="1"/>
  <c r="D25" i="12" s="1"/>
  <c r="G22" i="5" s="1"/>
  <c r="F43" i="12"/>
  <c r="D23" i="12" s="1"/>
  <c r="F47" i="12"/>
  <c r="D20" i="12" s="1"/>
  <c r="G17" i="5" s="1"/>
  <c r="J114" i="12"/>
  <c r="F32" i="12"/>
  <c r="D19" i="12" s="1"/>
  <c r="K9" i="30"/>
  <c r="J12" i="30"/>
  <c r="K12" i="30" s="1"/>
  <c r="K8" i="30"/>
  <c r="K10" i="30"/>
  <c r="K11" i="30"/>
  <c r="K7" i="9"/>
  <c r="J6" i="34" s="1"/>
  <c r="J9" i="5"/>
  <c r="L7" i="11"/>
  <c r="J7" i="9"/>
  <c r="I6" i="34" s="1"/>
  <c r="E17" i="34" s="1"/>
  <c r="I9" i="5"/>
  <c r="K7" i="11"/>
  <c r="N7" i="9"/>
  <c r="M6" i="34" s="1"/>
  <c r="M9" i="5"/>
  <c r="O7" i="11"/>
  <c r="AC7" i="9"/>
  <c r="AB6" i="34" s="1"/>
  <c r="AD7" i="11"/>
  <c r="AB9" i="5"/>
  <c r="L7" i="9"/>
  <c r="K6" i="34" s="1"/>
  <c r="K9" i="5"/>
  <c r="M7" i="11"/>
  <c r="S7" i="9"/>
  <c r="R6" i="34" s="1"/>
  <c r="T7" i="11"/>
  <c r="R9" i="5"/>
  <c r="M7" i="9"/>
  <c r="L6" i="34" s="1"/>
  <c r="N7" i="11"/>
  <c r="L9" i="5"/>
  <c r="I7" i="11"/>
  <c r="AN6" i="1"/>
  <c r="D22" i="1" s="1"/>
  <c r="H7" i="9"/>
  <c r="D28" i="28"/>
  <c r="P7" i="9"/>
  <c r="O6" i="34" s="1"/>
  <c r="Q7" i="11"/>
  <c r="O9" i="5"/>
  <c r="AG7" i="9"/>
  <c r="AF6" i="34" s="1"/>
  <c r="AH7" i="11"/>
  <c r="AF9" i="5"/>
  <c r="AF7" i="9"/>
  <c r="AE6" i="34" s="1"/>
  <c r="AG7" i="11"/>
  <c r="AE9" i="5"/>
  <c r="Q7" i="9"/>
  <c r="P6" i="34" s="1"/>
  <c r="P9" i="5"/>
  <c r="R7" i="11"/>
  <c r="Y7" i="9"/>
  <c r="X6" i="34" s="1"/>
  <c r="H17" i="34" s="1"/>
  <c r="X9" i="5"/>
  <c r="Z7" i="11"/>
  <c r="AJ7" i="9"/>
  <c r="AI6" i="34" s="1"/>
  <c r="AK7" i="11"/>
  <c r="AI9" i="5"/>
  <c r="AB7" i="9"/>
  <c r="AA6" i="34" s="1"/>
  <c r="AC7" i="11"/>
  <c r="AA9" i="5"/>
  <c r="AD7" i="9"/>
  <c r="AC6" i="34" s="1"/>
  <c r="I17" i="34" s="1"/>
  <c r="AE7" i="11"/>
  <c r="AC9" i="5"/>
  <c r="AM7" i="9"/>
  <c r="AL6" i="34" s="1"/>
  <c r="AL9" i="5"/>
  <c r="AN7" i="11"/>
  <c r="O7" i="9"/>
  <c r="N6" i="34" s="1"/>
  <c r="F17" i="34" s="1"/>
  <c r="N9" i="5"/>
  <c r="P7" i="11"/>
  <c r="U7" i="9"/>
  <c r="T6" i="34" s="1"/>
  <c r="T9" i="5"/>
  <c r="V7" i="11"/>
  <c r="V7" i="9"/>
  <c r="U6" i="34" s="1"/>
  <c r="W7" i="11"/>
  <c r="U9" i="5"/>
  <c r="AH7" i="9"/>
  <c r="AG6" i="34" s="1"/>
  <c r="AG9" i="5"/>
  <c r="AI7" i="11"/>
  <c r="Z7" i="9"/>
  <c r="Y6" i="34" s="1"/>
  <c r="AA7" i="11"/>
  <c r="Y9" i="5"/>
  <c r="AE7" i="9"/>
  <c r="AD6" i="34" s="1"/>
  <c r="AD9" i="5"/>
  <c r="AF7" i="11"/>
  <c r="AK7" i="9"/>
  <c r="AJ6" i="34" s="1"/>
  <c r="AL7" i="11"/>
  <c r="AJ9" i="5"/>
  <c r="AI7" i="9"/>
  <c r="AH6" i="34" s="1"/>
  <c r="J17" i="34" s="1"/>
  <c r="AH9" i="5"/>
  <c r="AJ7" i="11"/>
  <c r="W7" i="9"/>
  <c r="V6" i="34" s="1"/>
  <c r="X7" i="11"/>
  <c r="V9" i="5"/>
  <c r="T7" i="9"/>
  <c r="S6" i="34" s="1"/>
  <c r="G17" i="34" s="1"/>
  <c r="S9" i="5"/>
  <c r="U7" i="11"/>
  <c r="AL7" i="9"/>
  <c r="AK6" i="34" s="1"/>
  <c r="AK9" i="5"/>
  <c r="AM7" i="11"/>
  <c r="AA7" i="9"/>
  <c r="Z6" i="34" s="1"/>
  <c r="AB7" i="11"/>
  <c r="Z9" i="5"/>
  <c r="R7" i="9"/>
  <c r="Q6" i="34" s="1"/>
  <c r="Q9" i="5"/>
  <c r="S7" i="11"/>
  <c r="AN7" i="9"/>
  <c r="AO7" i="11"/>
  <c r="AM9" i="5"/>
  <c r="I7" i="9"/>
  <c r="J7" i="11"/>
  <c r="H9" i="5"/>
  <c r="X7" i="9"/>
  <c r="W6" i="34" s="1"/>
  <c r="W9" i="5"/>
  <c r="Y7" i="11"/>
  <c r="J24" i="9" l="1"/>
  <c r="H8" i="32" s="1"/>
  <c r="H12" i="32" s="1"/>
  <c r="H6" i="34"/>
  <c r="AQ20" i="20"/>
  <c r="AM6" i="34"/>
  <c r="K17" i="34" s="1"/>
  <c r="I24" i="9"/>
  <c r="G6" i="34"/>
  <c r="I39" i="9"/>
  <c r="G8" i="32"/>
  <c r="G12" i="32" s="1"/>
  <c r="R6" i="20"/>
  <c r="AA6" i="20"/>
  <c r="AC6" i="20"/>
  <c r="U6" i="20"/>
  <c r="AI6" i="20"/>
  <c r="V6" i="20"/>
  <c r="AG6" i="20"/>
  <c r="N6" i="20"/>
  <c r="AN6" i="20"/>
  <c r="X6" i="20"/>
  <c r="AD6" i="20"/>
  <c r="Q6" i="20"/>
  <c r="Y6" i="20"/>
  <c r="P6" i="20"/>
  <c r="L6" i="20"/>
  <c r="W6" i="20"/>
  <c r="Z6" i="20"/>
  <c r="AK6" i="20"/>
  <c r="AB6" i="20"/>
  <c r="AJ6" i="20"/>
  <c r="AE6" i="20"/>
  <c r="O6" i="20"/>
  <c r="AQ6" i="20"/>
  <c r="AH6" i="20"/>
  <c r="T6" i="20"/>
  <c r="S6" i="20"/>
  <c r="AF6" i="20"/>
  <c r="M6" i="20"/>
  <c r="AO6" i="20"/>
  <c r="AL6" i="20"/>
  <c r="AP6" i="20"/>
  <c r="AM6" i="20"/>
  <c r="L12" i="30"/>
  <c r="AB24" i="9"/>
  <c r="AD20" i="20"/>
  <c r="X9" i="11"/>
  <c r="X14" i="11"/>
  <c r="X10" i="11"/>
  <c r="X11" i="11"/>
  <c r="X12" i="11"/>
  <c r="AF10" i="11"/>
  <c r="AF14" i="11"/>
  <c r="AF11" i="11"/>
  <c r="AF12" i="11"/>
  <c r="AF9" i="11"/>
  <c r="AI24" i="9"/>
  <c r="AK20" i="20"/>
  <c r="Z24" i="9"/>
  <c r="AB20" i="20"/>
  <c r="AH10" i="11"/>
  <c r="AH14" i="11"/>
  <c r="AH9" i="11"/>
  <c r="AH11" i="11"/>
  <c r="AH12" i="11"/>
  <c r="I14" i="11"/>
  <c r="I12" i="11"/>
  <c r="I9" i="11"/>
  <c r="I11" i="11"/>
  <c r="I10" i="11"/>
  <c r="M12" i="11"/>
  <c r="M14" i="11"/>
  <c r="M10" i="11"/>
  <c r="M9" i="11"/>
  <c r="M11" i="11"/>
  <c r="O24" i="9"/>
  <c r="Q20" i="20"/>
  <c r="AC24" i="9"/>
  <c r="AE20" i="20"/>
  <c r="S24" i="9"/>
  <c r="U20" i="20"/>
  <c r="AA24" i="9"/>
  <c r="AC20" i="20"/>
  <c r="J10" i="11"/>
  <c r="J11" i="11"/>
  <c r="J12" i="11"/>
  <c r="J9" i="11"/>
  <c r="J14" i="11"/>
  <c r="V24" i="9"/>
  <c r="X20" i="20"/>
  <c r="AE12" i="11"/>
  <c r="AE14" i="11"/>
  <c r="AE11" i="11"/>
  <c r="AE10" i="11"/>
  <c r="AE9" i="11"/>
  <c r="AO12" i="11"/>
  <c r="AO10" i="11"/>
  <c r="AO9" i="11"/>
  <c r="AO14" i="11"/>
  <c r="AO11" i="11"/>
  <c r="AM10" i="11"/>
  <c r="AM11" i="11"/>
  <c r="AM12" i="11"/>
  <c r="AM14" i="11"/>
  <c r="AM9" i="11"/>
  <c r="X24" i="9"/>
  <c r="Z20" i="20"/>
  <c r="P24" i="9"/>
  <c r="R20" i="20"/>
  <c r="AC9" i="11"/>
  <c r="AC11" i="11"/>
  <c r="AC14" i="11"/>
  <c r="AC10" i="11"/>
  <c r="AC12" i="11"/>
  <c r="R9" i="11"/>
  <c r="R14" i="11"/>
  <c r="R10" i="11"/>
  <c r="R11" i="11"/>
  <c r="R12" i="11"/>
  <c r="AH24" i="9"/>
  <c r="AJ20" i="20"/>
  <c r="K6" i="20"/>
  <c r="AN9" i="5"/>
  <c r="D39" i="5"/>
  <c r="K10" i="11"/>
  <c r="K12" i="11"/>
  <c r="K14" i="11"/>
  <c r="K9" i="11"/>
  <c r="K11" i="11"/>
  <c r="AJ9" i="11"/>
  <c r="AJ12" i="11"/>
  <c r="AJ11" i="11"/>
  <c r="AJ10" i="11"/>
  <c r="AJ14" i="11"/>
  <c r="AF24" i="9"/>
  <c r="AH20" i="20"/>
  <c r="F38" i="12"/>
  <c r="D17" i="12" s="1"/>
  <c r="F41" i="12"/>
  <c r="D24" i="12" s="1"/>
  <c r="F42" i="12"/>
  <c r="D15" i="12" s="1"/>
  <c r="F34" i="12"/>
  <c r="F36" i="12"/>
  <c r="F35" i="12"/>
  <c r="D22" i="12" s="1"/>
  <c r="E22" i="12" s="1"/>
  <c r="F40" i="12"/>
  <c r="D18" i="12" s="1"/>
  <c r="F45" i="12"/>
  <c r="F37" i="12"/>
  <c r="F33" i="12"/>
  <c r="F44" i="12"/>
  <c r="F46" i="12"/>
  <c r="F31" i="12"/>
  <c r="S11" i="11"/>
  <c r="S10" i="11"/>
  <c r="S9" i="11"/>
  <c r="S14" i="11"/>
  <c r="S12" i="11"/>
  <c r="AM24" i="9"/>
  <c r="AO20" i="20"/>
  <c r="W24" i="9"/>
  <c r="Y20" i="20"/>
  <c r="R24" i="9"/>
  <c r="T20" i="20"/>
  <c r="Q12" i="11"/>
  <c r="Q11" i="11"/>
  <c r="Q14" i="11"/>
  <c r="Q10" i="11"/>
  <c r="Q9" i="11"/>
  <c r="N12" i="11"/>
  <c r="N14" i="11"/>
  <c r="N10" i="11"/>
  <c r="N9" i="11"/>
  <c r="N11" i="11"/>
  <c r="Y24" i="9"/>
  <c r="AA20" i="20"/>
  <c r="U12" i="11"/>
  <c r="U14" i="11"/>
  <c r="U10" i="11"/>
  <c r="U9" i="11"/>
  <c r="U11" i="11"/>
  <c r="AJ24" i="9"/>
  <c r="AL20" i="20"/>
  <c r="AA14" i="11"/>
  <c r="AA10" i="11"/>
  <c r="AA11" i="11"/>
  <c r="AA12" i="11"/>
  <c r="AA9" i="11"/>
  <c r="V12" i="11"/>
  <c r="V10" i="11"/>
  <c r="V11" i="11"/>
  <c r="V14" i="11"/>
  <c r="V9" i="11"/>
  <c r="AN24" i="9"/>
  <c r="AP20" i="20"/>
  <c r="AK10" i="11"/>
  <c r="AK11" i="11"/>
  <c r="AK12" i="11"/>
  <c r="AK14" i="11"/>
  <c r="AK9" i="11"/>
  <c r="Q24" i="9"/>
  <c r="S20" i="20"/>
  <c r="N24" i="9"/>
  <c r="P20" i="20"/>
  <c r="AD10" i="11"/>
  <c r="AD11" i="11"/>
  <c r="AD12" i="11"/>
  <c r="AD9" i="11"/>
  <c r="AD14" i="11"/>
  <c r="K24" i="9"/>
  <c r="M20" i="20"/>
  <c r="AN11" i="11"/>
  <c r="AN10" i="11"/>
  <c r="AN12" i="11"/>
  <c r="AN9" i="11"/>
  <c r="AN14" i="11"/>
  <c r="M24" i="9"/>
  <c r="O20" i="20"/>
  <c r="AK24" i="9"/>
  <c r="AM20" i="20"/>
  <c r="AG9" i="11"/>
  <c r="AG14" i="11"/>
  <c r="AG12" i="11"/>
  <c r="AG10" i="11"/>
  <c r="AG11" i="11"/>
  <c r="AD24" i="9"/>
  <c r="AF20" i="20"/>
  <c r="L10" i="11"/>
  <c r="L9" i="11"/>
  <c r="L11" i="11"/>
  <c r="L14" i="11"/>
  <c r="L12" i="11"/>
  <c r="W9" i="11"/>
  <c r="W11" i="11"/>
  <c r="W10" i="11"/>
  <c r="W12" i="11"/>
  <c r="W14" i="11"/>
  <c r="U24" i="9"/>
  <c r="W20" i="20"/>
  <c r="AL10" i="11"/>
  <c r="AL14" i="11"/>
  <c r="AL9" i="11"/>
  <c r="AL12" i="11"/>
  <c r="AL11" i="11"/>
  <c r="AI10" i="11"/>
  <c r="AI11" i="11"/>
  <c r="AI14" i="11"/>
  <c r="AI9" i="11"/>
  <c r="AI12" i="11"/>
  <c r="Z10" i="11"/>
  <c r="Z9" i="11"/>
  <c r="Z14" i="11"/>
  <c r="Z11" i="11"/>
  <c r="Z12" i="11"/>
  <c r="AG24" i="9"/>
  <c r="AI20" i="20"/>
  <c r="K20" i="20"/>
  <c r="D7" i="9"/>
  <c r="T9" i="11"/>
  <c r="T11" i="11"/>
  <c r="T12" i="11"/>
  <c r="T10" i="11"/>
  <c r="T14" i="11"/>
  <c r="O14" i="11"/>
  <c r="O11" i="11"/>
  <c r="O12" i="11"/>
  <c r="O10" i="11"/>
  <c r="O9" i="11"/>
  <c r="Y12" i="11"/>
  <c r="Y11" i="11"/>
  <c r="Y14" i="11"/>
  <c r="Y9" i="11"/>
  <c r="Y10" i="11"/>
  <c r="M8" i="20"/>
  <c r="L20" i="20"/>
  <c r="AB10" i="11"/>
  <c r="AB9" i="11"/>
  <c r="AB14" i="11"/>
  <c r="AB12" i="11"/>
  <c r="AB11" i="11"/>
  <c r="AL24" i="9"/>
  <c r="AN20" i="20"/>
  <c r="P14" i="11"/>
  <c r="P9" i="11"/>
  <c r="P10" i="11"/>
  <c r="P11" i="11"/>
  <c r="P12" i="11"/>
  <c r="AE24" i="9"/>
  <c r="AG20" i="20"/>
  <c r="T24" i="9"/>
  <c r="V20" i="20"/>
  <c r="L24" i="9"/>
  <c r="N20" i="20"/>
  <c r="F6" i="20" l="1"/>
  <c r="E36" i="20" s="1"/>
  <c r="F20" i="20"/>
  <c r="G35" i="20" s="1"/>
  <c r="G21" i="28"/>
  <c r="V8" i="20"/>
  <c r="Q8" i="32"/>
  <c r="Q12" i="32" s="1"/>
  <c r="AO8" i="20"/>
  <c r="AJ8" i="32"/>
  <c r="AJ12" i="32" s="1"/>
  <c r="P8" i="20"/>
  <c r="K8" i="32"/>
  <c r="K12" i="32" s="1"/>
  <c r="AK8" i="20"/>
  <c r="AF8" i="32"/>
  <c r="AF12" i="32" s="1"/>
  <c r="AJ8" i="20"/>
  <c r="AE8" i="32"/>
  <c r="AE12" i="32" s="1"/>
  <c r="AP8" i="20"/>
  <c r="AK8" i="32"/>
  <c r="AK12" i="32" s="1"/>
  <c r="AI8" i="20"/>
  <c r="AD8" i="32"/>
  <c r="AD12" i="32" s="1"/>
  <c r="AL8" i="20"/>
  <c r="AG8" i="32"/>
  <c r="AG12" i="32" s="1"/>
  <c r="AH8" i="20"/>
  <c r="AC8" i="32"/>
  <c r="AC12" i="32" s="1"/>
  <c r="AB8" i="20"/>
  <c r="W8" i="32"/>
  <c r="W12" i="32" s="1"/>
  <c r="X8" i="20"/>
  <c r="S8" i="32"/>
  <c r="S12" i="32" s="1"/>
  <c r="AM8" i="20"/>
  <c r="AH8" i="32"/>
  <c r="AH12" i="32" s="1"/>
  <c r="AF8" i="20"/>
  <c r="AA8" i="32"/>
  <c r="AA12" i="32" s="1"/>
  <c r="AE8" i="20"/>
  <c r="Z8" i="32"/>
  <c r="Z12" i="32" s="1"/>
  <c r="T8" i="20"/>
  <c r="O8" i="32"/>
  <c r="O12" i="32" s="1"/>
  <c r="O8" i="20"/>
  <c r="J8" i="32"/>
  <c r="J12" i="32" s="1"/>
  <c r="S8" i="20"/>
  <c r="N8" i="32"/>
  <c r="N12" i="32" s="1"/>
  <c r="R8" i="20"/>
  <c r="M8" i="32"/>
  <c r="M12" i="32" s="1"/>
  <c r="Z8" i="20"/>
  <c r="U8" i="32"/>
  <c r="U12" i="32" s="1"/>
  <c r="AN8" i="20"/>
  <c r="AI8" i="32"/>
  <c r="AI12" i="32" s="1"/>
  <c r="Q8" i="20"/>
  <c r="L8" i="32"/>
  <c r="L12" i="32" s="1"/>
  <c r="U8" i="20"/>
  <c r="P8" i="32"/>
  <c r="P12" i="32" s="1"/>
  <c r="AC8" i="20"/>
  <c r="X8" i="32"/>
  <c r="X12" i="32" s="1"/>
  <c r="Y8" i="20"/>
  <c r="T8" i="32"/>
  <c r="T12" i="32" s="1"/>
  <c r="W8" i="20"/>
  <c r="R8" i="32"/>
  <c r="R12" i="32" s="1"/>
  <c r="AG8" i="20"/>
  <c r="AB8" i="32"/>
  <c r="AB12" i="32" s="1"/>
  <c r="N8" i="20"/>
  <c r="I8" i="32"/>
  <c r="I12" i="32" s="1"/>
  <c r="AQ8" i="20"/>
  <c r="AL8" i="32"/>
  <c r="AL12" i="32" s="1"/>
  <c r="AA8" i="20"/>
  <c r="V8" i="32"/>
  <c r="V12" i="32" s="1"/>
  <c r="AD8" i="20"/>
  <c r="Y8" i="32"/>
  <c r="Y12" i="32" s="1"/>
  <c r="O18" i="5"/>
  <c r="X18" i="5"/>
  <c r="J18" i="5"/>
  <c r="AB18" i="5"/>
  <c r="N18" i="5"/>
  <c r="AF18" i="5"/>
  <c r="R18" i="5"/>
  <c r="V18" i="5"/>
  <c r="Z18" i="5"/>
  <c r="AM18" i="5"/>
  <c r="U18" i="5"/>
  <c r="Y18" i="5"/>
  <c r="S18" i="5"/>
  <c r="AA18" i="5"/>
  <c r="AD18" i="5"/>
  <c r="AC18" i="5"/>
  <c r="W18" i="5"/>
  <c r="AE18" i="5"/>
  <c r="AJ18" i="5"/>
  <c r="I18" i="5"/>
  <c r="Q18" i="5"/>
  <c r="AG18" i="5"/>
  <c r="K18" i="5"/>
  <c r="G18" i="5"/>
  <c r="AK18" i="5"/>
  <c r="AI18" i="5"/>
  <c r="AH18" i="5"/>
  <c r="AL18" i="5"/>
  <c r="M18" i="5"/>
  <c r="H18" i="5"/>
  <c r="L18" i="5"/>
  <c r="P18" i="5"/>
  <c r="T18" i="5"/>
  <c r="Z8" i="11"/>
  <c r="Y19" i="9" s="1"/>
  <c r="Q8" i="11"/>
  <c r="P19" i="9" s="1"/>
  <c r="V8" i="11"/>
  <c r="U19" i="9" s="1"/>
  <c r="AD8" i="11"/>
  <c r="AC19" i="9" s="1"/>
  <c r="AK8" i="11"/>
  <c r="AJ19" i="9" s="1"/>
  <c r="Y8" i="11"/>
  <c r="X19" i="9" s="1"/>
  <c r="T8" i="11"/>
  <c r="S19" i="9" s="1"/>
  <c r="I8" i="11"/>
  <c r="H19" i="9" s="1"/>
  <c r="M8" i="11"/>
  <c r="L19" i="9" s="1"/>
  <c r="AM8" i="11"/>
  <c r="AL19" i="9" s="1"/>
  <c r="E19" i="12"/>
  <c r="G16" i="5"/>
  <c r="H16" i="5" s="1"/>
  <c r="R17" i="11"/>
  <c r="R15" i="11"/>
  <c r="R16" i="11"/>
  <c r="AE16" i="11"/>
  <c r="AE15" i="11"/>
  <c r="AE17" i="11"/>
  <c r="AL8" i="11"/>
  <c r="AK19" i="9" s="1"/>
  <c r="U15" i="11"/>
  <c r="U16" i="11"/>
  <c r="U17" i="11"/>
  <c r="E18" i="12"/>
  <c r="G15" i="5"/>
  <c r="J115" i="12"/>
  <c r="J117" i="12"/>
  <c r="D107" i="12" s="1"/>
  <c r="J116" i="12"/>
  <c r="J118" i="12"/>
  <c r="R8" i="11"/>
  <c r="Q19" i="9" s="1"/>
  <c r="AO17" i="11"/>
  <c r="AO16" i="11"/>
  <c r="AO15" i="11"/>
  <c r="O16" i="11"/>
  <c r="O15" i="11"/>
  <c r="O17" i="11"/>
  <c r="E25" i="12"/>
  <c r="E24" i="12"/>
  <c r="G21" i="5"/>
  <c r="H21" i="5" s="1"/>
  <c r="Q21" i="5" s="1"/>
  <c r="AJ8" i="11"/>
  <c r="AI19" i="9" s="1"/>
  <c r="AO8" i="11"/>
  <c r="AN19" i="9" s="1"/>
  <c r="I17" i="11"/>
  <c r="I16" i="11"/>
  <c r="I15" i="11"/>
  <c r="T17" i="11"/>
  <c r="T16" i="11"/>
  <c r="T15" i="11"/>
  <c r="AA17" i="11"/>
  <c r="AA16" i="11"/>
  <c r="AA15" i="11"/>
  <c r="G20" i="5"/>
  <c r="H20" i="5" s="1"/>
  <c r="E23" i="12"/>
  <c r="AB17" i="11"/>
  <c r="AB16" i="11"/>
  <c r="AB15" i="11"/>
  <c r="AI15" i="11"/>
  <c r="AI16" i="11"/>
  <c r="AI17" i="11"/>
  <c r="L17" i="11"/>
  <c r="L16" i="11"/>
  <c r="L15" i="11"/>
  <c r="AN8" i="11"/>
  <c r="AM19" i="9" s="1"/>
  <c r="AK16" i="11"/>
  <c r="AK15" i="11"/>
  <c r="AK17" i="11"/>
  <c r="Q17" i="11"/>
  <c r="Q16" i="11"/>
  <c r="Q15" i="11"/>
  <c r="E20" i="12"/>
  <c r="K8" i="11"/>
  <c r="J19" i="9" s="1"/>
  <c r="AC15" i="11"/>
  <c r="AC16" i="11"/>
  <c r="AC17" i="11"/>
  <c r="AM16" i="11"/>
  <c r="AM15" i="11"/>
  <c r="AM17" i="11"/>
  <c r="J17" i="11"/>
  <c r="J15" i="11"/>
  <c r="J16" i="11"/>
  <c r="M17" i="11"/>
  <c r="M16" i="11"/>
  <c r="M15" i="11"/>
  <c r="AF8" i="11"/>
  <c r="AE19" i="9" s="1"/>
  <c r="X17" i="11"/>
  <c r="X16" i="11"/>
  <c r="X15" i="11"/>
  <c r="N16" i="11"/>
  <c r="N15" i="11"/>
  <c r="N17" i="11"/>
  <c r="V16" i="11"/>
  <c r="V17" i="11"/>
  <c r="V15" i="11"/>
  <c r="E17" i="12"/>
  <c r="G14" i="5"/>
  <c r="H14" i="5" s="1"/>
  <c r="W14" i="5" s="1"/>
  <c r="AB8" i="11"/>
  <c r="AA19" i="9" s="1"/>
  <c r="AG17" i="11"/>
  <c r="AG16" i="11"/>
  <c r="AG15" i="11"/>
  <c r="K15" i="11"/>
  <c r="K16" i="11"/>
  <c r="K17" i="11"/>
  <c r="AE8" i="11"/>
  <c r="AD19" i="9" s="1"/>
  <c r="J8" i="11"/>
  <c r="I19" i="9" s="1"/>
  <c r="AH8" i="11"/>
  <c r="AG19" i="9" s="1"/>
  <c r="X8" i="11"/>
  <c r="W19" i="9" s="1"/>
  <c r="D24" i="9"/>
  <c r="L8" i="20"/>
  <c r="AL15" i="11"/>
  <c r="AL16" i="11"/>
  <c r="AL17" i="11"/>
  <c r="W8" i="11"/>
  <c r="V19" i="9" s="1"/>
  <c r="AD17" i="11"/>
  <c r="AD15" i="11"/>
  <c r="AD16" i="11"/>
  <c r="Y15" i="11"/>
  <c r="Y17" i="11"/>
  <c r="Y16" i="11"/>
  <c r="AI8" i="11"/>
  <c r="AH19" i="9" s="1"/>
  <c r="AN17" i="11"/>
  <c r="AN16" i="11"/>
  <c r="AN15" i="11"/>
  <c r="P8" i="11"/>
  <c r="O19" i="9" s="1"/>
  <c r="O8" i="11"/>
  <c r="N19" i="9" s="1"/>
  <c r="W17" i="11"/>
  <c r="W16" i="11"/>
  <c r="W15" i="11"/>
  <c r="L8" i="11"/>
  <c r="K19" i="9" s="1"/>
  <c r="AG8" i="11"/>
  <c r="AF19" i="9" s="1"/>
  <c r="N8" i="11"/>
  <c r="M19" i="9" s="1"/>
  <c r="S16" i="11"/>
  <c r="S15" i="11"/>
  <c r="S17" i="11"/>
  <c r="AJ16" i="11"/>
  <c r="AJ17" i="11"/>
  <c r="AJ15" i="11"/>
  <c r="AC8" i="11"/>
  <c r="AB19" i="9" s="1"/>
  <c r="AH17" i="11"/>
  <c r="AH15" i="11"/>
  <c r="AH16" i="11"/>
  <c r="P17" i="11"/>
  <c r="P15" i="11"/>
  <c r="P16" i="11"/>
  <c r="Z15" i="11"/>
  <c r="Z17" i="11"/>
  <c r="Z16" i="11"/>
  <c r="AA8" i="11"/>
  <c r="Z19" i="9" s="1"/>
  <c r="U8" i="11"/>
  <c r="T19" i="9" s="1"/>
  <c r="S8" i="11"/>
  <c r="R19" i="9" s="1"/>
  <c r="E15" i="12"/>
  <c r="G11" i="5"/>
  <c r="AF16" i="11"/>
  <c r="AF17" i="11"/>
  <c r="AF15" i="11"/>
  <c r="F8" i="20" l="1"/>
  <c r="G36" i="20"/>
  <c r="M18" i="9"/>
  <c r="W18" i="9"/>
  <c r="AN18" i="9"/>
  <c r="H18" i="9"/>
  <c r="S18" i="9"/>
  <c r="X18" i="9"/>
  <c r="AB18" i="9"/>
  <c r="AG18" i="9"/>
  <c r="K18" i="9"/>
  <c r="V18" i="9"/>
  <c r="AJ18" i="9"/>
  <c r="AA18" i="9"/>
  <c r="AH18" i="9"/>
  <c r="AD18" i="9"/>
  <c r="J18" i="9"/>
  <c r="AM18" i="9"/>
  <c r="Q18" i="9"/>
  <c r="AC18" i="9"/>
  <c r="AF18" i="9"/>
  <c r="AI18" i="9"/>
  <c r="R18" i="9"/>
  <c r="AK18" i="9"/>
  <c r="U18" i="9"/>
  <c r="AE18" i="9"/>
  <c r="AL18" i="9"/>
  <c r="P18" i="9"/>
  <c r="T18" i="9"/>
  <c r="L18" i="9"/>
  <c r="Y18" i="9"/>
  <c r="D15" i="32"/>
  <c r="G22" i="28"/>
  <c r="H17" i="5"/>
  <c r="AD17" i="5" s="1"/>
  <c r="D47" i="5"/>
  <c r="AN18" i="5"/>
  <c r="H11" i="5"/>
  <c r="AB11" i="5" s="1"/>
  <c r="Y21" i="5"/>
  <c r="AE21" i="5"/>
  <c r="S21" i="5"/>
  <c r="L21" i="5"/>
  <c r="AK21" i="5"/>
  <c r="Z21" i="5"/>
  <c r="AG21" i="5"/>
  <c r="N21" i="5"/>
  <c r="X21" i="5"/>
  <c r="AA21" i="5"/>
  <c r="M21" i="5"/>
  <c r="AJ21" i="5"/>
  <c r="AL21" i="5"/>
  <c r="J21" i="5"/>
  <c r="AD21" i="5"/>
  <c r="P21" i="5"/>
  <c r="AM21" i="5"/>
  <c r="O21" i="5"/>
  <c r="W21" i="5"/>
  <c r="AC21" i="5"/>
  <c r="K21" i="5"/>
  <c r="I21" i="5"/>
  <c r="AB21" i="5"/>
  <c r="AI21" i="5"/>
  <c r="AF21" i="5"/>
  <c r="T21" i="5"/>
  <c r="R21" i="5"/>
  <c r="U21" i="5"/>
  <c r="AH21" i="5"/>
  <c r="V21" i="5"/>
  <c r="Q13" i="11"/>
  <c r="P35" i="9" s="1"/>
  <c r="P73" i="9" s="1"/>
  <c r="O40" i="34" s="1"/>
  <c r="AE13" i="11"/>
  <c r="AD35" i="9" s="1"/>
  <c r="AD73" i="9" s="1"/>
  <c r="AC40" i="34" s="1"/>
  <c r="I54" i="34" s="1"/>
  <c r="W13" i="11"/>
  <c r="V35" i="9" s="1"/>
  <c r="V73" i="9" s="1"/>
  <c r="U40" i="34" s="1"/>
  <c r="X13" i="11"/>
  <c r="W35" i="9" s="1"/>
  <c r="W73" i="9" s="1"/>
  <c r="V40" i="34" s="1"/>
  <c r="J13" i="11"/>
  <c r="I35" i="9" s="1"/>
  <c r="I73" i="9" s="1"/>
  <c r="H40" i="34" s="1"/>
  <c r="AB13" i="11"/>
  <c r="AA35" i="9" s="1"/>
  <c r="AA73" i="9" s="1"/>
  <c r="Z40" i="34" s="1"/>
  <c r="V13" i="11"/>
  <c r="U35" i="9" s="1"/>
  <c r="U73" i="9" s="1"/>
  <c r="T40" i="34" s="1"/>
  <c r="L13" i="11"/>
  <c r="K35" i="9" s="1"/>
  <c r="K73" i="9" s="1"/>
  <c r="J40" i="34" s="1"/>
  <c r="AH14" i="5"/>
  <c r="AD14" i="5"/>
  <c r="AB14" i="5"/>
  <c r="AL14" i="5"/>
  <c r="AD13" i="11"/>
  <c r="AC35" i="9" s="1"/>
  <c r="AF15" i="20" s="1"/>
  <c r="AO13" i="11"/>
  <c r="AN35" i="9" s="1"/>
  <c r="AN73" i="9" s="1"/>
  <c r="AM40" i="34" s="1"/>
  <c r="K54" i="34" s="1"/>
  <c r="P13" i="11"/>
  <c r="O35" i="9" s="1"/>
  <c r="O73" i="9" s="1"/>
  <c r="N40" i="34" s="1"/>
  <c r="F54" i="34" s="1"/>
  <c r="H26" i="9"/>
  <c r="H15" i="5"/>
  <c r="AI14" i="5"/>
  <c r="M14" i="5"/>
  <c r="J14" i="5"/>
  <c r="AC14" i="5"/>
  <c r="T13" i="11"/>
  <c r="S35" i="9" s="1"/>
  <c r="V15" i="20" s="1"/>
  <c r="S14" i="5"/>
  <c r="AF14" i="5"/>
  <c r="Q14" i="5"/>
  <c r="T14" i="5"/>
  <c r="Z18" i="9"/>
  <c r="S13" i="11"/>
  <c r="R35" i="9" s="1"/>
  <c r="U15" i="20" s="1"/>
  <c r="N18" i="9"/>
  <c r="Y13" i="11"/>
  <c r="X35" i="9" s="1"/>
  <c r="AA15" i="20" s="1"/>
  <c r="K13" i="11"/>
  <c r="J35" i="9" s="1"/>
  <c r="J73" i="9" s="1"/>
  <c r="I40" i="34" s="1"/>
  <c r="E54" i="34" s="1"/>
  <c r="AM13" i="11"/>
  <c r="AL35" i="9" s="1"/>
  <c r="AO15" i="20" s="1"/>
  <c r="H22" i="5"/>
  <c r="L22" i="5"/>
  <c r="Y22" i="5"/>
  <c r="M22" i="5"/>
  <c r="AM22" i="5"/>
  <c r="P22" i="5"/>
  <c r="AB22" i="5"/>
  <c r="AG22" i="5"/>
  <c r="AK22" i="5"/>
  <c r="U22" i="5"/>
  <c r="N22" i="5"/>
  <c r="Z22" i="5"/>
  <c r="Q22" i="5"/>
  <c r="X22" i="5"/>
  <c r="R22" i="5"/>
  <c r="J22" i="5"/>
  <c r="AI22" i="5"/>
  <c r="AF22" i="5"/>
  <c r="AC22" i="5"/>
  <c r="AH22" i="5"/>
  <c r="AL22" i="5"/>
  <c r="O22" i="5"/>
  <c r="V22" i="5"/>
  <c r="S22" i="5"/>
  <c r="W22" i="5"/>
  <c r="AD22" i="5"/>
  <c r="AA22" i="5"/>
  <c r="AE22" i="5"/>
  <c r="K22" i="5"/>
  <c r="I22" i="5"/>
  <c r="T22" i="5"/>
  <c r="AJ22" i="5"/>
  <c r="R13" i="11"/>
  <c r="Q35" i="9" s="1"/>
  <c r="T15" i="20" s="1"/>
  <c r="C26" i="11"/>
  <c r="AG14" i="5"/>
  <c r="I14" i="5"/>
  <c r="L14" i="5"/>
  <c r="AF13" i="11"/>
  <c r="AE35" i="9" s="1"/>
  <c r="AH15" i="20" s="1"/>
  <c r="AH13" i="11"/>
  <c r="AG35" i="9" s="1"/>
  <c r="AJ15" i="20" s="1"/>
  <c r="O18" i="9"/>
  <c r="AG13" i="11"/>
  <c r="AF35" i="9" s="1"/>
  <c r="AI15" i="20" s="1"/>
  <c r="M13" i="11"/>
  <c r="L35" i="9" s="1"/>
  <c r="O15" i="20" s="1"/>
  <c r="I13" i="11"/>
  <c r="U13" i="11"/>
  <c r="T35" i="9" s="1"/>
  <c r="T73" i="9" s="1"/>
  <c r="S40" i="34" s="1"/>
  <c r="G54" i="34" s="1"/>
  <c r="AK14" i="5"/>
  <c r="U14" i="5"/>
  <c r="K14" i="5"/>
  <c r="P14" i="5"/>
  <c r="Y14" i="5"/>
  <c r="O14" i="5"/>
  <c r="V14" i="5"/>
  <c r="AN13" i="11"/>
  <c r="AM35" i="9" s="1"/>
  <c r="AP15" i="20" s="1"/>
  <c r="X20" i="5"/>
  <c r="AB20" i="5"/>
  <c r="AA20" i="5"/>
  <c r="AJ20" i="5"/>
  <c r="S20" i="5"/>
  <c r="L20" i="5"/>
  <c r="Z20" i="5"/>
  <c r="R20" i="5"/>
  <c r="AE20" i="5"/>
  <c r="AK20" i="5"/>
  <c r="AH20" i="5"/>
  <c r="K20" i="5"/>
  <c r="I20" i="5"/>
  <c r="AG20" i="5"/>
  <c r="AF20" i="5"/>
  <c r="N20" i="5"/>
  <c r="AL20" i="5"/>
  <c r="O20" i="5"/>
  <c r="AI20" i="5"/>
  <c r="W20" i="5"/>
  <c r="Y20" i="5"/>
  <c r="Q20" i="5"/>
  <c r="J20" i="5"/>
  <c r="V20" i="5"/>
  <c r="U20" i="5"/>
  <c r="AC20" i="5"/>
  <c r="AM20" i="5"/>
  <c r="P20" i="5"/>
  <c r="M20" i="5"/>
  <c r="AD20" i="5"/>
  <c r="T20" i="5"/>
  <c r="M16" i="5"/>
  <c r="S16" i="5"/>
  <c r="Z16" i="5"/>
  <c r="K16" i="5"/>
  <c r="T16" i="5"/>
  <c r="AI16" i="5"/>
  <c r="V16" i="5"/>
  <c r="W16" i="5"/>
  <c r="AK16" i="5"/>
  <c r="O16" i="5"/>
  <c r="AC16" i="5"/>
  <c r="AF16" i="5"/>
  <c r="U16" i="5"/>
  <c r="AH16" i="5"/>
  <c r="AL16" i="5"/>
  <c r="I16" i="5"/>
  <c r="R16" i="5"/>
  <c r="AG16" i="5"/>
  <c r="Q16" i="5"/>
  <c r="AA16" i="5"/>
  <c r="AE16" i="5"/>
  <c r="Y16" i="5"/>
  <c r="N16" i="5"/>
  <c r="AM16" i="5"/>
  <c r="AB16" i="5"/>
  <c r="AD16" i="5"/>
  <c r="X16" i="5"/>
  <c r="J16" i="5"/>
  <c r="L16" i="5"/>
  <c r="AJ16" i="5"/>
  <c r="P16" i="5"/>
  <c r="AL13" i="11"/>
  <c r="AK35" i="9" s="1"/>
  <c r="AN15" i="20" s="1"/>
  <c r="Z14" i="5"/>
  <c r="N14" i="5"/>
  <c r="X14" i="5"/>
  <c r="R14" i="5"/>
  <c r="Z13" i="11"/>
  <c r="Y35" i="9" s="1"/>
  <c r="AB15" i="20" s="1"/>
  <c r="N13" i="11"/>
  <c r="M35" i="9" s="1"/>
  <c r="P15" i="20" s="1"/>
  <c r="AA13" i="11"/>
  <c r="Z35" i="9" s="1"/>
  <c r="Z73" i="9" s="1"/>
  <c r="Y40" i="34" s="1"/>
  <c r="O13" i="11"/>
  <c r="N35" i="9" s="1"/>
  <c r="N73" i="9" s="1"/>
  <c r="M40" i="34" s="1"/>
  <c r="E107" i="12"/>
  <c r="E109" i="12" s="1"/>
  <c r="D109" i="12"/>
  <c r="AM14" i="5"/>
  <c r="AE14" i="5"/>
  <c r="AA14" i="5"/>
  <c r="AJ14" i="5"/>
  <c r="AJ13" i="11"/>
  <c r="AI35" i="9" s="1"/>
  <c r="AI73" i="9" s="1"/>
  <c r="AH40" i="34" s="1"/>
  <c r="J54" i="34" s="1"/>
  <c r="I18" i="9"/>
  <c r="H7" i="34" s="1"/>
  <c r="D19" i="9"/>
  <c r="AC13" i="11"/>
  <c r="AB35" i="9" s="1"/>
  <c r="AE15" i="20" s="1"/>
  <c r="AK13" i="11"/>
  <c r="AJ35" i="9" s="1"/>
  <c r="AM15" i="20" s="1"/>
  <c r="AI13" i="11"/>
  <c r="AH35" i="9" s="1"/>
  <c r="AH73" i="9" s="1"/>
  <c r="AG40" i="34" s="1"/>
  <c r="O21" i="9" l="1"/>
  <c r="N7" i="34"/>
  <c r="F18" i="34" s="1"/>
  <c r="N21" i="9"/>
  <c r="M7" i="34"/>
  <c r="Z21" i="9"/>
  <c r="Y7" i="34"/>
  <c r="Y21" i="9"/>
  <c r="X7" i="34"/>
  <c r="H18" i="34" s="1"/>
  <c r="L21" i="9"/>
  <c r="K7" i="34"/>
  <c r="T21" i="9"/>
  <c r="S7" i="34"/>
  <c r="G18" i="34" s="1"/>
  <c r="P21" i="9"/>
  <c r="O7" i="34"/>
  <c r="AL21" i="9"/>
  <c r="AK7" i="34"/>
  <c r="AE21" i="9"/>
  <c r="AD7" i="34"/>
  <c r="U21" i="9"/>
  <c r="T7" i="34"/>
  <c r="AK21" i="9"/>
  <c r="AJ7" i="34"/>
  <c r="R21" i="9"/>
  <c r="Q7" i="34"/>
  <c r="AI21" i="9"/>
  <c r="AH7" i="34"/>
  <c r="J18" i="34" s="1"/>
  <c r="AF21" i="9"/>
  <c r="AE7" i="34"/>
  <c r="AC21" i="9"/>
  <c r="AB7" i="34"/>
  <c r="Q21" i="9"/>
  <c r="P7" i="34"/>
  <c r="AM21" i="9"/>
  <c r="AL7" i="34"/>
  <c r="J21" i="9"/>
  <c r="I7" i="34"/>
  <c r="E18" i="34" s="1"/>
  <c r="AD21" i="9"/>
  <c r="AC7" i="34"/>
  <c r="I18" i="34" s="1"/>
  <c r="AH21" i="9"/>
  <c r="AG7" i="34"/>
  <c r="AA21" i="9"/>
  <c r="Z7" i="34"/>
  <c r="AJ21" i="9"/>
  <c r="AI7" i="34"/>
  <c r="V21" i="9"/>
  <c r="U7" i="34"/>
  <c r="K21" i="9"/>
  <c r="J7" i="34"/>
  <c r="AG21" i="9"/>
  <c r="AF7" i="34"/>
  <c r="AB21" i="9"/>
  <c r="AA7" i="34"/>
  <c r="X21" i="9"/>
  <c r="W7" i="34"/>
  <c r="S21" i="9"/>
  <c r="R7" i="34"/>
  <c r="H21" i="9"/>
  <c r="G7" i="34"/>
  <c r="AN21" i="9"/>
  <c r="AM7" i="34"/>
  <c r="K18" i="34" s="1"/>
  <c r="W21" i="9"/>
  <c r="V7" i="34"/>
  <c r="M21" i="9"/>
  <c r="L7" i="34"/>
  <c r="D16" i="32"/>
  <c r="D17" i="32" s="1"/>
  <c r="E17" i="32"/>
  <c r="E38" i="20"/>
  <c r="S15" i="20"/>
  <c r="L15" i="20"/>
  <c r="X15" i="20"/>
  <c r="W15" i="20"/>
  <c r="M15" i="20"/>
  <c r="AQ15" i="20"/>
  <c r="AG15" i="20"/>
  <c r="Y15" i="20"/>
  <c r="Z15" i="20"/>
  <c r="AK15" i="20"/>
  <c r="N15" i="20"/>
  <c r="R15" i="20"/>
  <c r="AL15" i="20"/>
  <c r="AD15" i="20"/>
  <c r="AC15" i="20"/>
  <c r="Q15" i="20"/>
  <c r="AK17" i="5"/>
  <c r="T17" i="5"/>
  <c r="K17" i="5"/>
  <c r="AG17" i="5"/>
  <c r="U17" i="5"/>
  <c r="Q17" i="5"/>
  <c r="AJ17" i="5"/>
  <c r="AC17" i="5"/>
  <c r="Y17" i="5"/>
  <c r="V17" i="5"/>
  <c r="P17" i="5"/>
  <c r="AH17" i="5"/>
  <c r="AA17" i="5"/>
  <c r="AL17" i="5"/>
  <c r="R17" i="5"/>
  <c r="X17" i="5"/>
  <c r="L17" i="5"/>
  <c r="AI17" i="5"/>
  <c r="D51" i="5"/>
  <c r="Z17" i="5"/>
  <c r="I17" i="5"/>
  <c r="M17" i="5"/>
  <c r="N17" i="5"/>
  <c r="S17" i="5"/>
  <c r="AM17" i="5"/>
  <c r="AE17" i="5"/>
  <c r="W17" i="5"/>
  <c r="J17" i="5"/>
  <c r="O17" i="5"/>
  <c r="AB17" i="5"/>
  <c r="AF17" i="5"/>
  <c r="W11" i="5"/>
  <c r="I11" i="5"/>
  <c r="AH11" i="5"/>
  <c r="N11" i="5"/>
  <c r="S11" i="5"/>
  <c r="U11" i="5"/>
  <c r="AJ11" i="5"/>
  <c r="AI11" i="5"/>
  <c r="AG11" i="5"/>
  <c r="AE11" i="5"/>
  <c r="AF11" i="5"/>
  <c r="O11" i="5"/>
  <c r="P11" i="5"/>
  <c r="AK11" i="5"/>
  <c r="Z11" i="5"/>
  <c r="AC11" i="5"/>
  <c r="AD11" i="5"/>
  <c r="K11" i="5"/>
  <c r="M11" i="5"/>
  <c r="J11" i="5"/>
  <c r="L11" i="5"/>
  <c r="T11" i="5"/>
  <c r="X11" i="5"/>
  <c r="AL11" i="5"/>
  <c r="V11" i="5"/>
  <c r="R11" i="5"/>
  <c r="AA11" i="5"/>
  <c r="Y11" i="5"/>
  <c r="AM11" i="5"/>
  <c r="Q11" i="5"/>
  <c r="AN21" i="5"/>
  <c r="D50" i="5"/>
  <c r="AN14" i="5"/>
  <c r="AC73" i="9"/>
  <c r="AB40" i="34" s="1"/>
  <c r="Y73" i="9"/>
  <c r="X40" i="34" s="1"/>
  <c r="H54" i="34" s="1"/>
  <c r="R73" i="9"/>
  <c r="Q40" i="34" s="1"/>
  <c r="S73" i="9"/>
  <c r="R40" i="34" s="1"/>
  <c r="AB73" i="9"/>
  <c r="AA40" i="34" s="1"/>
  <c r="H35" i="9"/>
  <c r="C25" i="11"/>
  <c r="C27" i="11" s="1"/>
  <c r="L73" i="9"/>
  <c r="K40" i="34" s="1"/>
  <c r="I21" i="9"/>
  <c r="H8" i="34" s="1"/>
  <c r="D18" i="9"/>
  <c r="D43" i="5"/>
  <c r="AL73" i="9"/>
  <c r="AK40" i="34" s="1"/>
  <c r="Q73" i="9"/>
  <c r="P40" i="34" s="1"/>
  <c r="AN22" i="5"/>
  <c r="AK73" i="9"/>
  <c r="AJ40" i="34" s="1"/>
  <c r="AM73" i="9"/>
  <c r="AL40" i="34" s="1"/>
  <c r="AN16" i="5"/>
  <c r="D45" i="5"/>
  <c r="AG73" i="9"/>
  <c r="AF40" i="34" s="1"/>
  <c r="X73" i="9"/>
  <c r="W40" i="34" s="1"/>
  <c r="I95" i="12"/>
  <c r="I96" i="12" s="1"/>
  <c r="I25" i="5" s="1"/>
  <c r="AC95" i="12"/>
  <c r="AC96" i="12" s="1"/>
  <c r="AC25" i="5" s="1"/>
  <c r="AM95" i="12"/>
  <c r="AM96" i="12" s="1"/>
  <c r="AM25" i="5" s="1"/>
  <c r="AG95" i="12"/>
  <c r="AG96" i="12" s="1"/>
  <c r="AG25" i="5" s="1"/>
  <c r="W95" i="12"/>
  <c r="W96" i="12" s="1"/>
  <c r="W25" i="5" s="1"/>
  <c r="K95" i="12"/>
  <c r="K96" i="12" s="1"/>
  <c r="K25" i="5" s="1"/>
  <c r="Y95" i="12"/>
  <c r="Y96" i="12" s="1"/>
  <c r="Y25" i="5" s="1"/>
  <c r="AD95" i="12"/>
  <c r="AD96" i="12" s="1"/>
  <c r="AD25" i="5" s="1"/>
  <c r="AK95" i="12"/>
  <c r="AK96" i="12" s="1"/>
  <c r="AK25" i="5" s="1"/>
  <c r="AH95" i="12"/>
  <c r="AH96" i="12" s="1"/>
  <c r="AH25" i="5" s="1"/>
  <c r="AE95" i="12"/>
  <c r="AE96" i="12" s="1"/>
  <c r="AE25" i="5" s="1"/>
  <c r="S95" i="12"/>
  <c r="S96" i="12" s="1"/>
  <c r="S25" i="5" s="1"/>
  <c r="H95" i="12"/>
  <c r="H96" i="12" s="1"/>
  <c r="H25" i="5" s="1"/>
  <c r="H27" i="5" s="1"/>
  <c r="AA95" i="12"/>
  <c r="AA96" i="12" s="1"/>
  <c r="AA25" i="5" s="1"/>
  <c r="J95" i="12"/>
  <c r="J96" i="12" s="1"/>
  <c r="J25" i="5" s="1"/>
  <c r="AL95" i="12"/>
  <c r="AL96" i="12" s="1"/>
  <c r="AL25" i="5" s="1"/>
  <c r="P95" i="12"/>
  <c r="P96" i="12" s="1"/>
  <c r="P25" i="5" s="1"/>
  <c r="N95" i="12"/>
  <c r="N96" i="12" s="1"/>
  <c r="N25" i="5" s="1"/>
  <c r="Z95" i="12"/>
  <c r="Z96" i="12" s="1"/>
  <c r="Z25" i="5" s="1"/>
  <c r="AB95" i="12"/>
  <c r="AB96" i="12" s="1"/>
  <c r="AB25" i="5" s="1"/>
  <c r="X95" i="12"/>
  <c r="X96" i="12" s="1"/>
  <c r="X25" i="5" s="1"/>
  <c r="O95" i="12"/>
  <c r="O96" i="12" s="1"/>
  <c r="O25" i="5" s="1"/>
  <c r="AI95" i="12"/>
  <c r="AI96" i="12" s="1"/>
  <c r="AI25" i="5" s="1"/>
  <c r="M95" i="12"/>
  <c r="M96" i="12" s="1"/>
  <c r="M25" i="5" s="1"/>
  <c r="U95" i="12"/>
  <c r="U96" i="12" s="1"/>
  <c r="U25" i="5" s="1"/>
  <c r="T95" i="12"/>
  <c r="T96" i="12" s="1"/>
  <c r="T25" i="5" s="1"/>
  <c r="Q95" i="12"/>
  <c r="Q96" i="12" s="1"/>
  <c r="Q25" i="5" s="1"/>
  <c r="V95" i="12"/>
  <c r="V96" i="12" s="1"/>
  <c r="V25" i="5" s="1"/>
  <c r="AJ95" i="12"/>
  <c r="AJ96" i="12" s="1"/>
  <c r="AJ25" i="5" s="1"/>
  <c r="G95" i="12"/>
  <c r="G96" i="12" s="1"/>
  <c r="G25" i="5" s="1"/>
  <c r="G27" i="5" s="1"/>
  <c r="R95" i="12"/>
  <c r="R96" i="12" s="1"/>
  <c r="R25" i="5" s="1"/>
  <c r="L95" i="12"/>
  <c r="L96" i="12" s="1"/>
  <c r="L25" i="5" s="1"/>
  <c r="AF95" i="12"/>
  <c r="AF96" i="12" s="1"/>
  <c r="AF25" i="5" s="1"/>
  <c r="AE73" i="9"/>
  <c r="AD40" i="34" s="1"/>
  <c r="Q15" i="5"/>
  <c r="V15" i="5"/>
  <c r="K15" i="5"/>
  <c r="AH15" i="5"/>
  <c r="P15" i="5"/>
  <c r="T15" i="5"/>
  <c r="U15" i="5"/>
  <c r="J15" i="5"/>
  <c r="K26" i="9" s="1"/>
  <c r="AK15" i="5"/>
  <c r="AB15" i="5"/>
  <c r="Y15" i="5"/>
  <c r="AE15" i="5"/>
  <c r="N15" i="5"/>
  <c r="O15" i="5"/>
  <c r="AF15" i="5"/>
  <c r="X15" i="5"/>
  <c r="Y26" i="9" s="1"/>
  <c r="S15" i="5"/>
  <c r="AM15" i="5"/>
  <c r="R15" i="5"/>
  <c r="AL15" i="5"/>
  <c r="AG15" i="5"/>
  <c r="AH26" i="9" s="1"/>
  <c r="Z15" i="5"/>
  <c r="M15" i="5"/>
  <c r="AD15" i="5"/>
  <c r="AC15" i="5"/>
  <c r="W15" i="5"/>
  <c r="I26" i="9"/>
  <c r="AI15" i="5"/>
  <c r="AJ15" i="5"/>
  <c r="AA15" i="5"/>
  <c r="L15" i="5"/>
  <c r="M26" i="9" s="1"/>
  <c r="I15" i="5"/>
  <c r="AF73" i="9"/>
  <c r="AE40" i="34" s="1"/>
  <c r="AJ73" i="9"/>
  <c r="AI40" i="34" s="1"/>
  <c r="M73" i="9"/>
  <c r="L40" i="34" s="1"/>
  <c r="D49" i="5"/>
  <c r="AN20" i="5"/>
  <c r="P20" i="10"/>
  <c r="Y20" i="10"/>
  <c r="Z20" i="10"/>
  <c r="AB20" i="10"/>
  <c r="S20" i="10"/>
  <c r="M20" i="10"/>
  <c r="AP20" i="10"/>
  <c r="I20" i="10"/>
  <c r="AC20" i="10"/>
  <c r="K20" i="10"/>
  <c r="N20" i="10"/>
  <c r="AF20" i="10"/>
  <c r="AO20" i="10"/>
  <c r="L20" i="10"/>
  <c r="AD20" i="10"/>
  <c r="AM20" i="10"/>
  <c r="AL20" i="10"/>
  <c r="W20" i="10"/>
  <c r="Q20" i="10"/>
  <c r="J20" i="10"/>
  <c r="X20" i="10"/>
  <c r="U20" i="10"/>
  <c r="AQ20" i="10"/>
  <c r="H20" i="10"/>
  <c r="V20" i="10"/>
  <c r="AA20" i="10"/>
  <c r="AE20" i="10"/>
  <c r="AN20" i="10"/>
  <c r="O20" i="10"/>
  <c r="AI20" i="10"/>
  <c r="AG20" i="10"/>
  <c r="T20" i="10"/>
  <c r="AJ20" i="10"/>
  <c r="AK20" i="10"/>
  <c r="R20" i="10"/>
  <c r="AH20" i="10"/>
  <c r="L8" i="34" l="1"/>
  <c r="M43" i="9"/>
  <c r="V8" i="34"/>
  <c r="W43" i="9"/>
  <c r="AM8" i="34"/>
  <c r="K19" i="34" s="1"/>
  <c r="AN43" i="9"/>
  <c r="H43" i="9"/>
  <c r="G8" i="34"/>
  <c r="S43" i="9"/>
  <c r="R8" i="34"/>
  <c r="X43" i="9"/>
  <c r="W8" i="34"/>
  <c r="AB43" i="9"/>
  <c r="AA8" i="34"/>
  <c r="AG43" i="9"/>
  <c r="AF8" i="34"/>
  <c r="J8" i="34"/>
  <c r="K43" i="9"/>
  <c r="U8" i="34"/>
  <c r="V43" i="9"/>
  <c r="AI8" i="34"/>
  <c r="AJ43" i="9"/>
  <c r="AA43" i="9"/>
  <c r="Z8" i="34"/>
  <c r="AH43" i="9"/>
  <c r="AG8" i="34"/>
  <c r="AD43" i="9"/>
  <c r="AC8" i="34"/>
  <c r="I19" i="34" s="1"/>
  <c r="J43" i="9"/>
  <c r="I8" i="34"/>
  <c r="E19" i="34" s="1"/>
  <c r="AM43" i="9"/>
  <c r="AL8" i="34"/>
  <c r="P8" i="34"/>
  <c r="Q43" i="9"/>
  <c r="AB8" i="34"/>
  <c r="AC43" i="9"/>
  <c r="AE8" i="34"/>
  <c r="AF43" i="9"/>
  <c r="AI43" i="9"/>
  <c r="AH8" i="34"/>
  <c r="J19" i="34" s="1"/>
  <c r="R43" i="9"/>
  <c r="Q8" i="34"/>
  <c r="AK43" i="9"/>
  <c r="AJ8" i="34"/>
  <c r="U43" i="9"/>
  <c r="T8" i="34"/>
  <c r="AE43" i="9"/>
  <c r="AD8" i="34"/>
  <c r="AL43" i="9"/>
  <c r="AK8" i="34"/>
  <c r="P43" i="9"/>
  <c r="O8" i="34"/>
  <c r="S8" i="34"/>
  <c r="G19" i="34" s="1"/>
  <c r="T43" i="9"/>
  <c r="K8" i="34"/>
  <c r="L43" i="9"/>
  <c r="Y43" i="9"/>
  <c r="X8" i="34"/>
  <c r="H19" i="34" s="1"/>
  <c r="Z43" i="9"/>
  <c r="Y8" i="34"/>
  <c r="N43" i="9"/>
  <c r="M8" i="34"/>
  <c r="O43" i="9"/>
  <c r="N8" i="34"/>
  <c r="F19" i="34" s="1"/>
  <c r="G38" i="20"/>
  <c r="H73" i="9"/>
  <c r="G40" i="34" s="1"/>
  <c r="K15" i="20"/>
  <c r="F15" i="20" s="1"/>
  <c r="AN17" i="5"/>
  <c r="D46" i="5"/>
  <c r="D40" i="5"/>
  <c r="AH27" i="5"/>
  <c r="AI23" i="9" s="1"/>
  <c r="AN11" i="5"/>
  <c r="AI27" i="5"/>
  <c r="AJ23" i="9" s="1"/>
  <c r="AE27" i="5"/>
  <c r="AF23" i="9" s="1"/>
  <c r="AM27" i="5"/>
  <c r="AN23" i="9" s="1"/>
  <c r="T27" i="5"/>
  <c r="U23" i="9" s="1"/>
  <c r="P27" i="5"/>
  <c r="Q23" i="9" s="1"/>
  <c r="S27" i="5"/>
  <c r="T23" i="9" s="1"/>
  <c r="Y27" i="5"/>
  <c r="Z23" i="9" s="1"/>
  <c r="AC27" i="5"/>
  <c r="AD23" i="9" s="1"/>
  <c r="AK27" i="5"/>
  <c r="AL23" i="9" s="1"/>
  <c r="I27" i="5"/>
  <c r="J23" i="9" s="1"/>
  <c r="AF27" i="5"/>
  <c r="AG23" i="9" s="1"/>
  <c r="U27" i="5"/>
  <c r="V23" i="9" s="1"/>
  <c r="AL27" i="5"/>
  <c r="AM23" i="9" s="1"/>
  <c r="R27" i="5"/>
  <c r="S23" i="9" s="1"/>
  <c r="W27" i="5"/>
  <c r="X23" i="9" s="1"/>
  <c r="O27" i="5"/>
  <c r="P23" i="9" s="1"/>
  <c r="AD27" i="5"/>
  <c r="AE23" i="9" s="1"/>
  <c r="M27" i="5"/>
  <c r="N23" i="9" s="1"/>
  <c r="Z27" i="5"/>
  <c r="AA23" i="9" s="1"/>
  <c r="AJ27" i="5"/>
  <c r="AK23" i="9" s="1"/>
  <c r="N27" i="5"/>
  <c r="O23" i="9" s="1"/>
  <c r="K27" i="5"/>
  <c r="L23" i="9" s="1"/>
  <c r="J27" i="5"/>
  <c r="K23" i="9" s="1"/>
  <c r="AB27" i="5"/>
  <c r="AC23" i="9" s="1"/>
  <c r="V27" i="5"/>
  <c r="W23" i="9" s="1"/>
  <c r="AA27" i="5"/>
  <c r="AB23" i="9" s="1"/>
  <c r="Q27" i="5"/>
  <c r="R23" i="9" s="1"/>
  <c r="X27" i="5"/>
  <c r="Y23" i="9" s="1"/>
  <c r="I23" i="9"/>
  <c r="L27" i="5"/>
  <c r="M23" i="9" s="1"/>
  <c r="AG27" i="5"/>
  <c r="AH23" i="9" s="1"/>
  <c r="AK26" i="9"/>
  <c r="O26" i="9"/>
  <c r="Q26" i="9"/>
  <c r="P26" i="9"/>
  <c r="AJ26" i="9"/>
  <c r="AM26" i="9"/>
  <c r="AF26" i="9"/>
  <c r="AI26" i="9"/>
  <c r="S26" i="9"/>
  <c r="Z26" i="9"/>
  <c r="L26" i="9"/>
  <c r="X26" i="9"/>
  <c r="AN26" i="9"/>
  <c r="AC26" i="9"/>
  <c r="W26" i="9"/>
  <c r="H23" i="9"/>
  <c r="D54" i="5"/>
  <c r="AN25" i="5"/>
  <c r="AB26" i="9"/>
  <c r="AA26" i="9"/>
  <c r="U26" i="9"/>
  <c r="D35" i="9"/>
  <c r="AD26" i="9"/>
  <c r="T26" i="9"/>
  <c r="AL26" i="9"/>
  <c r="R26" i="9"/>
  <c r="D21" i="9"/>
  <c r="I43" i="9"/>
  <c r="AN15" i="5"/>
  <c r="D44" i="5"/>
  <c r="J26" i="9"/>
  <c r="AE26" i="9"/>
  <c r="N26" i="9"/>
  <c r="AG26" i="9"/>
  <c r="V26" i="9"/>
  <c r="G20" i="10"/>
  <c r="E45" i="20" l="1"/>
  <c r="E46" i="20" s="1"/>
  <c r="F16" i="20"/>
  <c r="D33" i="5"/>
  <c r="AN27" i="5"/>
  <c r="D55" i="5"/>
  <c r="G32" i="28" s="1"/>
  <c r="G34" i="28" s="1"/>
  <c r="G35" i="28" s="1"/>
  <c r="D23" i="9"/>
  <c r="D26" i="9"/>
  <c r="I22" i="25"/>
  <c r="I26" i="25" s="1"/>
  <c r="I5" i="25" s="1"/>
  <c r="G45" i="20" l="1"/>
  <c r="E47" i="5"/>
  <c r="E46" i="5"/>
  <c r="E44" i="5"/>
  <c r="E54" i="5"/>
  <c r="E43" i="5"/>
  <c r="E38" i="5"/>
  <c r="E39" i="5"/>
  <c r="E51" i="5"/>
  <c r="E50" i="5"/>
  <c r="E41" i="5"/>
  <c r="E52" i="5"/>
  <c r="E45" i="5"/>
  <c r="E42" i="5"/>
  <c r="E49" i="5"/>
  <c r="E40" i="5"/>
  <c r="E53" i="5"/>
  <c r="D30" i="28"/>
  <c r="E48" i="5"/>
  <c r="E55" i="5"/>
  <c r="I33" i="25"/>
  <c r="E66" i="9"/>
  <c r="D31" i="28" l="1"/>
  <c r="I50" i="10"/>
  <c r="I77" i="10"/>
  <c r="I67" i="10"/>
  <c r="I70" i="10"/>
  <c r="I57" i="10"/>
  <c r="I49" i="10"/>
  <c r="I48" i="10"/>
  <c r="I65" i="10"/>
  <c r="I71" i="10"/>
  <c r="I78" i="10"/>
  <c r="I56" i="10"/>
  <c r="I79" i="10"/>
  <c r="I55" i="10"/>
  <c r="I63" i="10"/>
  <c r="I62" i="10"/>
  <c r="I69" i="10"/>
  <c r="I76" i="10"/>
  <c r="I72" i="10"/>
  <c r="I75" i="10"/>
  <c r="I58" i="10"/>
  <c r="I51" i="10"/>
  <c r="I73" i="10"/>
  <c r="I53" i="10"/>
  <c r="F55" i="9"/>
  <c r="F54" i="9" s="1"/>
  <c r="I52" i="10"/>
  <c r="I47" i="10"/>
  <c r="I61" i="10"/>
  <c r="I66" i="10"/>
  <c r="I60" i="10"/>
  <c r="J22" i="25"/>
  <c r="I54" i="10"/>
  <c r="I68" i="10"/>
  <c r="I59" i="10"/>
  <c r="I74" i="10"/>
  <c r="I64" i="10"/>
  <c r="X55" i="9"/>
  <c r="X54" i="9" s="1"/>
  <c r="AA76" i="10"/>
  <c r="AA64" i="10"/>
  <c r="AA69" i="10"/>
  <c r="AA78" i="10"/>
  <c r="AA66" i="10"/>
  <c r="AA71" i="10"/>
  <c r="AA62" i="10"/>
  <c r="AA72" i="10"/>
  <c r="AA60" i="10"/>
  <c r="AA57" i="10"/>
  <c r="AA70" i="10"/>
  <c r="AA52" i="10"/>
  <c r="AA48" i="10"/>
  <c r="AA73" i="10"/>
  <c r="AA74" i="10"/>
  <c r="AA47" i="10"/>
  <c r="AA75" i="10"/>
  <c r="AA67" i="10"/>
  <c r="AA65" i="10"/>
  <c r="AA63" i="10"/>
  <c r="AA77" i="10"/>
  <c r="AA79" i="10"/>
  <c r="AA58" i="10"/>
  <c r="AA56" i="10"/>
  <c r="AA49" i="10"/>
  <c r="AA46" i="10"/>
  <c r="AA59" i="10"/>
  <c r="AA51" i="10"/>
  <c r="AA68" i="10"/>
  <c r="AA55" i="10"/>
  <c r="AA54" i="10"/>
  <c r="AA53" i="10"/>
  <c r="AA61" i="10"/>
  <c r="AA50" i="10"/>
  <c r="X66" i="9"/>
  <c r="AB22" i="25"/>
  <c r="AB26" i="25" s="1"/>
  <c r="AB5" i="25" s="1"/>
  <c r="AH55" i="9"/>
  <c r="AH54" i="9" s="1"/>
  <c r="AK74" i="10"/>
  <c r="AK65" i="10"/>
  <c r="AK69" i="10"/>
  <c r="AK77" i="10"/>
  <c r="AK75" i="10"/>
  <c r="AK76" i="10"/>
  <c r="AK62" i="10"/>
  <c r="AK79" i="10"/>
  <c r="AK59" i="10"/>
  <c r="AK58" i="10"/>
  <c r="AK71" i="10"/>
  <c r="AK72" i="10"/>
  <c r="AK66" i="10"/>
  <c r="AK53" i="10"/>
  <c r="AK49" i="10"/>
  <c r="AK73" i="10"/>
  <c r="AK68" i="10"/>
  <c r="AK60" i="10"/>
  <c r="AK47" i="10"/>
  <c r="AK64" i="10"/>
  <c r="AK57" i="10"/>
  <c r="AK70" i="10"/>
  <c r="AK67" i="10"/>
  <c r="AK46" i="10"/>
  <c r="AK56" i="10"/>
  <c r="AK55" i="10"/>
  <c r="AK54" i="10"/>
  <c r="AK48" i="10"/>
  <c r="AK61" i="10"/>
  <c r="AK78" i="10"/>
  <c r="AK50" i="10"/>
  <c r="AK52" i="10"/>
  <c r="AK51" i="10"/>
  <c r="AK63" i="10"/>
  <c r="AH66" i="9"/>
  <c r="AL22" i="25"/>
  <c r="AL26" i="25" s="1"/>
  <c r="AL5" i="25" s="1"/>
  <c r="S55" i="9"/>
  <c r="S54" i="9" s="1"/>
  <c r="V69" i="10"/>
  <c r="V77" i="10"/>
  <c r="V78" i="10"/>
  <c r="V79" i="10"/>
  <c r="V68" i="10"/>
  <c r="V64" i="10"/>
  <c r="V70" i="10"/>
  <c r="V71" i="10"/>
  <c r="V66" i="10"/>
  <c r="V57" i="10"/>
  <c r="V54" i="10"/>
  <c r="V50" i="10"/>
  <c r="V46" i="10"/>
  <c r="V72" i="10"/>
  <c r="V60" i="10"/>
  <c r="V73" i="10"/>
  <c r="V63" i="10"/>
  <c r="V56" i="10"/>
  <c r="V53" i="10"/>
  <c r="V61" i="10"/>
  <c r="V49" i="10"/>
  <c r="V48" i="10"/>
  <c r="V74" i="10"/>
  <c r="V62" i="10"/>
  <c r="V51" i="10"/>
  <c r="V67" i="10"/>
  <c r="V59" i="10"/>
  <c r="V58" i="10"/>
  <c r="V52" i="10"/>
  <c r="V65" i="10"/>
  <c r="V76" i="10"/>
  <c r="V75" i="10"/>
  <c r="V55" i="10"/>
  <c r="V47" i="10"/>
  <c r="S66" i="9"/>
  <c r="W22" i="25"/>
  <c r="W26" i="25" s="1"/>
  <c r="W5" i="25" s="1"/>
  <c r="AB55" i="9"/>
  <c r="AB54" i="9" s="1"/>
  <c r="AE72" i="10"/>
  <c r="AE66" i="10"/>
  <c r="AE62" i="10"/>
  <c r="AE76" i="10"/>
  <c r="AE73" i="10"/>
  <c r="AE74" i="10"/>
  <c r="AE67" i="10"/>
  <c r="AE63" i="10"/>
  <c r="AE70" i="10"/>
  <c r="AE65" i="10"/>
  <c r="AE71" i="10"/>
  <c r="AE61" i="10"/>
  <c r="AE56" i="10"/>
  <c r="AE54" i="10"/>
  <c r="AE50" i="10"/>
  <c r="AE46" i="10"/>
  <c r="AE75" i="10"/>
  <c r="AE69" i="10"/>
  <c r="AE59" i="10"/>
  <c r="AE57" i="10"/>
  <c r="AE51" i="10"/>
  <c r="AE49" i="10"/>
  <c r="AE77" i="10"/>
  <c r="AE78" i="10"/>
  <c r="AE55" i="10"/>
  <c r="AE53" i="10"/>
  <c r="AE52" i="10"/>
  <c r="AE68" i="10"/>
  <c r="AE47" i="10"/>
  <c r="AE64" i="10"/>
  <c r="AE48" i="10"/>
  <c r="AE58" i="10"/>
  <c r="AE60" i="10"/>
  <c r="AE79" i="10"/>
  <c r="AB66" i="9"/>
  <c r="AF22" i="25"/>
  <c r="AF26" i="25" s="1"/>
  <c r="AF5" i="25" s="1"/>
  <c r="N55" i="9"/>
  <c r="N54" i="9" s="1"/>
  <c r="Q70" i="10"/>
  <c r="Q78" i="10"/>
  <c r="Q67" i="10"/>
  <c r="Q63" i="10"/>
  <c r="Q77" i="10"/>
  <c r="Q75" i="10"/>
  <c r="Q66" i="10"/>
  <c r="Q62" i="10"/>
  <c r="Q76" i="10"/>
  <c r="Q60" i="10"/>
  <c r="Q56" i="10"/>
  <c r="Q71" i="10"/>
  <c r="Q65" i="10"/>
  <c r="Q72" i="10"/>
  <c r="Q55" i="10"/>
  <c r="Q51" i="10"/>
  <c r="Q47" i="10"/>
  <c r="Q73" i="10"/>
  <c r="Q74" i="10"/>
  <c r="Q58" i="10"/>
  <c r="Q48" i="10"/>
  <c r="Q79" i="10"/>
  <c r="Q64" i="10"/>
  <c r="Q57" i="10"/>
  <c r="Q68" i="10"/>
  <c r="Q59" i="10"/>
  <c r="Q69" i="10"/>
  <c r="Q53" i="10"/>
  <c r="Q61" i="10"/>
  <c r="Q49" i="10"/>
  <c r="Q54" i="10"/>
  <c r="Q52" i="10"/>
  <c r="Q50" i="10"/>
  <c r="Q46" i="10"/>
  <c r="N66" i="9"/>
  <c r="R22" i="25"/>
  <c r="R26" i="25" s="1"/>
  <c r="R5" i="25" s="1"/>
  <c r="T55" i="9"/>
  <c r="T54" i="9" s="1"/>
  <c r="W72" i="10"/>
  <c r="W66" i="10"/>
  <c r="W62" i="10"/>
  <c r="W70" i="10"/>
  <c r="W79" i="10"/>
  <c r="W64" i="10"/>
  <c r="W78" i="10"/>
  <c r="W61" i="10"/>
  <c r="W69" i="10"/>
  <c r="W68" i="10"/>
  <c r="W59" i="10"/>
  <c r="W57" i="10"/>
  <c r="W54" i="10"/>
  <c r="W50" i="10"/>
  <c r="W46" i="10"/>
  <c r="W71" i="10"/>
  <c r="W60" i="10"/>
  <c r="W74" i="10"/>
  <c r="W75" i="10"/>
  <c r="W76" i="10"/>
  <c r="W55" i="10"/>
  <c r="W49" i="10"/>
  <c r="W73" i="10"/>
  <c r="W48" i="10"/>
  <c r="W65" i="10"/>
  <c r="W58" i="10"/>
  <c r="W47" i="10"/>
  <c r="W77" i="10"/>
  <c r="W53" i="10"/>
  <c r="W56" i="10"/>
  <c r="W63" i="10"/>
  <c r="W52" i="10"/>
  <c r="W51" i="10"/>
  <c r="W67" i="10"/>
  <c r="T66" i="9"/>
  <c r="X22" i="25"/>
  <c r="X26" i="25" s="1"/>
  <c r="X5" i="25" s="1"/>
  <c r="Z55" i="9"/>
  <c r="Z54" i="9" s="1"/>
  <c r="AC74" i="10"/>
  <c r="AC65" i="10"/>
  <c r="AC72" i="10"/>
  <c r="AC71" i="10"/>
  <c r="AC73" i="10"/>
  <c r="AC66" i="10"/>
  <c r="AC62" i="10"/>
  <c r="AC59" i="10"/>
  <c r="AC58" i="10"/>
  <c r="AC77" i="10"/>
  <c r="AC78" i="10"/>
  <c r="AC67" i="10"/>
  <c r="AC53" i="10"/>
  <c r="AC49" i="10"/>
  <c r="AC79" i="10"/>
  <c r="AC70" i="10"/>
  <c r="AC52" i="10"/>
  <c r="AC48" i="10"/>
  <c r="AC75" i="10"/>
  <c r="AC60" i="10"/>
  <c r="AC55" i="10"/>
  <c r="AC76" i="10"/>
  <c r="AC68" i="10"/>
  <c r="AC54" i="10"/>
  <c r="AC50" i="10"/>
  <c r="AC47" i="10"/>
  <c r="AC56" i="10"/>
  <c r="AC64" i="10"/>
  <c r="AC61" i="10"/>
  <c r="AC57" i="10"/>
  <c r="AC51" i="10"/>
  <c r="AC46" i="10"/>
  <c r="AC69" i="10"/>
  <c r="AC63" i="10"/>
  <c r="Z66" i="9"/>
  <c r="AD22" i="25"/>
  <c r="AD26" i="25" s="1"/>
  <c r="AD5" i="25" s="1"/>
  <c r="U55" i="9"/>
  <c r="U54" i="9" s="1"/>
  <c r="X75" i="10"/>
  <c r="X72" i="10"/>
  <c r="X67" i="10"/>
  <c r="X59" i="10"/>
  <c r="X69" i="10"/>
  <c r="X79" i="10"/>
  <c r="X56" i="10"/>
  <c r="X70" i="10"/>
  <c r="X64" i="10"/>
  <c r="X61" i="10"/>
  <c r="X77" i="10"/>
  <c r="X58" i="10"/>
  <c r="X55" i="10"/>
  <c r="X51" i="10"/>
  <c r="X47" i="10"/>
  <c r="X78" i="10"/>
  <c r="X66" i="10"/>
  <c r="X68" i="10"/>
  <c r="X57" i="10"/>
  <c r="X54" i="10"/>
  <c r="X65" i="10"/>
  <c r="X63" i="10"/>
  <c r="X53" i="10"/>
  <c r="X50" i="10"/>
  <c r="X76" i="10"/>
  <c r="X49" i="10"/>
  <c r="X46" i="10"/>
  <c r="X62" i="10"/>
  <c r="X71" i="10"/>
  <c r="X74" i="10"/>
  <c r="X60" i="10"/>
  <c r="X52" i="10"/>
  <c r="X48" i="10"/>
  <c r="X73" i="10"/>
  <c r="U66" i="9"/>
  <c r="Y22" i="25"/>
  <c r="Y26" i="25" s="1"/>
  <c r="Y5" i="25" s="1"/>
  <c r="G55" i="9"/>
  <c r="G54" i="9" s="1"/>
  <c r="J73" i="10"/>
  <c r="J68" i="10"/>
  <c r="J74" i="10"/>
  <c r="J62" i="10"/>
  <c r="J60" i="10"/>
  <c r="J71" i="10"/>
  <c r="J67" i="10"/>
  <c r="J63" i="10"/>
  <c r="J59" i="10"/>
  <c r="J57" i="10"/>
  <c r="J72" i="10"/>
  <c r="J77" i="10"/>
  <c r="J66" i="10"/>
  <c r="J56" i="10"/>
  <c r="J52" i="10"/>
  <c r="J78" i="10"/>
  <c r="J64" i="10"/>
  <c r="J79" i="10"/>
  <c r="J55" i="10"/>
  <c r="J51" i="10"/>
  <c r="J53" i="10"/>
  <c r="J49" i="10"/>
  <c r="J69" i="10"/>
  <c r="J70" i="10"/>
  <c r="J58" i="10"/>
  <c r="J75" i="10"/>
  <c r="J65" i="10"/>
  <c r="J61" i="10"/>
  <c r="J76" i="10"/>
  <c r="J54" i="10"/>
  <c r="G66" i="9"/>
  <c r="K22" i="25"/>
  <c r="K26" i="25" s="1"/>
  <c r="K5" i="25" s="1"/>
  <c r="L55" i="9"/>
  <c r="L54" i="9" s="1"/>
  <c r="O72" i="10"/>
  <c r="O66" i="10"/>
  <c r="O62" i="10"/>
  <c r="O74" i="10"/>
  <c r="O67" i="10"/>
  <c r="O75" i="10"/>
  <c r="O65" i="10"/>
  <c r="O76" i="10"/>
  <c r="O61" i="10"/>
  <c r="O77" i="10"/>
  <c r="O78" i="10"/>
  <c r="O58" i="10"/>
  <c r="O54" i="10"/>
  <c r="O50" i="10"/>
  <c r="O46" i="10"/>
  <c r="O79" i="10"/>
  <c r="O64" i="10"/>
  <c r="O71" i="10"/>
  <c r="O68" i="10"/>
  <c r="O56" i="10"/>
  <c r="O52" i="10"/>
  <c r="O47" i="10"/>
  <c r="O73" i="10"/>
  <c r="O59" i="10"/>
  <c r="O55" i="10"/>
  <c r="O57" i="10"/>
  <c r="O51" i="10"/>
  <c r="O63" i="10"/>
  <c r="O49" i="10"/>
  <c r="O48" i="10"/>
  <c r="O70" i="10"/>
  <c r="O53" i="10"/>
  <c r="O60" i="10"/>
  <c r="O69" i="10"/>
  <c r="L66" i="9"/>
  <c r="P22" i="25"/>
  <c r="P26" i="25" s="1"/>
  <c r="P5" i="25" s="1"/>
  <c r="M55" i="9"/>
  <c r="M54" i="9" s="1"/>
  <c r="P75" i="10"/>
  <c r="P76" i="10"/>
  <c r="P63" i="10"/>
  <c r="P59" i="10"/>
  <c r="P74" i="10"/>
  <c r="P60" i="10"/>
  <c r="P56" i="10"/>
  <c r="P77" i="10"/>
  <c r="P65" i="10"/>
  <c r="P72" i="10"/>
  <c r="P55" i="10"/>
  <c r="P51" i="10"/>
  <c r="P47" i="10"/>
  <c r="P73" i="10"/>
  <c r="P67" i="10"/>
  <c r="P78" i="10"/>
  <c r="P58" i="10"/>
  <c r="P54" i="10"/>
  <c r="P64" i="10"/>
  <c r="P57" i="10"/>
  <c r="P68" i="10"/>
  <c r="P66" i="10"/>
  <c r="P62" i="10"/>
  <c r="P52" i="10"/>
  <c r="P46" i="10"/>
  <c r="P69" i="10"/>
  <c r="P53" i="10"/>
  <c r="P50" i="10"/>
  <c r="P48" i="10"/>
  <c r="P79" i="10"/>
  <c r="P70" i="10"/>
  <c r="P71" i="10"/>
  <c r="P61" i="10"/>
  <c r="P49" i="10"/>
  <c r="M66" i="9"/>
  <c r="Q22" i="25"/>
  <c r="Q26" i="25" s="1"/>
  <c r="Q5" i="25" s="1"/>
  <c r="AG55" i="9"/>
  <c r="AG54" i="9" s="1"/>
  <c r="AJ71" i="10"/>
  <c r="AJ79" i="10"/>
  <c r="AJ74" i="10"/>
  <c r="AJ75" i="10"/>
  <c r="AJ76" i="10"/>
  <c r="AJ66" i="10"/>
  <c r="AJ61" i="10"/>
  <c r="AJ58" i="10"/>
  <c r="AJ69" i="10"/>
  <c r="AJ65" i="10"/>
  <c r="AJ60" i="10"/>
  <c r="AJ78" i="10"/>
  <c r="AJ53" i="10"/>
  <c r="AJ49" i="10"/>
  <c r="AJ68" i="10"/>
  <c r="AJ59" i="10"/>
  <c r="AJ63" i="10"/>
  <c r="AJ57" i="10"/>
  <c r="AJ52" i="10"/>
  <c r="AJ73" i="10"/>
  <c r="AJ64" i="10"/>
  <c r="AJ77" i="10"/>
  <c r="AJ56" i="10"/>
  <c r="AJ46" i="10"/>
  <c r="AJ62" i="10"/>
  <c r="AJ51" i="10"/>
  <c r="AJ48" i="10"/>
  <c r="AJ72" i="10"/>
  <c r="AJ67" i="10"/>
  <c r="AJ70" i="10"/>
  <c r="AJ55" i="10"/>
  <c r="AJ54" i="10"/>
  <c r="AJ50" i="10"/>
  <c r="AJ47" i="10"/>
  <c r="AG66" i="9"/>
  <c r="AK22" i="25"/>
  <c r="AK26" i="25" s="1"/>
  <c r="AK5" i="25" s="1"/>
  <c r="K55" i="9"/>
  <c r="K54" i="9" s="1"/>
  <c r="N69" i="10"/>
  <c r="N77" i="10"/>
  <c r="N72" i="10"/>
  <c r="N64" i="10"/>
  <c r="N74" i="10"/>
  <c r="N61" i="10"/>
  <c r="N75" i="10"/>
  <c r="N79" i="10"/>
  <c r="N67" i="10"/>
  <c r="N58" i="10"/>
  <c r="N54" i="10"/>
  <c r="N50" i="10"/>
  <c r="N46" i="10"/>
  <c r="N62" i="10"/>
  <c r="N59" i="10"/>
  <c r="N57" i="10"/>
  <c r="N53" i="10"/>
  <c r="N66" i="10"/>
  <c r="N55" i="10"/>
  <c r="N70" i="10"/>
  <c r="N76" i="10"/>
  <c r="N52" i="10"/>
  <c r="N51" i="10"/>
  <c r="N47" i="10"/>
  <c r="N65" i="10"/>
  <c r="N78" i="10"/>
  <c r="N60" i="10"/>
  <c r="N73" i="10"/>
  <c r="N63" i="10"/>
  <c r="N49" i="10"/>
  <c r="N71" i="10"/>
  <c r="N48" i="10"/>
  <c r="N68" i="10"/>
  <c r="N56" i="10"/>
  <c r="K66" i="9"/>
  <c r="O22" i="25"/>
  <c r="O26" i="25" s="1"/>
  <c r="O5" i="25" s="1"/>
  <c r="R55" i="9"/>
  <c r="R54" i="9" s="1"/>
  <c r="U74" i="10"/>
  <c r="U65" i="10"/>
  <c r="U76" i="10"/>
  <c r="U68" i="10"/>
  <c r="U78" i="10"/>
  <c r="U69" i="10"/>
  <c r="U79" i="10"/>
  <c r="U67" i="10"/>
  <c r="U63" i="10"/>
  <c r="U58" i="10"/>
  <c r="U72" i="10"/>
  <c r="U60" i="10"/>
  <c r="U73" i="10"/>
  <c r="U56" i="10"/>
  <c r="U53" i="10"/>
  <c r="U49" i="10"/>
  <c r="U75" i="10"/>
  <c r="U61" i="10"/>
  <c r="U71" i="10"/>
  <c r="U50" i="10"/>
  <c r="U77" i="10"/>
  <c r="U51" i="10"/>
  <c r="U52" i="10"/>
  <c r="U55" i="10"/>
  <c r="U54" i="10"/>
  <c r="U47" i="10"/>
  <c r="U48" i="10"/>
  <c r="U46" i="10"/>
  <c r="U62" i="10"/>
  <c r="U57" i="10"/>
  <c r="U64" i="10"/>
  <c r="U70" i="10"/>
  <c r="U66" i="10"/>
  <c r="U59" i="10"/>
  <c r="R66" i="9"/>
  <c r="V22" i="25"/>
  <c r="V26" i="25" s="1"/>
  <c r="V5" i="25" s="1"/>
  <c r="AI55" i="9"/>
  <c r="AI54" i="9" s="1"/>
  <c r="AL69" i="10"/>
  <c r="AL77" i="10"/>
  <c r="AL72" i="10"/>
  <c r="AL75" i="10"/>
  <c r="AL76" i="10"/>
  <c r="AL74" i="10"/>
  <c r="AL66" i="10"/>
  <c r="AL62" i="10"/>
  <c r="AL78" i="10"/>
  <c r="AL59" i="10"/>
  <c r="AL64" i="10"/>
  <c r="AL54" i="10"/>
  <c r="AL50" i="10"/>
  <c r="AL46" i="10"/>
  <c r="AL58" i="10"/>
  <c r="AL53" i="10"/>
  <c r="AL70" i="10"/>
  <c r="AL68" i="10"/>
  <c r="AL71" i="10"/>
  <c r="AL47" i="10"/>
  <c r="AL73" i="10"/>
  <c r="AL61" i="10"/>
  <c r="AL49" i="10"/>
  <c r="AL52" i="10"/>
  <c r="AL51" i="10"/>
  <c r="AL65" i="10"/>
  <c r="AL63" i="10"/>
  <c r="AL57" i="10"/>
  <c r="AL67" i="10"/>
  <c r="AL60" i="10"/>
  <c r="AL56" i="10"/>
  <c r="AL55" i="10"/>
  <c r="AL48" i="10"/>
  <c r="AL79" i="10"/>
  <c r="AI66" i="9"/>
  <c r="AM22" i="25"/>
  <c r="AM26" i="25" s="1"/>
  <c r="AM5" i="25" s="1"/>
  <c r="AF55" i="9"/>
  <c r="AF54" i="9" s="1"/>
  <c r="AI76" i="10"/>
  <c r="AI64" i="10"/>
  <c r="AI73" i="10"/>
  <c r="AI74" i="10"/>
  <c r="AI63" i="10"/>
  <c r="AI70" i="10"/>
  <c r="AI65" i="10"/>
  <c r="AI60" i="10"/>
  <c r="AI71" i="10"/>
  <c r="AI57" i="10"/>
  <c r="AI68" i="10"/>
  <c r="AI66" i="10"/>
  <c r="AI59" i="10"/>
  <c r="AI69" i="10"/>
  <c r="AI58" i="10"/>
  <c r="AI52" i="10"/>
  <c r="AI48" i="10"/>
  <c r="AI72" i="10"/>
  <c r="AI56" i="10"/>
  <c r="AI53" i="10"/>
  <c r="AI46" i="10"/>
  <c r="AI62" i="10"/>
  <c r="AI51" i="10"/>
  <c r="AI75" i="10"/>
  <c r="AI67" i="10"/>
  <c r="AI55" i="10"/>
  <c r="AI54" i="10"/>
  <c r="AI50" i="10"/>
  <c r="AI78" i="10"/>
  <c r="AI49" i="10"/>
  <c r="AI77" i="10"/>
  <c r="AI79" i="10"/>
  <c r="AI47" i="10"/>
  <c r="AI61" i="10"/>
  <c r="AF66" i="9"/>
  <c r="AJ22" i="25"/>
  <c r="AJ26" i="25" s="1"/>
  <c r="AJ5" i="25" s="1"/>
  <c r="AJ55" i="9"/>
  <c r="AJ54" i="9" s="1"/>
  <c r="AM72" i="10"/>
  <c r="AM66" i="10"/>
  <c r="AM62" i="10"/>
  <c r="AM75" i="10"/>
  <c r="AM76" i="10"/>
  <c r="AM77" i="10"/>
  <c r="AM68" i="10"/>
  <c r="AM65" i="10"/>
  <c r="AM71" i="10"/>
  <c r="AM73" i="10"/>
  <c r="AM74" i="10"/>
  <c r="AM78" i="10"/>
  <c r="AM64" i="10"/>
  <c r="AM54" i="10"/>
  <c r="AM50" i="10"/>
  <c r="AM46" i="10"/>
  <c r="AM79" i="10"/>
  <c r="AM59" i="10"/>
  <c r="AM61" i="10"/>
  <c r="AM55" i="10"/>
  <c r="AM48" i="10"/>
  <c r="AM53" i="10"/>
  <c r="AM63" i="10"/>
  <c r="AM60" i="10"/>
  <c r="AM57" i="10"/>
  <c r="AM49" i="10"/>
  <c r="AM58" i="10"/>
  <c r="AM47" i="10"/>
  <c r="AM56" i="10"/>
  <c r="AM70" i="10"/>
  <c r="AM67" i="10"/>
  <c r="AM52" i="10"/>
  <c r="AM51" i="10"/>
  <c r="AM69" i="10"/>
  <c r="AJ66" i="9"/>
  <c r="AN22" i="25"/>
  <c r="AN26" i="25" s="1"/>
  <c r="AN5" i="25" s="1"/>
  <c r="AC55" i="9"/>
  <c r="AC54" i="9" s="1"/>
  <c r="AF75" i="10"/>
  <c r="AF69" i="10"/>
  <c r="AF78" i="10"/>
  <c r="AF64" i="10"/>
  <c r="AF59" i="10"/>
  <c r="AF73" i="10"/>
  <c r="AF68" i="10"/>
  <c r="AF61" i="10"/>
  <c r="AF56" i="10"/>
  <c r="AF74" i="10"/>
  <c r="AF63" i="10"/>
  <c r="AF60" i="10"/>
  <c r="AF57" i="10"/>
  <c r="AF55" i="10"/>
  <c r="AF51" i="10"/>
  <c r="AF47" i="10"/>
  <c r="AF70" i="10"/>
  <c r="AF65" i="10"/>
  <c r="AF71" i="10"/>
  <c r="AF67" i="10"/>
  <c r="AF54" i="10"/>
  <c r="AF58" i="10"/>
  <c r="AF49" i="10"/>
  <c r="AF53" i="10"/>
  <c r="AF52" i="10"/>
  <c r="AF48" i="10"/>
  <c r="AF76" i="10"/>
  <c r="AF46" i="10"/>
  <c r="AF62" i="10"/>
  <c r="AF66" i="10"/>
  <c r="AF72" i="10"/>
  <c r="AF50" i="10"/>
  <c r="AF77" i="10"/>
  <c r="AF79" i="10"/>
  <c r="AC66" i="9"/>
  <c r="AG22" i="25"/>
  <c r="AG26" i="25" s="1"/>
  <c r="AG5" i="25" s="1"/>
  <c r="V55" i="9"/>
  <c r="V54" i="9" s="1"/>
  <c r="Y70" i="10"/>
  <c r="Y78" i="10"/>
  <c r="Y67" i="10"/>
  <c r="Y63" i="10"/>
  <c r="Y74" i="10"/>
  <c r="Y69" i="10"/>
  <c r="Y65" i="10"/>
  <c r="Y60" i="10"/>
  <c r="Y71" i="10"/>
  <c r="Y56" i="10"/>
  <c r="Y75" i="10"/>
  <c r="Y64" i="10"/>
  <c r="Y62" i="10"/>
  <c r="Y76" i="10"/>
  <c r="Y59" i="10"/>
  <c r="Y58" i="10"/>
  <c r="Y55" i="10"/>
  <c r="Y51" i="10"/>
  <c r="Y47" i="10"/>
  <c r="Y77" i="10"/>
  <c r="Y66" i="10"/>
  <c r="Y72" i="10"/>
  <c r="Y46" i="10"/>
  <c r="Y73" i="10"/>
  <c r="Y61" i="10"/>
  <c r="Y53" i="10"/>
  <c r="Y79" i="10"/>
  <c r="Y49" i="10"/>
  <c r="Y57" i="10"/>
  <c r="Y50" i="10"/>
  <c r="Y54" i="10"/>
  <c r="Y68" i="10"/>
  <c r="Y48" i="10"/>
  <c r="Y52" i="10"/>
  <c r="V66" i="9"/>
  <c r="Z22" i="25"/>
  <c r="Z26" i="25" s="1"/>
  <c r="Z5" i="25" s="1"/>
  <c r="W55" i="9"/>
  <c r="W54" i="9" s="1"/>
  <c r="Z73" i="10"/>
  <c r="Z68" i="10"/>
  <c r="Z76" i="10"/>
  <c r="Z63" i="10"/>
  <c r="Z60" i="10"/>
  <c r="Z70" i="10"/>
  <c r="Z57" i="10"/>
  <c r="Z71" i="10"/>
  <c r="Z65" i="10"/>
  <c r="Z72" i="10"/>
  <c r="Z52" i="10"/>
  <c r="Z48" i="10"/>
  <c r="Z74" i="10"/>
  <c r="Z64" i="10"/>
  <c r="Z62" i="10"/>
  <c r="Z75" i="10"/>
  <c r="Z59" i="10"/>
  <c r="Z58" i="10"/>
  <c r="Z55" i="10"/>
  <c r="Z51" i="10"/>
  <c r="Z67" i="10"/>
  <c r="Z46" i="10"/>
  <c r="Z61" i="10"/>
  <c r="Z47" i="10"/>
  <c r="Z69" i="10"/>
  <c r="Z49" i="10"/>
  <c r="Z78" i="10"/>
  <c r="Z54" i="10"/>
  <c r="Z56" i="10"/>
  <c r="Z77" i="10"/>
  <c r="Z53" i="10"/>
  <c r="Z50" i="10"/>
  <c r="Z79" i="10"/>
  <c r="Z66" i="10"/>
  <c r="W66" i="9"/>
  <c r="AA22" i="25"/>
  <c r="AA26" i="25" s="1"/>
  <c r="AA5" i="25" s="1"/>
  <c r="O55" i="9"/>
  <c r="O54" i="9" s="1"/>
  <c r="R73" i="10"/>
  <c r="R68" i="10"/>
  <c r="R70" i="10"/>
  <c r="R79" i="10"/>
  <c r="R66" i="10"/>
  <c r="R60" i="10"/>
  <c r="R76" i="10"/>
  <c r="R57" i="10"/>
  <c r="R77" i="10"/>
  <c r="R62" i="10"/>
  <c r="R63" i="10"/>
  <c r="R61" i="10"/>
  <c r="R52" i="10"/>
  <c r="R48" i="10"/>
  <c r="R69" i="10"/>
  <c r="R65" i="10"/>
  <c r="R71" i="10"/>
  <c r="R67" i="10"/>
  <c r="R55" i="10"/>
  <c r="R51" i="10"/>
  <c r="R58" i="10"/>
  <c r="R56" i="10"/>
  <c r="R47" i="10"/>
  <c r="R64" i="10"/>
  <c r="R59" i="10"/>
  <c r="R74" i="10"/>
  <c r="R78" i="10"/>
  <c r="R54" i="10"/>
  <c r="R53" i="10"/>
  <c r="R50" i="10"/>
  <c r="R72" i="10"/>
  <c r="R49" i="10"/>
  <c r="R75" i="10"/>
  <c r="R46" i="10"/>
  <c r="O66" i="9"/>
  <c r="S22" i="25"/>
  <c r="S26" i="25" s="1"/>
  <c r="S5" i="25" s="1"/>
  <c r="AM55" i="9"/>
  <c r="AM54" i="9" s="1"/>
  <c r="AP73" i="10"/>
  <c r="AP68" i="10"/>
  <c r="AP76" i="10"/>
  <c r="AP77" i="10"/>
  <c r="AP78" i="10"/>
  <c r="AP60" i="10"/>
  <c r="AP75" i="10"/>
  <c r="AP57" i="10"/>
  <c r="AP79" i="10"/>
  <c r="AP67" i="10"/>
  <c r="AP63" i="10"/>
  <c r="AP61" i="10"/>
  <c r="AP70" i="10"/>
  <c r="AP56" i="10"/>
  <c r="AP52" i="10"/>
  <c r="AP48" i="10"/>
  <c r="AP71" i="10"/>
  <c r="AP62" i="10"/>
  <c r="AP72" i="10"/>
  <c r="AP55" i="10"/>
  <c r="AP51" i="10"/>
  <c r="AP74" i="10"/>
  <c r="AP66" i="10"/>
  <c r="AP49" i="10"/>
  <c r="AP64" i="10"/>
  <c r="AP50" i="10"/>
  <c r="AP47" i="10"/>
  <c r="AP59" i="10"/>
  <c r="AP46" i="10"/>
  <c r="AP53" i="10"/>
  <c r="AP69" i="10"/>
  <c r="AP54" i="10"/>
  <c r="AP65" i="10"/>
  <c r="AP58" i="10"/>
  <c r="AM66" i="9"/>
  <c r="AQ22" i="25"/>
  <c r="AQ26" i="25" s="1"/>
  <c r="AQ5" i="25" s="1"/>
  <c r="P55" i="9"/>
  <c r="P54" i="9" s="1"/>
  <c r="S76" i="10"/>
  <c r="S64" i="10"/>
  <c r="S72" i="10"/>
  <c r="S62" i="10"/>
  <c r="S77" i="10"/>
  <c r="S59" i="10"/>
  <c r="S78" i="10"/>
  <c r="S66" i="10"/>
  <c r="S57" i="10"/>
  <c r="S79" i="10"/>
  <c r="S68" i="10"/>
  <c r="S63" i="10"/>
  <c r="S61" i="10"/>
  <c r="S52" i="10"/>
  <c r="S48" i="10"/>
  <c r="S69" i="10"/>
  <c r="S65" i="10"/>
  <c r="S73" i="10"/>
  <c r="S54" i="10"/>
  <c r="S49" i="10"/>
  <c r="S74" i="10"/>
  <c r="S75" i="10"/>
  <c r="S55" i="10"/>
  <c r="S71" i="10"/>
  <c r="S60" i="10"/>
  <c r="S53" i="10"/>
  <c r="S50" i="10"/>
  <c r="S47" i="10"/>
  <c r="S70" i="10"/>
  <c r="S51" i="10"/>
  <c r="S67" i="10"/>
  <c r="S56" i="10"/>
  <c r="S58" i="10"/>
  <c r="S46" i="10"/>
  <c r="P66" i="9"/>
  <c r="T22" i="25"/>
  <c r="T26" i="25" s="1"/>
  <c r="T5" i="25" s="1"/>
  <c r="AL55" i="9"/>
  <c r="AL54" i="9" s="1"/>
  <c r="AO70" i="10"/>
  <c r="AO78" i="10"/>
  <c r="AO67" i="10"/>
  <c r="AO63" i="10"/>
  <c r="AO73" i="10"/>
  <c r="AO76" i="10"/>
  <c r="AO77" i="10"/>
  <c r="AO64" i="10"/>
  <c r="AO61" i="10"/>
  <c r="AO56" i="10"/>
  <c r="AO75" i="10"/>
  <c r="AO62" i="10"/>
  <c r="AO79" i="10"/>
  <c r="AO55" i="10"/>
  <c r="AO51" i="10"/>
  <c r="AO47" i="10"/>
  <c r="AO66" i="10"/>
  <c r="AO69" i="10"/>
  <c r="AO49" i="10"/>
  <c r="AO71" i="10"/>
  <c r="AO52" i="10"/>
  <c r="AO72" i="10"/>
  <c r="AO68" i="10"/>
  <c r="AO59" i="10"/>
  <c r="AO74" i="10"/>
  <c r="AO46" i="10"/>
  <c r="AO53" i="10"/>
  <c r="AO48" i="10"/>
  <c r="AO65" i="10"/>
  <c r="AO58" i="10"/>
  <c r="AO60" i="10"/>
  <c r="AO57" i="10"/>
  <c r="AO50" i="10"/>
  <c r="AO54" i="10"/>
  <c r="AL66" i="9"/>
  <c r="AP22" i="25"/>
  <c r="AP26" i="25" s="1"/>
  <c r="AP5" i="25" s="1"/>
  <c r="AE55" i="9"/>
  <c r="AE54" i="9" s="1"/>
  <c r="AH73" i="10"/>
  <c r="AH68" i="10"/>
  <c r="AH71" i="10"/>
  <c r="AH72" i="10"/>
  <c r="AH67" i="10"/>
  <c r="AH60" i="10"/>
  <c r="AH70" i="10"/>
  <c r="AH57" i="10"/>
  <c r="AH74" i="10"/>
  <c r="AH64" i="10"/>
  <c r="AH75" i="10"/>
  <c r="AH58" i="10"/>
  <c r="AH52" i="10"/>
  <c r="AH48" i="10"/>
  <c r="AH76" i="10"/>
  <c r="AH63" i="10"/>
  <c r="AH77" i="10"/>
  <c r="AH61" i="10"/>
  <c r="AH56" i="10"/>
  <c r="AH55" i="10"/>
  <c r="AH51" i="10"/>
  <c r="AH79" i="10"/>
  <c r="AH66" i="10"/>
  <c r="AH62" i="10"/>
  <c r="AH54" i="10"/>
  <c r="AH50" i="10"/>
  <c r="AH59" i="10"/>
  <c r="AH78" i="10"/>
  <c r="AH46" i="10"/>
  <c r="AH69" i="10"/>
  <c r="AH47" i="10"/>
  <c r="AH53" i="10"/>
  <c r="AH65" i="10"/>
  <c r="AH49" i="10"/>
  <c r="AE66" i="9"/>
  <c r="AI22" i="25"/>
  <c r="AI26" i="25" s="1"/>
  <c r="AI5" i="25" s="1"/>
  <c r="Y55" i="9"/>
  <c r="Y54" i="9" s="1"/>
  <c r="AB71" i="10"/>
  <c r="AB79" i="10"/>
  <c r="AB70" i="10"/>
  <c r="AB62" i="10"/>
  <c r="AB61" i="10"/>
  <c r="AB72" i="10"/>
  <c r="AB66" i="10"/>
  <c r="AB59" i="10"/>
  <c r="AB58" i="10"/>
  <c r="AB73" i="10"/>
  <c r="AB78" i="10"/>
  <c r="AB67" i="10"/>
  <c r="AB53" i="10"/>
  <c r="AB49" i="10"/>
  <c r="AB64" i="10"/>
  <c r="AB52" i="10"/>
  <c r="AB60" i="10"/>
  <c r="AB55" i="10"/>
  <c r="AB47" i="10"/>
  <c r="AB65" i="10"/>
  <c r="AB63" i="10"/>
  <c r="AB50" i="10"/>
  <c r="AB69" i="10"/>
  <c r="AB51" i="10"/>
  <c r="AB54" i="10"/>
  <c r="AB56" i="10"/>
  <c r="AB75" i="10"/>
  <c r="AB77" i="10"/>
  <c r="AB68" i="10"/>
  <c r="AB74" i="10"/>
  <c r="AB57" i="10"/>
  <c r="AB46" i="10"/>
  <c r="AB76" i="10"/>
  <c r="AB48" i="10"/>
  <c r="Y66" i="9"/>
  <c r="AC22" i="25"/>
  <c r="AC26" i="25" s="1"/>
  <c r="AC5" i="25" s="1"/>
  <c r="H55" i="9"/>
  <c r="H54" i="9" s="1"/>
  <c r="K76" i="10"/>
  <c r="K64" i="10"/>
  <c r="K75" i="10"/>
  <c r="K65" i="10"/>
  <c r="K72" i="10"/>
  <c r="K68" i="10"/>
  <c r="K73" i="10"/>
  <c r="K67" i="10"/>
  <c r="K63" i="10"/>
  <c r="K59" i="10"/>
  <c r="K57" i="10"/>
  <c r="K74" i="10"/>
  <c r="K77" i="10"/>
  <c r="K66" i="10"/>
  <c r="K60" i="10"/>
  <c r="K56" i="10"/>
  <c r="K52" i="10"/>
  <c r="K71" i="10"/>
  <c r="K62" i="10"/>
  <c r="K50" i="10"/>
  <c r="K79" i="10"/>
  <c r="K53" i="10"/>
  <c r="K61" i="10"/>
  <c r="K49" i="10"/>
  <c r="K70" i="10"/>
  <c r="K58" i="10"/>
  <c r="K51" i="10"/>
  <c r="K69" i="10"/>
  <c r="K55" i="10"/>
  <c r="K54" i="10"/>
  <c r="H66" i="9"/>
  <c r="L22" i="25"/>
  <c r="L26" i="25" s="1"/>
  <c r="L5" i="25" s="1"/>
  <c r="I55" i="9"/>
  <c r="I54" i="9" s="1"/>
  <c r="L71" i="10"/>
  <c r="L79" i="10"/>
  <c r="L77" i="10"/>
  <c r="L68" i="10"/>
  <c r="L61" i="10"/>
  <c r="L73" i="10"/>
  <c r="L64" i="10"/>
  <c r="L58" i="10"/>
  <c r="L74" i="10"/>
  <c r="L70" i="10"/>
  <c r="L62" i="10"/>
  <c r="L59" i="10"/>
  <c r="L57" i="10"/>
  <c r="L53" i="10"/>
  <c r="L49" i="10"/>
  <c r="L72" i="10"/>
  <c r="L75" i="10"/>
  <c r="L66" i="10"/>
  <c r="L60" i="10"/>
  <c r="L56" i="10"/>
  <c r="L52" i="10"/>
  <c r="L63" i="10"/>
  <c r="L47" i="10"/>
  <c r="L69" i="10"/>
  <c r="L78" i="10"/>
  <c r="L54" i="10"/>
  <c r="L67" i="10"/>
  <c r="L65" i="10"/>
  <c r="L76" i="10"/>
  <c r="L55" i="10"/>
  <c r="L48" i="10"/>
  <c r="L46" i="10"/>
  <c r="L51" i="10"/>
  <c r="I66" i="9"/>
  <c r="M22" i="25"/>
  <c r="M26" i="25" s="1"/>
  <c r="M5" i="25" s="1"/>
  <c r="Q55" i="9"/>
  <c r="Q54" i="9" s="1"/>
  <c r="T71" i="10"/>
  <c r="T79" i="10"/>
  <c r="T74" i="10"/>
  <c r="T65" i="10"/>
  <c r="T61" i="10"/>
  <c r="T77" i="10"/>
  <c r="T67" i="10"/>
  <c r="T63" i="10"/>
  <c r="T58" i="10"/>
  <c r="T78" i="10"/>
  <c r="T59" i="10"/>
  <c r="T75" i="10"/>
  <c r="T56" i="10"/>
  <c r="T53" i="10"/>
  <c r="T49" i="10"/>
  <c r="T76" i="10"/>
  <c r="T68" i="10"/>
  <c r="T52" i="10"/>
  <c r="T51" i="10"/>
  <c r="T54" i="10"/>
  <c r="T48" i="10"/>
  <c r="T69" i="10"/>
  <c r="T66" i="10"/>
  <c r="T62" i="10"/>
  <c r="T72" i="10"/>
  <c r="T46" i="10"/>
  <c r="T57" i="10"/>
  <c r="T64" i="10"/>
  <c r="T73" i="10"/>
  <c r="T70" i="10"/>
  <c r="T55" i="10"/>
  <c r="T60" i="10"/>
  <c r="T47" i="10"/>
  <c r="T50" i="10"/>
  <c r="Q66" i="9"/>
  <c r="U22" i="25"/>
  <c r="U26" i="25" s="1"/>
  <c r="U5" i="25" s="1"/>
  <c r="AD55" i="9"/>
  <c r="AD54" i="9" s="1"/>
  <c r="AG70" i="10"/>
  <c r="AG78" i="10"/>
  <c r="AG67" i="10"/>
  <c r="AG63" i="10"/>
  <c r="AG69" i="10"/>
  <c r="AG79" i="10"/>
  <c r="AG71" i="10"/>
  <c r="AG73" i="10"/>
  <c r="AG64" i="10"/>
  <c r="AG74" i="10"/>
  <c r="AG68" i="10"/>
  <c r="AG61" i="10"/>
  <c r="AG56" i="10"/>
  <c r="AG77" i="10"/>
  <c r="AG60" i="10"/>
  <c r="AG57" i="10"/>
  <c r="AG55" i="10"/>
  <c r="AG51" i="10"/>
  <c r="AG47" i="10"/>
  <c r="AG65" i="10"/>
  <c r="AG54" i="10"/>
  <c r="AG50" i="10"/>
  <c r="AG72" i="10"/>
  <c r="AG59" i="10"/>
  <c r="AG58" i="10"/>
  <c r="AG75" i="10"/>
  <c r="AG66" i="10"/>
  <c r="AG53" i="10"/>
  <c r="AG52" i="10"/>
  <c r="AG48" i="10"/>
  <c r="AG76" i="10"/>
  <c r="AG46" i="10"/>
  <c r="AG62" i="10"/>
  <c r="AG49" i="10"/>
  <c r="AD66" i="9"/>
  <c r="AH22" i="25"/>
  <c r="AH26" i="25" s="1"/>
  <c r="AH5" i="25" s="1"/>
  <c r="AA55" i="9"/>
  <c r="AA54" i="9" s="1"/>
  <c r="AD69" i="10"/>
  <c r="AD77" i="10"/>
  <c r="AD74" i="10"/>
  <c r="AD68" i="10"/>
  <c r="AD65" i="10"/>
  <c r="AD72" i="10"/>
  <c r="AD67" i="10"/>
  <c r="AD63" i="10"/>
  <c r="AD73" i="10"/>
  <c r="AD75" i="10"/>
  <c r="AD61" i="10"/>
  <c r="AD56" i="10"/>
  <c r="AD54" i="10"/>
  <c r="AD50" i="10"/>
  <c r="AD46" i="10"/>
  <c r="AD76" i="10"/>
  <c r="AD78" i="10"/>
  <c r="AD62" i="10"/>
  <c r="AD53" i="10"/>
  <c r="AD52" i="10"/>
  <c r="AD48" i="10"/>
  <c r="AD60" i="10"/>
  <c r="AD71" i="10"/>
  <c r="AD51" i="10"/>
  <c r="AD47" i="10"/>
  <c r="AD59" i="10"/>
  <c r="AD55" i="10"/>
  <c r="AD79" i="10"/>
  <c r="AD58" i="10"/>
  <c r="AD70" i="10"/>
  <c r="AD49" i="10"/>
  <c r="AD66" i="10"/>
  <c r="AD64" i="10"/>
  <c r="AD57" i="10"/>
  <c r="AA66" i="9"/>
  <c r="AE22" i="25"/>
  <c r="AE26" i="25" s="1"/>
  <c r="AE5" i="25" s="1"/>
  <c r="AK55" i="9"/>
  <c r="AK54" i="9" s="1"/>
  <c r="AN75" i="10"/>
  <c r="AN70" i="10"/>
  <c r="AN78" i="10"/>
  <c r="AN76" i="10"/>
  <c r="AN77" i="10"/>
  <c r="AN59" i="10"/>
  <c r="AN69" i="10"/>
  <c r="AN67" i="10"/>
  <c r="AN63" i="10"/>
  <c r="AN56" i="10"/>
  <c r="AN71" i="10"/>
  <c r="AN66" i="10"/>
  <c r="AN62" i="10"/>
  <c r="AN55" i="10"/>
  <c r="AN51" i="10"/>
  <c r="AN47" i="10"/>
  <c r="AN72" i="10"/>
  <c r="AN64" i="10"/>
  <c r="AN54" i="10"/>
  <c r="AN73" i="10"/>
  <c r="AN52" i="10"/>
  <c r="AN68" i="10"/>
  <c r="AN61" i="10"/>
  <c r="AN48" i="10"/>
  <c r="AN65" i="10"/>
  <c r="AN49" i="10"/>
  <c r="AN53" i="10"/>
  <c r="AN60" i="10"/>
  <c r="AN57" i="10"/>
  <c r="AN79" i="10"/>
  <c r="AN46" i="10"/>
  <c r="AN74" i="10"/>
  <c r="AN58" i="10"/>
  <c r="AN50" i="10"/>
  <c r="AK66" i="9"/>
  <c r="AO22" i="25"/>
  <c r="AO26" i="25" s="1"/>
  <c r="AO5" i="25" s="1"/>
  <c r="J55" i="9"/>
  <c r="J54" i="9" s="1"/>
  <c r="M74" i="10"/>
  <c r="M65" i="10"/>
  <c r="M70" i="10"/>
  <c r="M79" i="10"/>
  <c r="M73" i="10"/>
  <c r="M75" i="10"/>
  <c r="M68" i="10"/>
  <c r="M64" i="10"/>
  <c r="M58" i="10"/>
  <c r="M69" i="10"/>
  <c r="M62" i="10"/>
  <c r="M59" i="10"/>
  <c r="M57" i="10"/>
  <c r="M53" i="10"/>
  <c r="M49" i="10"/>
  <c r="M71" i="10"/>
  <c r="M76" i="10"/>
  <c r="M46" i="10"/>
  <c r="M77" i="10"/>
  <c r="M78" i="10"/>
  <c r="M60" i="10"/>
  <c r="M55" i="10"/>
  <c r="M54" i="10"/>
  <c r="M47" i="10"/>
  <c r="M67" i="10"/>
  <c r="M66" i="10"/>
  <c r="M56" i="10"/>
  <c r="M63" i="10"/>
  <c r="M61" i="10"/>
  <c r="M52" i="10"/>
  <c r="M51" i="10"/>
  <c r="M50" i="10"/>
  <c r="M72" i="10"/>
  <c r="M48" i="10"/>
  <c r="J66" i="9"/>
  <c r="N22" i="25"/>
  <c r="N26" i="25" s="1"/>
  <c r="N5" i="25" s="1"/>
  <c r="AQ76" i="10"/>
  <c r="AQ53" i="10"/>
  <c r="AQ64" i="10"/>
  <c r="AQ51" i="10"/>
  <c r="AQ65" i="10"/>
  <c r="AQ70" i="10"/>
  <c r="AQ78" i="10"/>
  <c r="AQ67" i="10"/>
  <c r="AQ74" i="10"/>
  <c r="AQ57" i="10"/>
  <c r="AQ49" i="10"/>
  <c r="AQ48" i="10"/>
  <c r="AQ50" i="10"/>
  <c r="AQ77" i="10"/>
  <c r="AQ52" i="10"/>
  <c r="AQ63" i="10"/>
  <c r="AQ54" i="10"/>
  <c r="AQ69" i="10"/>
  <c r="AQ60" i="10"/>
  <c r="AQ79" i="10"/>
  <c r="AQ72" i="10"/>
  <c r="AQ46" i="10"/>
  <c r="AQ56" i="10"/>
  <c r="AQ75" i="10"/>
  <c r="AQ73" i="10"/>
  <c r="AN55" i="9"/>
  <c r="AN54" i="9" s="1"/>
  <c r="AQ68" i="10"/>
  <c r="AQ58" i="10"/>
  <c r="AQ55" i="10"/>
  <c r="AQ71" i="10"/>
  <c r="AQ61" i="10"/>
  <c r="AQ66" i="10"/>
  <c r="AQ59" i="10"/>
  <c r="AQ62" i="10"/>
  <c r="AN66" i="9"/>
  <c r="AR22" i="25"/>
  <c r="AR26" i="25" s="1"/>
  <c r="AR5" i="25" s="1"/>
  <c r="I35" i="25"/>
  <c r="I6" i="25" s="1"/>
  <c r="I41" i="25"/>
  <c r="I43" i="25" s="1"/>
  <c r="I7" i="25" s="1"/>
  <c r="AN65" i="9" l="1"/>
  <c r="AM32" i="34" s="1"/>
  <c r="K46" i="34" s="1"/>
  <c r="AM33" i="34"/>
  <c r="K47" i="34" s="1"/>
  <c r="J65" i="9"/>
  <c r="I32" i="34" s="1"/>
  <c r="E46" i="34" s="1"/>
  <c r="I33" i="34"/>
  <c r="E47" i="34" s="1"/>
  <c r="AK65" i="9"/>
  <c r="AJ32" i="34" s="1"/>
  <c r="AJ33" i="34"/>
  <c r="AA65" i="9"/>
  <c r="Z32" i="34" s="1"/>
  <c r="Z33" i="34"/>
  <c r="AD65" i="9"/>
  <c r="AC32" i="34" s="1"/>
  <c r="I46" i="34" s="1"/>
  <c r="AC33" i="34"/>
  <c r="I47" i="34" s="1"/>
  <c r="Q65" i="9"/>
  <c r="P32" i="34" s="1"/>
  <c r="P33" i="34"/>
  <c r="I65" i="9"/>
  <c r="H32" i="34" s="1"/>
  <c r="H33" i="34"/>
  <c r="H65" i="9"/>
  <c r="G32" i="34" s="1"/>
  <c r="G33" i="34"/>
  <c r="Y65" i="9"/>
  <c r="X32" i="34" s="1"/>
  <c r="H46" i="34" s="1"/>
  <c r="X33" i="34"/>
  <c r="H47" i="34" s="1"/>
  <c r="AE65" i="9"/>
  <c r="AD32" i="34" s="1"/>
  <c r="AD33" i="34"/>
  <c r="AL65" i="9"/>
  <c r="AK32" i="34" s="1"/>
  <c r="AK33" i="34"/>
  <c r="P65" i="9"/>
  <c r="O32" i="34" s="1"/>
  <c r="O33" i="34"/>
  <c r="AM65" i="9"/>
  <c r="AL32" i="34" s="1"/>
  <c r="AL33" i="34"/>
  <c r="O65" i="9"/>
  <c r="N32" i="34" s="1"/>
  <c r="F46" i="34" s="1"/>
  <c r="N33" i="34"/>
  <c r="F47" i="34" s="1"/>
  <c r="W65" i="9"/>
  <c r="V32" i="34" s="1"/>
  <c r="V33" i="34"/>
  <c r="V65" i="9"/>
  <c r="U32" i="34" s="1"/>
  <c r="U33" i="34"/>
  <c r="AC65" i="9"/>
  <c r="AB32" i="34" s="1"/>
  <c r="AB33" i="34"/>
  <c r="AJ65" i="9"/>
  <c r="AI32" i="34" s="1"/>
  <c r="AI33" i="34"/>
  <c r="AF65" i="9"/>
  <c r="AE32" i="34" s="1"/>
  <c r="AE33" i="34"/>
  <c r="AI65" i="9"/>
  <c r="AH32" i="34" s="1"/>
  <c r="J46" i="34" s="1"/>
  <c r="AH33" i="34"/>
  <c r="J47" i="34" s="1"/>
  <c r="R65" i="9"/>
  <c r="Q32" i="34" s="1"/>
  <c r="Q33" i="34"/>
  <c r="K65" i="9"/>
  <c r="J32" i="34" s="1"/>
  <c r="J33" i="34"/>
  <c r="AG65" i="9"/>
  <c r="AF32" i="34" s="1"/>
  <c r="AF33" i="34"/>
  <c r="M65" i="9"/>
  <c r="L32" i="34" s="1"/>
  <c r="L33" i="34"/>
  <c r="L65" i="9"/>
  <c r="K32" i="34" s="1"/>
  <c r="K33" i="34"/>
  <c r="G65" i="9"/>
  <c r="F32" i="34" s="1"/>
  <c r="F33" i="34"/>
  <c r="U65" i="9"/>
  <c r="T32" i="34" s="1"/>
  <c r="T33" i="34"/>
  <c r="Z65" i="9"/>
  <c r="Y32" i="34" s="1"/>
  <c r="Y33" i="34"/>
  <c r="T65" i="9"/>
  <c r="S32" i="34" s="1"/>
  <c r="G46" i="34" s="1"/>
  <c r="S33" i="34"/>
  <c r="G47" i="34" s="1"/>
  <c r="N65" i="9"/>
  <c r="M32" i="34" s="1"/>
  <c r="M33" i="34"/>
  <c r="AB65" i="9"/>
  <c r="AA32" i="34" s="1"/>
  <c r="AA33" i="34"/>
  <c r="S65" i="9"/>
  <c r="R32" i="34" s="1"/>
  <c r="R33" i="34"/>
  <c r="AH65" i="9"/>
  <c r="AG32" i="34" s="1"/>
  <c r="AG33" i="34"/>
  <c r="X65" i="9"/>
  <c r="W32" i="34" s="1"/>
  <c r="W33" i="34"/>
  <c r="B66" i="9"/>
  <c r="G48" i="10"/>
  <c r="I8" i="25"/>
  <c r="F25" i="9" s="1"/>
  <c r="G64" i="10"/>
  <c r="G74" i="10"/>
  <c r="G59" i="10"/>
  <c r="G68" i="10"/>
  <c r="G54" i="10"/>
  <c r="G46" i="10"/>
  <c r="C6" i="25"/>
  <c r="J26" i="25"/>
  <c r="J5" i="25" s="1"/>
  <c r="L33" i="25"/>
  <c r="R33" i="25"/>
  <c r="AJ33" i="25"/>
  <c r="T33" i="25"/>
  <c r="AL33" i="25"/>
  <c r="AH33" i="25"/>
  <c r="AC33" i="25"/>
  <c r="X33" i="25"/>
  <c r="Q33" i="25"/>
  <c r="AE33" i="25"/>
  <c r="K33" i="25"/>
  <c r="V33" i="25"/>
  <c r="Z33" i="25"/>
  <c r="AK33" i="25"/>
  <c r="AO33" i="25"/>
  <c r="W33" i="25"/>
  <c r="AR33" i="25"/>
  <c r="P33" i="25"/>
  <c r="U33" i="25"/>
  <c r="Y33" i="25"/>
  <c r="AB33" i="25"/>
  <c r="AQ33" i="25"/>
  <c r="AD33" i="25"/>
  <c r="S33" i="25"/>
  <c r="AM33" i="25"/>
  <c r="AF33" i="25"/>
  <c r="AP33" i="25"/>
  <c r="AN33" i="25"/>
  <c r="N33" i="25"/>
  <c r="M33" i="25"/>
  <c r="AI33" i="25"/>
  <c r="AG33" i="25"/>
  <c r="O33" i="25"/>
  <c r="AA33" i="25"/>
  <c r="J33" i="25"/>
  <c r="G60" i="10"/>
  <c r="G66" i="10"/>
  <c r="G61" i="10"/>
  <c r="G47" i="10"/>
  <c r="G52" i="10"/>
  <c r="G53" i="10"/>
  <c r="G73" i="10"/>
  <c r="G51" i="10"/>
  <c r="G58" i="10"/>
  <c r="G75" i="10"/>
  <c r="G72" i="10"/>
  <c r="G76" i="10"/>
  <c r="G69" i="10"/>
  <c r="G62" i="10"/>
  <c r="G63" i="10"/>
  <c r="G55" i="10"/>
  <c r="G79" i="10"/>
  <c r="G56" i="10"/>
  <c r="G78" i="10"/>
  <c r="G71" i="10"/>
  <c r="G65" i="10"/>
  <c r="G49" i="10"/>
  <c r="G57" i="10"/>
  <c r="G70" i="10"/>
  <c r="G67" i="10"/>
  <c r="G77" i="10"/>
  <c r="G50" i="10"/>
  <c r="F22" i="9" l="1"/>
  <c r="E9" i="34" s="1"/>
  <c r="I43" i="10" a="1"/>
  <c r="I43" i="10" s="1"/>
  <c r="C7" i="25"/>
  <c r="J35" i="25"/>
  <c r="J6" i="25" s="1"/>
  <c r="J41" i="25"/>
  <c r="AA35" i="25"/>
  <c r="AA6" i="25" s="1"/>
  <c r="AA41" i="25"/>
  <c r="AA43" i="25" s="1"/>
  <c r="AA7" i="25" s="1"/>
  <c r="O35" i="25"/>
  <c r="O6" i="25" s="1"/>
  <c r="O41" i="25"/>
  <c r="O43" i="25" s="1"/>
  <c r="O7" i="25" s="1"/>
  <c r="AG35" i="25"/>
  <c r="AG6" i="25" s="1"/>
  <c r="AG41" i="25"/>
  <c r="AG43" i="25" s="1"/>
  <c r="AG7" i="25" s="1"/>
  <c r="AI35" i="25"/>
  <c r="AI6" i="25" s="1"/>
  <c r="AI41" i="25"/>
  <c r="AI43" i="25" s="1"/>
  <c r="AI7" i="25" s="1"/>
  <c r="M35" i="25"/>
  <c r="M6" i="25" s="1"/>
  <c r="M41" i="25"/>
  <c r="M43" i="25" s="1"/>
  <c r="M7" i="25" s="1"/>
  <c r="N35" i="25"/>
  <c r="N6" i="25" s="1"/>
  <c r="N41" i="25"/>
  <c r="N43" i="25" s="1"/>
  <c r="N7" i="25" s="1"/>
  <c r="AN41" i="25"/>
  <c r="AN43" i="25" s="1"/>
  <c r="AN7" i="25" s="1"/>
  <c r="AN35" i="25"/>
  <c r="AN6" i="25" s="1"/>
  <c r="AP35" i="25"/>
  <c r="AP6" i="25" s="1"/>
  <c r="AP41" i="25"/>
  <c r="AP43" i="25" s="1"/>
  <c r="AP7" i="25" s="1"/>
  <c r="AF35" i="25"/>
  <c r="AF6" i="25" s="1"/>
  <c r="AF41" i="25"/>
  <c r="AF43" i="25" s="1"/>
  <c r="AF7" i="25" s="1"/>
  <c r="AM41" i="25"/>
  <c r="AM43" i="25" s="1"/>
  <c r="AM7" i="25" s="1"/>
  <c r="AM35" i="25"/>
  <c r="AM6" i="25" s="1"/>
  <c r="S41" i="25"/>
  <c r="S43" i="25" s="1"/>
  <c r="S7" i="25" s="1"/>
  <c r="S35" i="25"/>
  <c r="S6" i="25" s="1"/>
  <c r="AD35" i="25"/>
  <c r="AD6" i="25" s="1"/>
  <c r="AD41" i="25"/>
  <c r="AD43" i="25" s="1"/>
  <c r="AD7" i="25" s="1"/>
  <c r="AQ41" i="25"/>
  <c r="AQ43" i="25" s="1"/>
  <c r="AQ7" i="25" s="1"/>
  <c r="AQ35" i="25"/>
  <c r="AQ6" i="25" s="1"/>
  <c r="AB35" i="25"/>
  <c r="AB6" i="25" s="1"/>
  <c r="AB41" i="25"/>
  <c r="AB43" i="25" s="1"/>
  <c r="AB7" i="25" s="1"/>
  <c r="Y41" i="25"/>
  <c r="Y43" i="25" s="1"/>
  <c r="Y7" i="25" s="1"/>
  <c r="Y35" i="25"/>
  <c r="Y6" i="25" s="1"/>
  <c r="U35" i="25"/>
  <c r="U6" i="25" s="1"/>
  <c r="U41" i="25"/>
  <c r="U43" i="25" s="1"/>
  <c r="U7" i="25" s="1"/>
  <c r="P35" i="25"/>
  <c r="P6" i="25" s="1"/>
  <c r="P41" i="25"/>
  <c r="P43" i="25" s="1"/>
  <c r="P7" i="25" s="1"/>
  <c r="AR35" i="25"/>
  <c r="AR6" i="25" s="1"/>
  <c r="AR41" i="25"/>
  <c r="AR43" i="25" s="1"/>
  <c r="AR7" i="25" s="1"/>
  <c r="W41" i="25"/>
  <c r="W43" i="25" s="1"/>
  <c r="W7" i="25" s="1"/>
  <c r="W35" i="25"/>
  <c r="W6" i="25" s="1"/>
  <c r="AO41" i="25"/>
  <c r="AO43" i="25" s="1"/>
  <c r="AO7" i="25" s="1"/>
  <c r="AO35" i="25"/>
  <c r="AO6" i="25" s="1"/>
  <c r="AK41" i="25"/>
  <c r="AK43" i="25" s="1"/>
  <c r="AK7" i="25" s="1"/>
  <c r="AK35" i="25"/>
  <c r="AK6" i="25" s="1"/>
  <c r="Z35" i="25"/>
  <c r="Z6" i="25" s="1"/>
  <c r="Z41" i="25"/>
  <c r="Z43" i="25" s="1"/>
  <c r="Z7" i="25" s="1"/>
  <c r="V35" i="25"/>
  <c r="V6" i="25" s="1"/>
  <c r="V41" i="25"/>
  <c r="V43" i="25" s="1"/>
  <c r="V7" i="25" s="1"/>
  <c r="K35" i="25"/>
  <c r="K6" i="25" s="1"/>
  <c r="K41" i="25"/>
  <c r="K43" i="25" s="1"/>
  <c r="K7" i="25" s="1"/>
  <c r="AE35" i="25"/>
  <c r="AE6" i="25" s="1"/>
  <c r="AE41" i="25"/>
  <c r="AE43" i="25" s="1"/>
  <c r="AE7" i="25" s="1"/>
  <c r="Q35" i="25"/>
  <c r="Q6" i="25" s="1"/>
  <c r="Q41" i="25"/>
  <c r="Q43" i="25" s="1"/>
  <c r="Q7" i="25" s="1"/>
  <c r="X41" i="25"/>
  <c r="X43" i="25" s="1"/>
  <c r="X7" i="25" s="1"/>
  <c r="X35" i="25"/>
  <c r="X6" i="25" s="1"/>
  <c r="AC41" i="25"/>
  <c r="AC43" i="25" s="1"/>
  <c r="AC7" i="25" s="1"/>
  <c r="AC35" i="25"/>
  <c r="AC6" i="25" s="1"/>
  <c r="AH41" i="25"/>
  <c r="AH43" i="25" s="1"/>
  <c r="AH7" i="25" s="1"/>
  <c r="AH35" i="25"/>
  <c r="AH6" i="25" s="1"/>
  <c r="AL41" i="25"/>
  <c r="AL43" i="25" s="1"/>
  <c r="AL7" i="25" s="1"/>
  <c r="AL35" i="25"/>
  <c r="AL6" i="25" s="1"/>
  <c r="T41" i="25"/>
  <c r="T43" i="25" s="1"/>
  <c r="T7" i="25" s="1"/>
  <c r="T35" i="25"/>
  <c r="T6" i="25" s="1"/>
  <c r="AJ35" i="25"/>
  <c r="AJ6" i="25" s="1"/>
  <c r="AJ41" i="25"/>
  <c r="AJ43" i="25" s="1"/>
  <c r="AJ7" i="25" s="1"/>
  <c r="R41" i="25"/>
  <c r="R43" i="25" s="1"/>
  <c r="R7" i="25" s="1"/>
  <c r="R35" i="25"/>
  <c r="R6" i="25" s="1"/>
  <c r="L41" i="25"/>
  <c r="L43" i="25" s="1"/>
  <c r="L7" i="25" s="1"/>
  <c r="L35" i="25"/>
  <c r="L6" i="25" s="1"/>
  <c r="AH8" i="25" l="1"/>
  <c r="AE25" i="9" s="1"/>
  <c r="AE22" i="9" s="1"/>
  <c r="R8" i="25"/>
  <c r="O25" i="9" s="1"/>
  <c r="O22" i="9" s="1"/>
  <c r="G165" i="10"/>
  <c r="AK8" i="25"/>
  <c r="AH25" i="9" s="1"/>
  <c r="AH22" i="9" s="1"/>
  <c r="F27" i="9"/>
  <c r="AQ8" i="25"/>
  <c r="AN25" i="9" s="1"/>
  <c r="AN22" i="9" s="1"/>
  <c r="Z43" i="10"/>
  <c r="X165" i="10" s="1"/>
  <c r="AK43" i="10"/>
  <c r="AI165" i="10" s="1"/>
  <c r="AC8" i="25"/>
  <c r="AO8" i="25"/>
  <c r="AN43" i="10"/>
  <c r="AL165" i="10" s="1"/>
  <c r="Q43" i="10"/>
  <c r="O165" i="10" s="1"/>
  <c r="T8" i="25"/>
  <c r="X8" i="25"/>
  <c r="U25" i="9" s="1"/>
  <c r="U22" i="9" s="1"/>
  <c r="W8" i="25"/>
  <c r="T25" i="9" s="1"/>
  <c r="T22" i="9" s="1"/>
  <c r="Y8" i="25"/>
  <c r="S8" i="25"/>
  <c r="AN8" i="25"/>
  <c r="N43" i="10"/>
  <c r="L165" i="10" s="1"/>
  <c r="L8" i="25"/>
  <c r="AL8" i="25"/>
  <c r="AM8" i="25"/>
  <c r="W43" i="10"/>
  <c r="U165" i="10" s="1"/>
  <c r="X43" i="10"/>
  <c r="V165" i="10" s="1"/>
  <c r="AO43" i="10"/>
  <c r="AM165" i="10" s="1"/>
  <c r="AJ43" i="10"/>
  <c r="AH165" i="10" s="1"/>
  <c r="K43" i="10"/>
  <c r="I165" i="10" s="1"/>
  <c r="AL43" i="10"/>
  <c r="AJ165" i="10" s="1"/>
  <c r="L43" i="10"/>
  <c r="J165" i="10" s="1"/>
  <c r="M43" i="10"/>
  <c r="K165" i="10" s="1"/>
  <c r="J43" i="10"/>
  <c r="AM43" i="10"/>
  <c r="AK165" i="10" s="1"/>
  <c r="AG43" i="10"/>
  <c r="AE165" i="10" s="1"/>
  <c r="O43" i="10"/>
  <c r="M165" i="10" s="1"/>
  <c r="R43" i="10"/>
  <c r="P165" i="10" s="1"/>
  <c r="Y43" i="10"/>
  <c r="W165" i="10" s="1"/>
  <c r="T43" i="10"/>
  <c r="R165" i="10" s="1"/>
  <c r="AA43" i="10"/>
  <c r="Y165" i="10" s="1"/>
  <c r="AC43" i="10"/>
  <c r="AA165" i="10" s="1"/>
  <c r="AP43" i="10"/>
  <c r="AN165" i="10" s="1"/>
  <c r="AD43" i="10"/>
  <c r="AB165" i="10" s="1"/>
  <c r="V43" i="10"/>
  <c r="T165" i="10" s="1"/>
  <c r="AE43" i="10"/>
  <c r="AC165" i="10" s="1"/>
  <c r="AI43" i="10"/>
  <c r="AG165" i="10" s="1"/>
  <c r="S43" i="10"/>
  <c r="Q165" i="10" s="1"/>
  <c r="AQ43" i="10"/>
  <c r="AO165" i="10" s="1"/>
  <c r="P43" i="10"/>
  <c r="N165" i="10" s="1"/>
  <c r="AF43" i="10"/>
  <c r="AD165" i="10" s="1"/>
  <c r="U43" i="10"/>
  <c r="S165" i="10" s="1"/>
  <c r="AH43" i="10"/>
  <c r="AF165" i="10" s="1"/>
  <c r="AB43" i="10"/>
  <c r="Z165" i="10" s="1"/>
  <c r="I22" i="20"/>
  <c r="I27" i="20" s="1"/>
  <c r="F48" i="9"/>
  <c r="AJ8" i="25"/>
  <c r="AG25" i="9" s="1"/>
  <c r="AG22" i="9" s="1"/>
  <c r="Q8" i="25"/>
  <c r="N25" i="9" s="1"/>
  <c r="N22" i="9" s="1"/>
  <c r="AE8" i="25"/>
  <c r="AB25" i="9" s="1"/>
  <c r="AB22" i="9" s="1"/>
  <c r="K8" i="25"/>
  <c r="H25" i="9" s="1"/>
  <c r="H22" i="9" s="1"/>
  <c r="V8" i="25"/>
  <c r="S25" i="9" s="1"/>
  <c r="S22" i="9" s="1"/>
  <c r="Z8" i="25"/>
  <c r="W25" i="9" s="1"/>
  <c r="W22" i="9" s="1"/>
  <c r="AR8" i="25"/>
  <c r="P8" i="25"/>
  <c r="M25" i="9" s="1"/>
  <c r="M22" i="9" s="1"/>
  <c r="U8" i="25"/>
  <c r="R25" i="9" s="1"/>
  <c r="R22" i="9" s="1"/>
  <c r="AB8" i="25"/>
  <c r="Y25" i="9" s="1"/>
  <c r="Y22" i="9" s="1"/>
  <c r="AD8" i="25"/>
  <c r="AA25" i="9" s="1"/>
  <c r="AA22" i="9" s="1"/>
  <c r="AF8" i="25"/>
  <c r="AC25" i="9" s="1"/>
  <c r="AC22" i="9" s="1"/>
  <c r="AP8" i="25"/>
  <c r="AM25" i="9" s="1"/>
  <c r="AM22" i="9" s="1"/>
  <c r="N8" i="25"/>
  <c r="K25" i="9" s="1"/>
  <c r="K22" i="9" s="1"/>
  <c r="M8" i="25"/>
  <c r="J25" i="9" s="1"/>
  <c r="J22" i="9" s="1"/>
  <c r="AI8" i="25"/>
  <c r="AF25" i="9" s="1"/>
  <c r="AF22" i="9" s="1"/>
  <c r="AG8" i="25"/>
  <c r="AD25" i="9" s="1"/>
  <c r="AD22" i="9" s="1"/>
  <c r="O8" i="25"/>
  <c r="L25" i="9" s="1"/>
  <c r="L22" i="9" s="1"/>
  <c r="AA8" i="25"/>
  <c r="X25" i="9" s="1"/>
  <c r="X22" i="9" s="1"/>
  <c r="C8" i="25"/>
  <c r="J43" i="25"/>
  <c r="J7" i="25" s="1"/>
  <c r="J8" i="25" s="1"/>
  <c r="G25" i="9" s="1"/>
  <c r="X27" i="9" l="1"/>
  <c r="W10" i="34" s="1"/>
  <c r="W9" i="34"/>
  <c r="L27" i="9"/>
  <c r="K10" i="34" s="1"/>
  <c r="K9" i="34"/>
  <c r="AD27" i="9"/>
  <c r="AC10" i="34" s="1"/>
  <c r="I21" i="34" s="1"/>
  <c r="AC9" i="34"/>
  <c r="I20" i="34" s="1"/>
  <c r="AF27" i="9"/>
  <c r="AE10" i="34" s="1"/>
  <c r="AE9" i="34"/>
  <c r="J27" i="9"/>
  <c r="I10" i="34" s="1"/>
  <c r="E21" i="34" s="1"/>
  <c r="I9" i="34"/>
  <c r="E20" i="34" s="1"/>
  <c r="K27" i="9"/>
  <c r="J10" i="34" s="1"/>
  <c r="J9" i="34"/>
  <c r="AM27" i="9"/>
  <c r="AL10" i="34" s="1"/>
  <c r="AL9" i="34"/>
  <c r="AC27" i="9"/>
  <c r="AB10" i="34" s="1"/>
  <c r="AB9" i="34"/>
  <c r="AA27" i="9"/>
  <c r="Z10" i="34" s="1"/>
  <c r="Z9" i="34"/>
  <c r="Y27" i="9"/>
  <c r="X10" i="34" s="1"/>
  <c r="H21" i="34" s="1"/>
  <c r="X9" i="34"/>
  <c r="H20" i="34" s="1"/>
  <c r="R27" i="9"/>
  <c r="Q10" i="34" s="1"/>
  <c r="Q9" i="34"/>
  <c r="M27" i="9"/>
  <c r="L10" i="34" s="1"/>
  <c r="L9" i="34"/>
  <c r="W27" i="9"/>
  <c r="V10" i="34" s="1"/>
  <c r="V9" i="34"/>
  <c r="S27" i="9"/>
  <c r="R10" i="34" s="1"/>
  <c r="R9" i="34"/>
  <c r="H27" i="9"/>
  <c r="G10" i="34" s="1"/>
  <c r="G9" i="34"/>
  <c r="AB27" i="9"/>
  <c r="AA10" i="34" s="1"/>
  <c r="AA9" i="34"/>
  <c r="N27" i="9"/>
  <c r="M10" i="34" s="1"/>
  <c r="M9" i="34"/>
  <c r="AG27" i="9"/>
  <c r="AF10" i="34" s="1"/>
  <c r="AF9" i="34"/>
  <c r="T27" i="9"/>
  <c r="S10" i="34" s="1"/>
  <c r="G21" i="34" s="1"/>
  <c r="S9" i="34"/>
  <c r="G20" i="34" s="1"/>
  <c r="U27" i="9"/>
  <c r="T10" i="34" s="1"/>
  <c r="T9" i="34"/>
  <c r="AN27" i="9"/>
  <c r="AM10" i="34" s="1"/>
  <c r="K21" i="34" s="1"/>
  <c r="AM9" i="34"/>
  <c r="K20" i="34" s="1"/>
  <c r="E10" i="34"/>
  <c r="AH27" i="9"/>
  <c r="AG10" i="34" s="1"/>
  <c r="AG9" i="34"/>
  <c r="O27" i="9"/>
  <c r="N10" i="34" s="1"/>
  <c r="F21" i="34" s="1"/>
  <c r="N9" i="34"/>
  <c r="F20" i="34" s="1"/>
  <c r="AE27" i="9"/>
  <c r="AD10" i="34" s="1"/>
  <c r="AD9" i="34"/>
  <c r="AE48" i="9"/>
  <c r="AE71" i="9" s="1"/>
  <c r="AH22" i="20"/>
  <c r="AH27" i="20" s="1"/>
  <c r="H165" i="10"/>
  <c r="R22" i="20"/>
  <c r="R27" i="20" s="1"/>
  <c r="O48" i="9"/>
  <c r="O71" i="9" s="1"/>
  <c r="AK22" i="20"/>
  <c r="AK27" i="20" s="1"/>
  <c r="AH48" i="9"/>
  <c r="AH71" i="9" s="1"/>
  <c r="AN48" i="9"/>
  <c r="AN71" i="9" s="1"/>
  <c r="AQ22" i="20"/>
  <c r="AQ27" i="20" s="1"/>
  <c r="T48" i="9"/>
  <c r="T71" i="9" s="1"/>
  <c r="W22" i="20"/>
  <c r="W27" i="20" s="1"/>
  <c r="G22" i="9"/>
  <c r="F9" i="34" s="1"/>
  <c r="AJ25" i="9"/>
  <c r="AJ22" i="9" s="1"/>
  <c r="AI25" i="9"/>
  <c r="AI22" i="9" s="1"/>
  <c r="I25" i="9"/>
  <c r="AK25" i="9"/>
  <c r="AK22" i="9" s="1"/>
  <c r="P25" i="9"/>
  <c r="P22" i="9" s="1"/>
  <c r="V25" i="9"/>
  <c r="V22" i="9" s="1"/>
  <c r="Q25" i="9"/>
  <c r="Q22" i="9" s="1"/>
  <c r="AL25" i="9"/>
  <c r="AL22" i="9" s="1"/>
  <c r="Z25" i="9"/>
  <c r="Z22" i="9" s="1"/>
  <c r="X22" i="20"/>
  <c r="X27" i="20" s="1"/>
  <c r="U48" i="9"/>
  <c r="U71" i="9" s="1"/>
  <c r="AA22" i="20"/>
  <c r="AA27" i="20" s="1"/>
  <c r="X48" i="9"/>
  <c r="O22" i="20"/>
  <c r="O27" i="20" s="1"/>
  <c r="L48" i="9"/>
  <c r="AG22" i="20"/>
  <c r="AG27" i="20" s="1"/>
  <c r="AD48" i="9"/>
  <c r="AI22" i="20"/>
  <c r="AI27" i="20" s="1"/>
  <c r="AF48" i="9"/>
  <c r="M22" i="20"/>
  <c r="M27" i="20" s="1"/>
  <c r="J48" i="9"/>
  <c r="N22" i="20"/>
  <c r="N27" i="20" s="1"/>
  <c r="K48" i="9"/>
  <c r="AP22" i="20"/>
  <c r="AP27" i="20" s="1"/>
  <c r="AM48" i="9"/>
  <c r="AF22" i="20"/>
  <c r="AF27" i="20" s="1"/>
  <c r="AC48" i="9"/>
  <c r="AD22" i="20"/>
  <c r="AD27" i="20" s="1"/>
  <c r="AA48" i="9"/>
  <c r="AN63" i="9"/>
  <c r="AM30" i="34" s="1"/>
  <c r="K44" i="34" s="1"/>
  <c r="AN28" i="9"/>
  <c r="AB22" i="20"/>
  <c r="AB27" i="20" s="1"/>
  <c r="Y48" i="9"/>
  <c r="U22" i="20"/>
  <c r="U27" i="20" s="1"/>
  <c r="R48" i="9"/>
  <c r="P22" i="20"/>
  <c r="P27" i="20" s="1"/>
  <c r="M48" i="9"/>
  <c r="T28" i="9"/>
  <c r="T63" i="9"/>
  <c r="S30" i="34" s="1"/>
  <c r="G44" i="34" s="1"/>
  <c r="AH63" i="9"/>
  <c r="AG30" i="34" s="1"/>
  <c r="AH28" i="9"/>
  <c r="Z22" i="20"/>
  <c r="Z27" i="20" s="1"/>
  <c r="W48" i="9"/>
  <c r="V22" i="20"/>
  <c r="V27" i="20" s="1"/>
  <c r="S48" i="9"/>
  <c r="K22" i="20"/>
  <c r="K27" i="20" s="1"/>
  <c r="H48" i="9"/>
  <c r="H71" i="9" s="1"/>
  <c r="G38" i="34" s="1"/>
  <c r="AE22" i="20"/>
  <c r="AE27" i="20" s="1"/>
  <c r="AB48" i="9"/>
  <c r="Q22" i="20"/>
  <c r="Q27" i="20" s="1"/>
  <c r="N48" i="9"/>
  <c r="U63" i="9"/>
  <c r="T30" i="34" s="1"/>
  <c r="U28" i="9"/>
  <c r="AE63" i="9"/>
  <c r="AD30" i="34" s="1"/>
  <c r="AE28" i="9"/>
  <c r="AJ22" i="20"/>
  <c r="AJ27" i="20" s="1"/>
  <c r="AG48" i="9"/>
  <c r="O63" i="9"/>
  <c r="N30" i="34" s="1"/>
  <c r="F44" i="34" s="1"/>
  <c r="O28" i="9"/>
  <c r="F63" i="9"/>
  <c r="E30" i="34" s="1"/>
  <c r="F28" i="9"/>
  <c r="F71" i="9"/>
  <c r="E38" i="34" s="1"/>
  <c r="U81" i="9" l="1"/>
  <c r="T38" i="34"/>
  <c r="AC22" i="20"/>
  <c r="AC27" i="20" s="1"/>
  <c r="Y9" i="34"/>
  <c r="AL48" i="9"/>
  <c r="AL71" i="9" s="1"/>
  <c r="AK9" i="34"/>
  <c r="Q48" i="9"/>
  <c r="Q71" i="9" s="1"/>
  <c r="P9" i="34"/>
  <c r="V48" i="9"/>
  <c r="V71" i="9" s="1"/>
  <c r="U9" i="34"/>
  <c r="P48" i="9"/>
  <c r="P71" i="9" s="1"/>
  <c r="O9" i="34"/>
  <c r="AK48" i="9"/>
  <c r="AK71" i="9" s="1"/>
  <c r="AJ9" i="34"/>
  <c r="AL22" i="20"/>
  <c r="AL27" i="20" s="1"/>
  <c r="AH9" i="34"/>
  <c r="J20" i="34" s="1"/>
  <c r="AM22" i="20"/>
  <c r="AM27" i="20" s="1"/>
  <c r="AI9" i="34"/>
  <c r="T81" i="9"/>
  <c r="S38" i="34"/>
  <c r="G52" i="34" s="1"/>
  <c r="AN81" i="9"/>
  <c r="AM38" i="34"/>
  <c r="K52" i="34" s="1"/>
  <c r="AH81" i="9"/>
  <c r="AG38" i="34"/>
  <c r="O81" i="9"/>
  <c r="N38" i="34"/>
  <c r="F52" i="34" s="1"/>
  <c r="AE81" i="9"/>
  <c r="AD38" i="34"/>
  <c r="Z27" i="9"/>
  <c r="Z48" i="9"/>
  <c r="Z71" i="9" s="1"/>
  <c r="AL27" i="9"/>
  <c r="AK10" i="34" s="1"/>
  <c r="AO22" i="20"/>
  <c r="AO27" i="20" s="1"/>
  <c r="Q27" i="9"/>
  <c r="T22" i="20"/>
  <c r="T27" i="20" s="1"/>
  <c r="V27" i="9"/>
  <c r="Y22" i="20"/>
  <c r="Y27" i="20" s="1"/>
  <c r="P27" i="9"/>
  <c r="S22" i="20"/>
  <c r="S27" i="20" s="1"/>
  <c r="AK27" i="9"/>
  <c r="AN22" i="20"/>
  <c r="AN27" i="20" s="1"/>
  <c r="I22" i="9"/>
  <c r="D25" i="9"/>
  <c r="AI27" i="9"/>
  <c r="AI48" i="9"/>
  <c r="AI71" i="9" s="1"/>
  <c r="AJ27" i="9"/>
  <c r="AJ48" i="9"/>
  <c r="AJ71" i="9" s="1"/>
  <c r="G27" i="9"/>
  <c r="F10" i="34" s="1"/>
  <c r="F81" i="9"/>
  <c r="AG71" i="9"/>
  <c r="AG28" i="9"/>
  <c r="AG63" i="9"/>
  <c r="AF30" i="34" s="1"/>
  <c r="N71" i="9"/>
  <c r="N63" i="9"/>
  <c r="M30" i="34" s="1"/>
  <c r="N28" i="9"/>
  <c r="AB71" i="9"/>
  <c r="AB28" i="9"/>
  <c r="AB63" i="9"/>
  <c r="AA30" i="34" s="1"/>
  <c r="H63" i="9"/>
  <c r="G30" i="34" s="1"/>
  <c r="H28" i="9"/>
  <c r="S71" i="9"/>
  <c r="S28" i="9"/>
  <c r="S63" i="9"/>
  <c r="R30" i="34" s="1"/>
  <c r="W71" i="9"/>
  <c r="W63" i="9"/>
  <c r="V30" i="34" s="1"/>
  <c r="W28" i="9"/>
  <c r="M71" i="9"/>
  <c r="L38" i="34" s="1"/>
  <c r="M28" i="9"/>
  <c r="M63" i="9"/>
  <c r="L30" i="34" s="1"/>
  <c r="R71" i="9"/>
  <c r="R63" i="9"/>
  <c r="Q30" i="34" s="1"/>
  <c r="R28" i="9"/>
  <c r="Y71" i="9"/>
  <c r="Y63" i="9"/>
  <c r="X30" i="34" s="1"/>
  <c r="H44" i="34" s="1"/>
  <c r="Y28" i="9"/>
  <c r="AA71" i="9"/>
  <c r="AA63" i="9"/>
  <c r="Z30" i="34" s="1"/>
  <c r="AA28" i="9"/>
  <c r="AC71" i="9"/>
  <c r="AC63" i="9"/>
  <c r="AB30" i="34" s="1"/>
  <c r="AC28" i="9"/>
  <c r="AM71" i="9"/>
  <c r="AM63" i="9"/>
  <c r="AL30" i="34" s="1"/>
  <c r="AM28" i="9"/>
  <c r="K71" i="9"/>
  <c r="J38" i="34" s="1"/>
  <c r="K28" i="9"/>
  <c r="K63" i="9"/>
  <c r="J30" i="34" s="1"/>
  <c r="J71" i="9"/>
  <c r="I38" i="34" s="1"/>
  <c r="E52" i="34" s="1"/>
  <c r="J28" i="9"/>
  <c r="J63" i="9"/>
  <c r="I30" i="34" s="1"/>
  <c r="E44" i="34" s="1"/>
  <c r="AF71" i="9"/>
  <c r="AF63" i="9"/>
  <c r="AE30" i="34" s="1"/>
  <c r="AF28" i="9"/>
  <c r="AD71" i="9"/>
  <c r="AD63" i="9"/>
  <c r="AC30" i="34" s="1"/>
  <c r="I44" i="34" s="1"/>
  <c r="AD28" i="9"/>
  <c r="L71" i="9"/>
  <c r="K38" i="34" s="1"/>
  <c r="L63" i="9"/>
  <c r="K30" i="34" s="1"/>
  <c r="L28" i="9"/>
  <c r="X71" i="9"/>
  <c r="X28" i="9"/>
  <c r="X63" i="9"/>
  <c r="W30" i="34" s="1"/>
  <c r="J22" i="20"/>
  <c r="G48" i="9"/>
  <c r="X81" i="9" l="1"/>
  <c r="W38" i="34"/>
  <c r="AD81" i="9"/>
  <c r="AC38" i="34"/>
  <c r="I52" i="34" s="1"/>
  <c r="AF81" i="9"/>
  <c r="AE38" i="34"/>
  <c r="AM81" i="9"/>
  <c r="AL38" i="34"/>
  <c r="AC81" i="9"/>
  <c r="AB38" i="34"/>
  <c r="AA81" i="9"/>
  <c r="Z38" i="34"/>
  <c r="Y81" i="9"/>
  <c r="X38" i="34"/>
  <c r="H52" i="34" s="1"/>
  <c r="R81" i="9"/>
  <c r="Q38" i="34"/>
  <c r="W81" i="9"/>
  <c r="V38" i="34"/>
  <c r="S81" i="9"/>
  <c r="R38" i="34"/>
  <c r="AB81" i="9"/>
  <c r="AA38" i="34"/>
  <c r="N81" i="9"/>
  <c r="M38" i="34"/>
  <c r="AG81" i="9"/>
  <c r="AF38" i="34"/>
  <c r="AJ81" i="9"/>
  <c r="AI38" i="34"/>
  <c r="AJ63" i="9"/>
  <c r="AI30" i="34" s="1"/>
  <c r="AI10" i="34"/>
  <c r="AI81" i="9"/>
  <c r="AH38" i="34"/>
  <c r="J52" i="34" s="1"/>
  <c r="AI63" i="9"/>
  <c r="AH30" i="34" s="1"/>
  <c r="J44" i="34" s="1"/>
  <c r="AH10" i="34"/>
  <c r="J21" i="34" s="1"/>
  <c r="D22" i="9"/>
  <c r="H9" i="34"/>
  <c r="AK63" i="9"/>
  <c r="AJ30" i="34" s="1"/>
  <c r="AJ10" i="34"/>
  <c r="P28" i="9"/>
  <c r="O10" i="34"/>
  <c r="V63" i="9"/>
  <c r="U30" i="34" s="1"/>
  <c r="U10" i="34"/>
  <c r="Q63" i="9"/>
  <c r="P30" i="34" s="1"/>
  <c r="P10" i="34"/>
  <c r="Z81" i="9"/>
  <c r="Y38" i="34"/>
  <c r="Z28" i="9"/>
  <c r="Y10" i="34"/>
  <c r="AK81" i="9"/>
  <c r="AJ38" i="34"/>
  <c r="P81" i="9"/>
  <c r="O38" i="34"/>
  <c r="V81" i="9"/>
  <c r="U38" i="34"/>
  <c r="Q81" i="9"/>
  <c r="P38" i="34"/>
  <c r="AL81" i="9"/>
  <c r="AK38" i="34"/>
  <c r="J27" i="20"/>
  <c r="AK28" i="9"/>
  <c r="Z63" i="9"/>
  <c r="Y30" i="34" s="1"/>
  <c r="P63" i="9"/>
  <c r="O30" i="34" s="1"/>
  <c r="AJ28" i="9"/>
  <c r="Q28" i="9"/>
  <c r="V28" i="9"/>
  <c r="AI28" i="9"/>
  <c r="I27" i="9"/>
  <c r="H10" i="34" s="1"/>
  <c r="I48" i="9"/>
  <c r="I71" i="9" s="1"/>
  <c r="L22" i="20"/>
  <c r="L27" i="20" s="1"/>
  <c r="AL28" i="9"/>
  <c r="AL63" i="9"/>
  <c r="AK30" i="34" s="1"/>
  <c r="G28" i="9"/>
  <c r="G63" i="9"/>
  <c r="F30" i="34" s="1"/>
  <c r="G71" i="9"/>
  <c r="F38" i="34" s="1"/>
  <c r="L81" i="9"/>
  <c r="J81" i="9"/>
  <c r="K81" i="9"/>
  <c r="M81" i="9"/>
  <c r="H81" i="9"/>
  <c r="I81" i="9" l="1"/>
  <c r="H38" i="34"/>
  <c r="F27" i="20"/>
  <c r="F42" i="20" s="1"/>
  <c r="F22" i="20"/>
  <c r="F37" i="20" s="1"/>
  <c r="G37" i="20" s="1"/>
  <c r="I63" i="9"/>
  <c r="H30" i="34" s="1"/>
  <c r="I28" i="9"/>
  <c r="D27" i="9"/>
  <c r="D28" i="9" s="1"/>
  <c r="D92" i="9" s="1"/>
  <c r="D26" i="28" s="1"/>
  <c r="D15" i="21" s="1"/>
  <c r="G81" i="9"/>
  <c r="G42" i="20" l="1"/>
  <c r="H31" i="10"/>
  <c r="H35" i="10" l="1"/>
  <c r="E68" i="9"/>
  <c r="F92" i="22"/>
  <c r="F96" i="22" s="1"/>
  <c r="H21" i="10"/>
  <c r="E64" i="9"/>
  <c r="E74" i="9" s="1"/>
  <c r="E76" i="9" s="1"/>
  <c r="I21" i="10"/>
  <c r="E77" i="9" l="1"/>
  <c r="E86" i="9"/>
  <c r="E99" i="9" s="1"/>
  <c r="I31" i="10"/>
  <c r="E98" i="9"/>
  <c r="I35" i="10" l="1"/>
  <c r="F68" i="9"/>
  <c r="G92" i="22"/>
  <c r="G96" i="22" s="1"/>
  <c r="E100" i="9"/>
  <c r="D174" i="14"/>
  <c r="D208" i="14"/>
  <c r="D207" i="14"/>
  <c r="D206" i="14"/>
  <c r="D205" i="14"/>
  <c r="D204" i="14"/>
  <c r="D203" i="14"/>
  <c r="D202" i="14"/>
  <c r="D201" i="14"/>
  <c r="D200" i="14"/>
  <c r="D199" i="14"/>
  <c r="D198" i="14"/>
  <c r="D197" i="14"/>
  <c r="D196" i="14"/>
  <c r="D195" i="14"/>
  <c r="D194" i="14"/>
  <c r="D193" i="14"/>
  <c r="D192" i="14"/>
  <c r="D191" i="14"/>
  <c r="D190" i="14"/>
  <c r="D189" i="14"/>
  <c r="D188" i="14"/>
  <c r="D187" i="14"/>
  <c r="D186" i="14"/>
  <c r="D185" i="14"/>
  <c r="D184" i="14"/>
  <c r="D183" i="14"/>
  <c r="D182" i="14"/>
  <c r="D181" i="14"/>
  <c r="D180" i="14"/>
  <c r="D179" i="14"/>
  <c r="D178" i="14"/>
  <c r="D177" i="14"/>
  <c r="D176" i="14"/>
  <c r="D175" i="14"/>
  <c r="I26" i="20" l="1"/>
  <c r="I28" i="20" s="1"/>
  <c r="E35" i="34"/>
  <c r="I29" i="20"/>
  <c r="F64" i="9"/>
  <c r="E31" i="34" s="1"/>
  <c r="D219" i="14"/>
  <c r="D227" i="14"/>
  <c r="D235" i="14"/>
  <c r="D243" i="14"/>
  <c r="D247" i="14"/>
  <c r="D220" i="14"/>
  <c r="D221" i="14"/>
  <c r="D229" i="14"/>
  <c r="D237" i="14"/>
  <c r="D245" i="14"/>
  <c r="D222" i="14"/>
  <c r="D230" i="14"/>
  <c r="D238" i="14"/>
  <c r="D246" i="14"/>
  <c r="D244" i="14"/>
  <c r="D223" i="14"/>
  <c r="D216" i="14"/>
  <c r="D224" i="14"/>
  <c r="D232" i="14"/>
  <c r="D240" i="14"/>
  <c r="D248" i="14"/>
  <c r="D236" i="14"/>
  <c r="D239" i="14"/>
  <c r="D217" i="14"/>
  <c r="D225" i="14"/>
  <c r="D233" i="14"/>
  <c r="D241" i="14"/>
  <c r="D214" i="14"/>
  <c r="D228" i="14"/>
  <c r="D231" i="14"/>
  <c r="D218" i="14"/>
  <c r="D226" i="14"/>
  <c r="D234" i="14"/>
  <c r="D242" i="14"/>
  <c r="D215" i="14"/>
  <c r="AQ21" i="10" l="1"/>
  <c r="AQ31" i="10"/>
  <c r="AP21" i="10"/>
  <c r="AP31" i="10"/>
  <c r="AO21" i="10"/>
  <c r="AO31" i="10"/>
  <c r="AN21" i="10"/>
  <c r="AN31" i="10"/>
  <c r="AM21" i="10"/>
  <c r="AM31" i="10"/>
  <c r="AL21" i="10"/>
  <c r="AL31" i="10"/>
  <c r="AK21" i="10"/>
  <c r="AK31" i="10"/>
  <c r="AJ21" i="10"/>
  <c r="AJ31" i="10"/>
  <c r="AI21" i="10"/>
  <c r="AI31" i="10"/>
  <c r="AH21" i="10"/>
  <c r="AH31" i="10"/>
  <c r="AG21" i="10"/>
  <c r="AG31" i="10"/>
  <c r="AF21" i="10"/>
  <c r="AF31" i="10"/>
  <c r="AE21" i="10"/>
  <c r="AE31" i="10"/>
  <c r="AD21" i="10"/>
  <c r="AD31" i="10"/>
  <c r="AC21" i="10"/>
  <c r="AC31" i="10"/>
  <c r="AB21" i="10"/>
  <c r="AB31" i="10"/>
  <c r="AA21" i="10"/>
  <c r="AA31" i="10"/>
  <c r="Z21" i="10"/>
  <c r="Z31" i="10"/>
  <c r="Y21" i="10"/>
  <c r="Y31" i="10"/>
  <c r="X21" i="10"/>
  <c r="X31" i="10"/>
  <c r="W21" i="10"/>
  <c r="W31" i="10"/>
  <c r="V21" i="10"/>
  <c r="V31" i="10"/>
  <c r="U21" i="10"/>
  <c r="U31" i="10"/>
  <c r="T21" i="10"/>
  <c r="T31" i="10"/>
  <c r="S21" i="10"/>
  <c r="S31" i="10"/>
  <c r="R21" i="10"/>
  <c r="R31" i="10"/>
  <c r="Q21" i="10"/>
  <c r="Q31" i="10"/>
  <c r="P21" i="10"/>
  <c r="P31" i="10"/>
  <c r="O21" i="10"/>
  <c r="O31" i="10"/>
  <c r="N21" i="10"/>
  <c r="N31" i="10"/>
  <c r="M21" i="10"/>
  <c r="M31" i="10"/>
  <c r="L21" i="10"/>
  <c r="L31" i="10"/>
  <c r="K21" i="10"/>
  <c r="K31" i="10"/>
  <c r="D147" i="14"/>
  <c r="D155" i="14"/>
  <c r="D163" i="14"/>
  <c r="D139" i="14"/>
  <c r="D161" i="14"/>
  <c r="D153" i="14"/>
  <c r="D145" i="14"/>
  <c r="D137" i="14"/>
  <c r="D167" i="14"/>
  <c r="D166" i="14"/>
  <c r="D165" i="14"/>
  <c r="D159" i="14"/>
  <c r="D157" i="14"/>
  <c r="D151" i="14"/>
  <c r="D149" i="14"/>
  <c r="D143" i="14"/>
  <c r="D141" i="14"/>
  <c r="D135" i="14"/>
  <c r="D133" i="14"/>
  <c r="D160" i="14"/>
  <c r="D152" i="14"/>
  <c r="D144" i="14"/>
  <c r="D136" i="14"/>
  <c r="D164" i="14"/>
  <c r="D158" i="14"/>
  <c r="D156" i="14"/>
  <c r="D150" i="14"/>
  <c r="D148" i="14"/>
  <c r="D142" i="14"/>
  <c r="D140" i="14"/>
  <c r="D134" i="14"/>
  <c r="D162" i="14"/>
  <c r="D154" i="14"/>
  <c r="D146" i="14"/>
  <c r="D138" i="14"/>
  <c r="J21" i="10"/>
  <c r="J31" i="10"/>
  <c r="C14" i="14"/>
  <c r="L27" i="21" s="1"/>
  <c r="L30" i="21" s="1"/>
  <c r="N35" i="10" l="1"/>
  <c r="K68" i="9"/>
  <c r="V35" i="10"/>
  <c r="S68" i="9"/>
  <c r="R35" i="34" s="1"/>
  <c r="AD35" i="10"/>
  <c r="AA68" i="9"/>
  <c r="Z35" i="34" s="1"/>
  <c r="AP35" i="10"/>
  <c r="AM68" i="9"/>
  <c r="AL35" i="34" s="1"/>
  <c r="R35" i="10"/>
  <c r="O68" i="9"/>
  <c r="N35" i="34" s="1"/>
  <c r="F49" i="34" s="1"/>
  <c r="Z35" i="10"/>
  <c r="W68" i="9"/>
  <c r="V35" i="34" s="1"/>
  <c r="AH35" i="10"/>
  <c r="AE68" i="9"/>
  <c r="AL35" i="10"/>
  <c r="AI68" i="9"/>
  <c r="AH35" i="34" s="1"/>
  <c r="J49" i="34" s="1"/>
  <c r="K35" i="10"/>
  <c r="H68" i="9"/>
  <c r="O35" i="10"/>
  <c r="L68" i="9"/>
  <c r="K35" i="34" s="1"/>
  <c r="S35" i="10"/>
  <c r="P68" i="9"/>
  <c r="O35" i="34" s="1"/>
  <c r="W35" i="10"/>
  <c r="T68" i="9"/>
  <c r="S35" i="34" s="1"/>
  <c r="G49" i="34" s="1"/>
  <c r="AA35" i="10"/>
  <c r="X68" i="9"/>
  <c r="AE35" i="10"/>
  <c r="AB68" i="9"/>
  <c r="AA35" i="34" s="1"/>
  <c r="AI35" i="10"/>
  <c r="AF68" i="9"/>
  <c r="AE35" i="34" s="1"/>
  <c r="AM35" i="10"/>
  <c r="AJ68" i="9"/>
  <c r="AI35" i="34" s="1"/>
  <c r="AQ35" i="10"/>
  <c r="AN68" i="9"/>
  <c r="L35" i="10"/>
  <c r="I68" i="9"/>
  <c r="P35" i="10"/>
  <c r="M68" i="9"/>
  <c r="L35" i="34" s="1"/>
  <c r="T35" i="10"/>
  <c r="Q68" i="9"/>
  <c r="P35" i="34" s="1"/>
  <c r="X35" i="10"/>
  <c r="U68" i="9"/>
  <c r="AB35" i="10"/>
  <c r="Y68" i="9"/>
  <c r="AF35" i="10"/>
  <c r="AC68" i="9"/>
  <c r="AB35" i="34" s="1"/>
  <c r="AJ35" i="10"/>
  <c r="AG68" i="9"/>
  <c r="AF35" i="34" s="1"/>
  <c r="AN35" i="10"/>
  <c r="AK68" i="9"/>
  <c r="AJ35" i="34" s="1"/>
  <c r="J35" i="10"/>
  <c r="G68" i="9"/>
  <c r="F35" i="34" s="1"/>
  <c r="M35" i="10"/>
  <c r="J68" i="9"/>
  <c r="I35" i="34" s="1"/>
  <c r="E49" i="34" s="1"/>
  <c r="Q35" i="10"/>
  <c r="N68" i="9"/>
  <c r="M35" i="34" s="1"/>
  <c r="U35" i="10"/>
  <c r="R68" i="9"/>
  <c r="Y35" i="10"/>
  <c r="V68" i="9"/>
  <c r="U35" i="34" s="1"/>
  <c r="AC35" i="10"/>
  <c r="Z68" i="9"/>
  <c r="Y35" i="34" s="1"/>
  <c r="AG35" i="10"/>
  <c r="AD68" i="9"/>
  <c r="AC35" i="34" s="1"/>
  <c r="I49" i="34" s="1"/>
  <c r="AK35" i="10"/>
  <c r="AH68" i="9"/>
  <c r="AO35" i="10"/>
  <c r="AL68" i="9"/>
  <c r="AK35" i="34" s="1"/>
  <c r="G21" i="10"/>
  <c r="AM92" i="22"/>
  <c r="AM96" i="22" s="1"/>
  <c r="L92" i="22"/>
  <c r="L96" i="22" s="1"/>
  <c r="T92" i="22"/>
  <c r="T96" i="22" s="1"/>
  <c r="AB92" i="22"/>
  <c r="AB96" i="22" s="1"/>
  <c r="AJ92" i="22"/>
  <c r="AJ96" i="22" s="1"/>
  <c r="O92" i="22"/>
  <c r="O96" i="22" s="1"/>
  <c r="Y92" i="22"/>
  <c r="Y96" i="22" s="1"/>
  <c r="AO92" i="22"/>
  <c r="AO96" i="22" s="1"/>
  <c r="N92" i="22"/>
  <c r="N96" i="22" s="1"/>
  <c r="V92" i="22"/>
  <c r="V96" i="22" s="1"/>
  <c r="AD92" i="22"/>
  <c r="AD96" i="22" s="1"/>
  <c r="AL92" i="22"/>
  <c r="AL96" i="22" s="1"/>
  <c r="K92" i="22"/>
  <c r="K96" i="22" s="1"/>
  <c r="S92" i="22"/>
  <c r="S96" i="22" s="1"/>
  <c r="AA92" i="22"/>
  <c r="AA96" i="22" s="1"/>
  <c r="AI92" i="22"/>
  <c r="AI96" i="22" s="1"/>
  <c r="I92" i="22"/>
  <c r="I96" i="22" s="1"/>
  <c r="AG92" i="22"/>
  <c r="AG96" i="22" s="1"/>
  <c r="P92" i="22"/>
  <c r="P96" i="22" s="1"/>
  <c r="X92" i="22"/>
  <c r="X96" i="22" s="1"/>
  <c r="AF92" i="22"/>
  <c r="AF96" i="22" s="1"/>
  <c r="AN92" i="22"/>
  <c r="AN96" i="22" s="1"/>
  <c r="M92" i="22"/>
  <c r="M96" i="22" s="1"/>
  <c r="U92" i="22"/>
  <c r="U96" i="22" s="1"/>
  <c r="AC92" i="22"/>
  <c r="AC96" i="22" s="1"/>
  <c r="AK92" i="22"/>
  <c r="AK96" i="22" s="1"/>
  <c r="W92" i="22"/>
  <c r="W96" i="22" s="1"/>
  <c r="AE92" i="22"/>
  <c r="AE96" i="22" s="1"/>
  <c r="Q92" i="22"/>
  <c r="Q96" i="22" s="1"/>
  <c r="J92" i="22"/>
  <c r="J96" i="22" s="1"/>
  <c r="R92" i="22"/>
  <c r="R96" i="22" s="1"/>
  <c r="Z92" i="22"/>
  <c r="Z96" i="22" s="1"/>
  <c r="AH92" i="22"/>
  <c r="AH96" i="22" s="1"/>
  <c r="D262" i="14"/>
  <c r="D270" i="14"/>
  <c r="D286" i="14"/>
  <c r="D278" i="14"/>
  <c r="H92" i="22"/>
  <c r="H96" i="22" s="1"/>
  <c r="D263" i="14"/>
  <c r="D280" i="14"/>
  <c r="D279" i="14"/>
  <c r="D256" i="14"/>
  <c r="D272" i="14"/>
  <c r="D257" i="14"/>
  <c r="D265" i="14"/>
  <c r="D273" i="14"/>
  <c r="D281" i="14"/>
  <c r="D289" i="14"/>
  <c r="D271" i="14"/>
  <c r="D264" i="14"/>
  <c r="D288" i="14"/>
  <c r="D258" i="14"/>
  <c r="D266" i="14"/>
  <c r="D274" i="14"/>
  <c r="D282" i="14"/>
  <c r="D255" i="14"/>
  <c r="D287" i="14"/>
  <c r="D259" i="14"/>
  <c r="D267" i="14"/>
  <c r="D275" i="14"/>
  <c r="D283" i="14"/>
  <c r="D268" i="14"/>
  <c r="D276" i="14"/>
  <c r="D284" i="14"/>
  <c r="D260" i="14"/>
  <c r="D261" i="14"/>
  <c r="D269" i="14"/>
  <c r="D277" i="14"/>
  <c r="D285" i="14"/>
  <c r="H64" i="9"/>
  <c r="G31" i="34" s="1"/>
  <c r="I64" i="9"/>
  <c r="H31" i="34" s="1"/>
  <c r="K64" i="9"/>
  <c r="J31" i="34" s="1"/>
  <c r="X64" i="9"/>
  <c r="W31" i="34" s="1"/>
  <c r="AN64" i="9"/>
  <c r="AM31" i="34" s="1"/>
  <c r="K45" i="34" s="1"/>
  <c r="G10" i="10"/>
  <c r="G6" i="10" s="1"/>
  <c r="C9" i="10"/>
  <c r="G31" i="10"/>
  <c r="G35" i="10" s="1"/>
  <c r="AK26" i="20" l="1"/>
  <c r="AG35" i="34"/>
  <c r="U26" i="20"/>
  <c r="Q35" i="34"/>
  <c r="AB26" i="20"/>
  <c r="X35" i="34"/>
  <c r="H49" i="34" s="1"/>
  <c r="X26" i="20"/>
  <c r="T35" i="34"/>
  <c r="L26" i="20"/>
  <c r="H35" i="34"/>
  <c r="AQ26" i="20"/>
  <c r="AM35" i="34"/>
  <c r="K49" i="34" s="1"/>
  <c r="AA26" i="20"/>
  <c r="W35" i="34"/>
  <c r="K26" i="20"/>
  <c r="G35" i="34"/>
  <c r="AH26" i="20"/>
  <c r="AD35" i="34"/>
  <c r="N26" i="20"/>
  <c r="J35" i="34"/>
  <c r="AH64" i="9"/>
  <c r="AG31" i="34" s="1"/>
  <c r="R64" i="9"/>
  <c r="Q31" i="34" s="1"/>
  <c r="U64" i="9"/>
  <c r="T31" i="34" s="1"/>
  <c r="Y64" i="9"/>
  <c r="X31" i="34" s="1"/>
  <c r="H45" i="34" s="1"/>
  <c r="Z64" i="9"/>
  <c r="Y31" i="34" s="1"/>
  <c r="AC26" i="20"/>
  <c r="J64" i="9"/>
  <c r="I31" i="34" s="1"/>
  <c r="E45" i="34" s="1"/>
  <c r="M26" i="20"/>
  <c r="AC64" i="9"/>
  <c r="AB31" i="34" s="1"/>
  <c r="AF26" i="20"/>
  <c r="AF64" i="9"/>
  <c r="AE31" i="34" s="1"/>
  <c r="AI26" i="20"/>
  <c r="P64" i="9"/>
  <c r="O31" i="34" s="1"/>
  <c r="S26" i="20"/>
  <c r="AI64" i="9"/>
  <c r="AH31" i="34" s="1"/>
  <c r="J45" i="34" s="1"/>
  <c r="AL26" i="20"/>
  <c r="M64" i="9"/>
  <c r="L31" i="34" s="1"/>
  <c r="P26" i="20"/>
  <c r="AA64" i="9"/>
  <c r="Z31" i="34" s="1"/>
  <c r="AD26" i="20"/>
  <c r="AE64" i="9"/>
  <c r="AD31" i="34" s="1"/>
  <c r="T64" i="9"/>
  <c r="S31" i="34" s="1"/>
  <c r="G45" i="34" s="1"/>
  <c r="W26" i="20"/>
  <c r="G64" i="9"/>
  <c r="F31" i="34" s="1"/>
  <c r="J26" i="20"/>
  <c r="AB64" i="9"/>
  <c r="AA31" i="34" s="1"/>
  <c r="AE26" i="20"/>
  <c r="L64" i="9"/>
  <c r="K31" i="34" s="1"/>
  <c r="O26" i="20"/>
  <c r="W64" i="9"/>
  <c r="V31" i="34" s="1"/>
  <c r="Z26" i="20"/>
  <c r="S64" i="9"/>
  <c r="R31" i="34" s="1"/>
  <c r="V26" i="20"/>
  <c r="AG64" i="9"/>
  <c r="AF31" i="34" s="1"/>
  <c r="AJ26" i="20"/>
  <c r="AL64" i="9"/>
  <c r="AK31" i="34" s="1"/>
  <c r="AO26" i="20"/>
  <c r="V64" i="9"/>
  <c r="U31" i="34" s="1"/>
  <c r="Y26" i="20"/>
  <c r="AD64" i="9"/>
  <c r="AC31" i="34" s="1"/>
  <c r="I45" i="34" s="1"/>
  <c r="AG26" i="20"/>
  <c r="AJ64" i="9"/>
  <c r="AI31" i="34" s="1"/>
  <c r="AM26" i="20"/>
  <c r="AK64" i="9"/>
  <c r="AJ31" i="34" s="1"/>
  <c r="AN26" i="20"/>
  <c r="O64" i="9"/>
  <c r="N31" i="34" s="1"/>
  <c r="F45" i="34" s="1"/>
  <c r="R26" i="20"/>
  <c r="N64" i="9"/>
  <c r="M31" i="34" s="1"/>
  <c r="Q26" i="20"/>
  <c r="Q64" i="9"/>
  <c r="P31" i="34" s="1"/>
  <c r="T26" i="20"/>
  <c r="AM64" i="9"/>
  <c r="AL31" i="34" s="1"/>
  <c r="AP26" i="20"/>
  <c r="B21" i="10"/>
  <c r="B68" i="9"/>
  <c r="C11" i="10"/>
  <c r="E254" i="14" a="1"/>
  <c r="E254" i="14" s="1"/>
  <c r="J29" i="20" l="1"/>
  <c r="F26" i="20"/>
  <c r="F41" i="20" s="1"/>
  <c r="G41" i="20" s="1"/>
  <c r="C3" i="6"/>
  <c r="H11" i="6" s="1"/>
  <c r="F12" i="6" s="1"/>
  <c r="H12" i="6" s="1"/>
  <c r="F13" i="6" s="1"/>
  <c r="H13" i="6" s="1"/>
  <c r="F14" i="6" s="1"/>
  <c r="H14" i="6" s="1"/>
  <c r="F15" i="6" s="1"/>
  <c r="H15" i="6" s="1"/>
  <c r="D15" i="28"/>
  <c r="C21" i="10"/>
  <c r="J28" i="20"/>
  <c r="C19" i="10"/>
  <c r="B19" i="10"/>
  <c r="K29" i="20"/>
  <c r="K28" i="20"/>
  <c r="L29" i="20"/>
  <c r="L28" i="20"/>
  <c r="M29" i="20"/>
  <c r="M28" i="20"/>
  <c r="N29" i="20"/>
  <c r="N28" i="20"/>
  <c r="O29" i="20"/>
  <c r="O28" i="20"/>
  <c r="P29" i="20"/>
  <c r="P28" i="20"/>
  <c r="Q29" i="20"/>
  <c r="Q28" i="20"/>
  <c r="R29" i="20"/>
  <c r="R28" i="20"/>
  <c r="S29" i="20"/>
  <c r="S28" i="20"/>
  <c r="T29" i="20"/>
  <c r="T28" i="20"/>
  <c r="U29" i="20"/>
  <c r="U28" i="20"/>
  <c r="V29" i="20"/>
  <c r="V28" i="20"/>
  <c r="W29" i="20"/>
  <c r="W28" i="20"/>
  <c r="X29" i="20"/>
  <c r="X28" i="20"/>
  <c r="Y29" i="20"/>
  <c r="Y28" i="20"/>
  <c r="Z29" i="20"/>
  <c r="Z28" i="20"/>
  <c r="AA29" i="20"/>
  <c r="AA28" i="20"/>
  <c r="AB29" i="20"/>
  <c r="AB28" i="20"/>
  <c r="AC29" i="20"/>
  <c r="AC28" i="20"/>
  <c r="AD29" i="20"/>
  <c r="AD28" i="20"/>
  <c r="AE29" i="20"/>
  <c r="AE28" i="20"/>
  <c r="AF29" i="20"/>
  <c r="AF28" i="20"/>
  <c r="AG29" i="20"/>
  <c r="AG28" i="20"/>
  <c r="AH29" i="20"/>
  <c r="AH28" i="20"/>
  <c r="AI29" i="20"/>
  <c r="AI28" i="20"/>
  <c r="AJ29" i="20"/>
  <c r="AJ28" i="20"/>
  <c r="AK29" i="20"/>
  <c r="AK28" i="20"/>
  <c r="AL29" i="20"/>
  <c r="AL28" i="20"/>
  <c r="AM29" i="20"/>
  <c r="AM28" i="20"/>
  <c r="AN29" i="20"/>
  <c r="AN28" i="20"/>
  <c r="AO29" i="20"/>
  <c r="AO28" i="20"/>
  <c r="AP29" i="20"/>
  <c r="AP28" i="20"/>
  <c r="AQ29" i="20"/>
  <c r="AQ28" i="20"/>
  <c r="H11" i="10"/>
  <c r="H9" i="10"/>
  <c r="H7" i="10"/>
  <c r="H8" i="10"/>
  <c r="H12" i="10"/>
  <c r="H6" i="10"/>
  <c r="H10" i="10"/>
  <c r="E213" i="14" a="1"/>
  <c r="W213" i="14" s="1"/>
  <c r="E173" i="14" a="1"/>
  <c r="AG173" i="14" s="1"/>
  <c r="E132" i="14" a="1"/>
  <c r="Y132" i="14" s="1"/>
  <c r="D18" i="28" l="1"/>
  <c r="D19" i="28"/>
  <c r="F28" i="20"/>
  <c r="F43" i="20" s="1"/>
  <c r="F29" i="20"/>
  <c r="F44" i="20" s="1"/>
  <c r="E23" i="6"/>
  <c r="E24" i="6"/>
  <c r="E16" i="6"/>
  <c r="E18" i="6"/>
  <c r="E22" i="6"/>
  <c r="E27" i="6"/>
  <c r="F16" i="6"/>
  <c r="G16" i="6" s="1"/>
  <c r="E19" i="6"/>
  <c r="E25" i="6"/>
  <c r="E17" i="6"/>
  <c r="E21" i="6"/>
  <c r="E20" i="6"/>
  <c r="E26" i="6"/>
  <c r="D7" i="21"/>
  <c r="D6" i="21"/>
  <c r="M173" i="14"/>
  <c r="P173" i="14"/>
  <c r="I173" i="14"/>
  <c r="N173" i="14"/>
  <c r="AC173" i="14"/>
  <c r="Z173" i="14"/>
  <c r="S173" i="14"/>
  <c r="AJ173" i="14"/>
  <c r="T173" i="14"/>
  <c r="F132" i="14"/>
  <c r="AH213" i="14"/>
  <c r="I132" i="14"/>
  <c r="J213" i="14"/>
  <c r="O173" i="14"/>
  <c r="AH132" i="14"/>
  <c r="AE213" i="14"/>
  <c r="AL132" i="14"/>
  <c r="X132" i="14"/>
  <c r="AH173" i="14"/>
  <c r="F173" i="14"/>
  <c r="R213" i="14"/>
  <c r="S213" i="14"/>
  <c r="O132" i="14"/>
  <c r="AD132" i="14"/>
  <c r="AE173" i="14"/>
  <c r="AI173" i="14"/>
  <c r="E173" i="14"/>
  <c r="E213" i="14"/>
  <c r="H213" i="14"/>
  <c r="Y213" i="14"/>
  <c r="AI213" i="14"/>
  <c r="E132" i="14"/>
  <c r="AF213" i="14"/>
  <c r="AG213" i="14"/>
  <c r="AC213" i="14"/>
  <c r="AD213" i="14"/>
  <c r="N213" i="14"/>
  <c r="H132" i="14"/>
  <c r="Z213" i="14"/>
  <c r="R132" i="14"/>
  <c r="V132" i="14"/>
  <c r="H173" i="14"/>
  <c r="X173" i="14"/>
  <c r="P132" i="14"/>
  <c r="AI132" i="14"/>
  <c r="AB132" i="14"/>
  <c r="G132" i="14"/>
  <c r="AF132" i="14"/>
  <c r="AF173" i="14"/>
  <c r="AK173" i="14"/>
  <c r="AL173" i="14"/>
  <c r="AD173" i="14"/>
  <c r="W132" i="14"/>
  <c r="AA132" i="14"/>
  <c r="AC132" i="14"/>
  <c r="N132" i="14"/>
  <c r="M132" i="14"/>
  <c r="G173" i="14"/>
  <c r="L173" i="14"/>
  <c r="J173" i="14"/>
  <c r="V173" i="14"/>
  <c r="Q213" i="14"/>
  <c r="L213" i="14"/>
  <c r="I213" i="14"/>
  <c r="AA213" i="14"/>
  <c r="U213" i="14"/>
  <c r="AJ132" i="14"/>
  <c r="AK132" i="14"/>
  <c r="AB213" i="14"/>
  <c r="T213" i="14"/>
  <c r="S132" i="14"/>
  <c r="Q173" i="14"/>
  <c r="AM213" i="14"/>
  <c r="U132" i="14"/>
  <c r="R173" i="14"/>
  <c r="G213" i="14"/>
  <c r="F213" i="14"/>
  <c r="K132" i="14"/>
  <c r="AG132" i="14"/>
  <c r="AM173" i="14"/>
  <c r="AK213" i="14"/>
  <c r="J132" i="14"/>
  <c r="T132" i="14"/>
  <c r="AM132" i="14"/>
  <c r="Z132" i="14"/>
  <c r="K173" i="14"/>
  <c r="U173" i="14"/>
  <c r="AB173" i="14"/>
  <c r="AJ213" i="14"/>
  <c r="P213" i="14"/>
  <c r="AL213" i="14"/>
  <c r="O213" i="14"/>
  <c r="AE132" i="14"/>
  <c r="L132" i="14"/>
  <c r="Q132" i="14"/>
  <c r="Y173" i="14"/>
  <c r="AA173" i="14"/>
  <c r="W173" i="14"/>
  <c r="M213" i="14"/>
  <c r="X213" i="14"/>
  <c r="K213" i="14"/>
  <c r="V213" i="14"/>
  <c r="J36" i="10" l="1"/>
  <c r="G43" i="20"/>
  <c r="F46" i="20"/>
  <c r="F31" i="20"/>
  <c r="G47" i="20" s="1"/>
  <c r="G44" i="20"/>
  <c r="D16" i="6"/>
  <c r="H16" i="6"/>
  <c r="F17" i="6" s="1"/>
  <c r="G17" i="6" s="1"/>
  <c r="I36" i="10"/>
  <c r="F29" i="9" s="1"/>
  <c r="E11" i="34" l="1"/>
  <c r="F30" i="9"/>
  <c r="E12" i="34" s="1"/>
  <c r="H46" i="20"/>
  <c r="H48" i="20"/>
  <c r="G46" i="20"/>
  <c r="H47" i="20" s="1"/>
  <c r="D17" i="6"/>
  <c r="H17" i="6"/>
  <c r="F57" i="9"/>
  <c r="F60" i="9" s="1"/>
  <c r="G53" i="9" s="1"/>
  <c r="F18" i="6" l="1"/>
  <c r="H18" i="6"/>
  <c r="F45" i="9"/>
  <c r="F41" i="9" s="1"/>
  <c r="F50" i="9" s="1"/>
  <c r="F47" i="9" s="1"/>
  <c r="F19" i="6" l="1"/>
  <c r="H19" i="6"/>
  <c r="G18" i="6"/>
  <c r="D18" i="6"/>
  <c r="F20" i="6" l="1"/>
  <c r="H20" i="6"/>
  <c r="G19" i="6"/>
  <c r="D19" i="6"/>
  <c r="F21" i="6" l="1"/>
  <c r="H21" i="6"/>
  <c r="G20" i="6"/>
  <c r="D20" i="6"/>
  <c r="F22" i="6" l="1"/>
  <c r="H22" i="6"/>
  <c r="G21" i="6"/>
  <c r="D21" i="6"/>
  <c r="F23" i="6" l="1"/>
  <c r="H23" i="6"/>
  <c r="G22" i="6"/>
  <c r="D22" i="6"/>
  <c r="F24" i="6" l="1"/>
  <c r="H24" i="6"/>
  <c r="G23" i="6"/>
  <c r="D23" i="6"/>
  <c r="F25" i="6" l="1"/>
  <c r="H25" i="6"/>
  <c r="G24" i="6"/>
  <c r="D24" i="6"/>
  <c r="F26" i="6" l="1"/>
  <c r="H26" i="6"/>
  <c r="G25" i="6"/>
  <c r="D25" i="6"/>
  <c r="F27" i="6" l="1"/>
  <c r="H27" i="6"/>
  <c r="F28" i="6" s="1"/>
  <c r="G26" i="6"/>
  <c r="D26" i="6"/>
  <c r="H28" i="6" l="1"/>
  <c r="D28" i="6"/>
  <c r="G28" i="6"/>
  <c r="G27" i="6"/>
  <c r="D27" i="6"/>
  <c r="F29" i="6" l="1"/>
  <c r="H29" i="6" s="1"/>
  <c r="F30" i="6" l="1"/>
  <c r="H30" i="6" s="1"/>
  <c r="F31" i="6" s="1"/>
  <c r="G29" i="6"/>
  <c r="D29" i="6"/>
  <c r="H31" i="6" l="1"/>
  <c r="D31" i="6"/>
  <c r="G31" i="6"/>
  <c r="D30" i="6"/>
  <c r="G30" i="6"/>
  <c r="F32" i="6" l="1"/>
  <c r="H32" i="6" s="1"/>
  <c r="F33" i="6" s="1"/>
  <c r="H33" i="6" l="1"/>
  <c r="F34" i="6" s="1"/>
  <c r="D33" i="6"/>
  <c r="G33" i="6"/>
  <c r="G32" i="6"/>
  <c r="D32" i="6"/>
  <c r="H34" i="6" l="1"/>
  <c r="D34" i="6"/>
  <c r="G34" i="6"/>
  <c r="F35" i="6" l="1"/>
  <c r="H35" i="6" s="1"/>
  <c r="F36" i="6" s="1"/>
  <c r="H36" i="6" l="1"/>
  <c r="D36" i="6"/>
  <c r="G36" i="6"/>
  <c r="D35" i="6"/>
  <c r="G35" i="6"/>
  <c r="F37" i="6" l="1"/>
  <c r="H37" i="6" s="1"/>
  <c r="F38" i="6" l="1"/>
  <c r="H38" i="6" s="1"/>
  <c r="D37" i="6"/>
  <c r="G37" i="6"/>
  <c r="F39" i="6" l="1"/>
  <c r="H39" i="6" s="1"/>
  <c r="F40" i="6" s="1"/>
  <c r="D38" i="6"/>
  <c r="G38" i="6"/>
  <c r="H40" i="6" l="1"/>
  <c r="F41" i="6" s="1"/>
  <c r="G40" i="6"/>
  <c r="D40" i="6"/>
  <c r="G39" i="6"/>
  <c r="D39" i="6"/>
  <c r="H41" i="6" l="1"/>
  <c r="F42" i="6" s="1"/>
  <c r="G41" i="6"/>
  <c r="D41" i="6"/>
  <c r="H42" i="6" l="1"/>
  <c r="F43" i="6" s="1"/>
  <c r="G42" i="6"/>
  <c r="D42" i="6"/>
  <c r="H43" i="6" l="1"/>
  <c r="G43" i="6"/>
  <c r="D43" i="6"/>
  <c r="F44" i="6" l="1"/>
  <c r="H44" i="6" s="1"/>
  <c r="F45" i="6" s="1"/>
  <c r="H45" i="6" l="1"/>
  <c r="D45" i="6"/>
  <c r="G45" i="6"/>
  <c r="D44" i="6"/>
  <c r="G44" i="6"/>
  <c r="F33" i="9" l="1" a="1"/>
  <c r="H33" i="9" s="1"/>
  <c r="H31" i="9" s="1"/>
  <c r="H72" i="9" s="1"/>
  <c r="H74" i="9" l="1"/>
  <c r="G41" i="34" s="1"/>
  <c r="G39" i="34"/>
  <c r="AB33" i="9"/>
  <c r="AB31" i="9" s="1"/>
  <c r="AB72" i="9" s="1"/>
  <c r="AE33" i="9"/>
  <c r="AE31" i="9" s="1"/>
  <c r="AE72" i="9" s="1"/>
  <c r="W33" i="9"/>
  <c r="W31" i="9" s="1"/>
  <c r="W72" i="9" s="1"/>
  <c r="AC33" i="9"/>
  <c r="AC31" i="9" s="1"/>
  <c r="AC72" i="9" s="1"/>
  <c r="O33" i="9"/>
  <c r="O31" i="9" s="1"/>
  <c r="O72" i="9" s="1"/>
  <c r="M33" i="9"/>
  <c r="M31" i="9" s="1"/>
  <c r="M72" i="9" s="1"/>
  <c r="L33" i="9"/>
  <c r="L31" i="9" s="1"/>
  <c r="L72" i="9" s="1"/>
  <c r="AA33" i="9"/>
  <c r="AA31" i="9" s="1"/>
  <c r="AA72" i="9" s="1"/>
  <c r="AM33" i="9"/>
  <c r="AM31" i="9" s="1"/>
  <c r="AM72" i="9" s="1"/>
  <c r="AI33" i="9"/>
  <c r="AI31" i="9" s="1"/>
  <c r="AI72" i="9" s="1"/>
  <c r="F33" i="9"/>
  <c r="R33" i="9"/>
  <c r="R31" i="9" s="1"/>
  <c r="R72" i="9" s="1"/>
  <c r="AG33" i="9"/>
  <c r="AG31" i="9" s="1"/>
  <c r="AG72" i="9" s="1"/>
  <c r="J33" i="9"/>
  <c r="J31" i="9" s="1"/>
  <c r="J72" i="9" s="1"/>
  <c r="AK33" i="9"/>
  <c r="AK31" i="9" s="1"/>
  <c r="AK72" i="9" s="1"/>
  <c r="AJ33" i="9"/>
  <c r="AJ31" i="9" s="1"/>
  <c r="AJ72" i="9" s="1"/>
  <c r="AN33" i="9"/>
  <c r="AN31" i="9" s="1"/>
  <c r="AN72" i="9" s="1"/>
  <c r="AF33" i="9"/>
  <c r="AF31" i="9" s="1"/>
  <c r="AF72" i="9" s="1"/>
  <c r="T33" i="9"/>
  <c r="T31" i="9" s="1"/>
  <c r="T72" i="9" s="1"/>
  <c r="S33" i="9"/>
  <c r="S31" i="9" s="1"/>
  <c r="S72" i="9" s="1"/>
  <c r="Z33" i="9"/>
  <c r="Z31" i="9" s="1"/>
  <c r="Z72" i="9" s="1"/>
  <c r="I33" i="9"/>
  <c r="I31" i="9" s="1"/>
  <c r="I72" i="9" s="1"/>
  <c r="Q33" i="9"/>
  <c r="Q31" i="9" s="1"/>
  <c r="Q72" i="9" s="1"/>
  <c r="AL33" i="9"/>
  <c r="AL31" i="9" s="1"/>
  <c r="AL72" i="9" s="1"/>
  <c r="AD33" i="9"/>
  <c r="AD31" i="9" s="1"/>
  <c r="AD72" i="9" s="1"/>
  <c r="V33" i="9"/>
  <c r="V31" i="9" s="1"/>
  <c r="V72" i="9" s="1"/>
  <c r="Y33" i="9"/>
  <c r="Y31" i="9" s="1"/>
  <c r="Y72" i="9" s="1"/>
  <c r="K33" i="9"/>
  <c r="K31" i="9" s="1"/>
  <c r="K72" i="9" s="1"/>
  <c r="X33" i="9"/>
  <c r="X31" i="9" s="1"/>
  <c r="X72" i="9" s="1"/>
  <c r="U33" i="9"/>
  <c r="U31" i="9" s="1"/>
  <c r="U72" i="9" s="1"/>
  <c r="G33" i="9"/>
  <c r="G31" i="9" s="1"/>
  <c r="G72" i="9" s="1"/>
  <c r="AH33" i="9"/>
  <c r="AH31" i="9" s="1"/>
  <c r="AH72" i="9" s="1"/>
  <c r="P33" i="9"/>
  <c r="P31" i="9" s="1"/>
  <c r="P72" i="9" s="1"/>
  <c r="N33" i="9"/>
  <c r="N31" i="9" s="1"/>
  <c r="N72" i="9" s="1"/>
  <c r="F31" i="9"/>
  <c r="H76" i="9"/>
  <c r="H86" i="9"/>
  <c r="G74" i="9" l="1"/>
  <c r="F39" i="34"/>
  <c r="I74" i="9"/>
  <c r="H39" i="34"/>
  <c r="J74" i="9"/>
  <c r="I39" i="34"/>
  <c r="E53" i="34" s="1"/>
  <c r="AJ74" i="9"/>
  <c r="AJ86" i="9" s="1"/>
  <c r="AJ100" i="9" s="1"/>
  <c r="AI39" i="34"/>
  <c r="Q74" i="9"/>
  <c r="Q86" i="9" s="1"/>
  <c r="Q100" i="9" s="1"/>
  <c r="P39" i="34"/>
  <c r="AK74" i="9"/>
  <c r="AK76" i="9" s="1"/>
  <c r="AJ39" i="34"/>
  <c r="L74" i="9"/>
  <c r="L76" i="9" s="1"/>
  <c r="K39" i="34"/>
  <c r="AA74" i="9"/>
  <c r="AA76" i="9" s="1"/>
  <c r="Z39" i="34"/>
  <c r="U74" i="9"/>
  <c r="U76" i="9" s="1"/>
  <c r="T39" i="34"/>
  <c r="M74" i="9"/>
  <c r="M86" i="9" s="1"/>
  <c r="M99" i="9" s="1"/>
  <c r="L39" i="34"/>
  <c r="AL74" i="9"/>
  <c r="AL76" i="9" s="1"/>
  <c r="AK39" i="34"/>
  <c r="X74" i="9"/>
  <c r="X76" i="9" s="1"/>
  <c r="W39" i="34"/>
  <c r="Z74" i="9"/>
  <c r="Y39" i="34"/>
  <c r="AG74" i="9"/>
  <c r="AG76" i="9" s="1"/>
  <c r="AF39" i="34"/>
  <c r="O74" i="9"/>
  <c r="N39" i="34"/>
  <c r="F53" i="34" s="1"/>
  <c r="AH74" i="9"/>
  <c r="AH76" i="9" s="1"/>
  <c r="AG39" i="34"/>
  <c r="K74" i="9"/>
  <c r="K86" i="9" s="1"/>
  <c r="K100" i="9" s="1"/>
  <c r="J39" i="34"/>
  <c r="S74" i="9"/>
  <c r="S86" i="9" s="1"/>
  <c r="S100" i="9" s="1"/>
  <c r="R39" i="34"/>
  <c r="R74" i="9"/>
  <c r="Q39" i="34"/>
  <c r="AC74" i="9"/>
  <c r="AC76" i="9" s="1"/>
  <c r="AB39" i="34"/>
  <c r="Y74" i="9"/>
  <c r="Y86" i="9" s="1"/>
  <c r="Y99" i="9" s="1"/>
  <c r="X39" i="34"/>
  <c r="H53" i="34" s="1"/>
  <c r="T74" i="9"/>
  <c r="S39" i="34"/>
  <c r="G53" i="34" s="1"/>
  <c r="W74" i="9"/>
  <c r="W76" i="9" s="1"/>
  <c r="V39" i="34"/>
  <c r="N74" i="9"/>
  <c r="N76" i="9" s="1"/>
  <c r="M39" i="34"/>
  <c r="V74" i="9"/>
  <c r="U39" i="34"/>
  <c r="AF74" i="9"/>
  <c r="AF76" i="9" s="1"/>
  <c r="AE39" i="34"/>
  <c r="AI74" i="9"/>
  <c r="AH39" i="34"/>
  <c r="J53" i="34" s="1"/>
  <c r="AE74" i="9"/>
  <c r="AE76" i="9" s="1"/>
  <c r="AD39" i="34"/>
  <c r="P74" i="9"/>
  <c r="P76" i="9" s="1"/>
  <c r="O39" i="34"/>
  <c r="AD74" i="9"/>
  <c r="AD76" i="9" s="1"/>
  <c r="AC39" i="34"/>
  <c r="I53" i="34" s="1"/>
  <c r="AN74" i="9"/>
  <c r="AN76" i="9" s="1"/>
  <c r="AM39" i="34"/>
  <c r="K53" i="34" s="1"/>
  <c r="AM74" i="9"/>
  <c r="AL39" i="34"/>
  <c r="AB74" i="9"/>
  <c r="AB76" i="9" s="1"/>
  <c r="AA39" i="34"/>
  <c r="T86" i="9"/>
  <c r="T100" i="9" s="1"/>
  <c r="Z76" i="9"/>
  <c r="I76" i="9"/>
  <c r="D33" i="9"/>
  <c r="G86" i="9"/>
  <c r="G99" i="9" s="1"/>
  <c r="J86" i="9"/>
  <c r="J99" i="9" s="1"/>
  <c r="H99" i="9"/>
  <c r="H100" i="9"/>
  <c r="F72" i="9"/>
  <c r="D31" i="9"/>
  <c r="F34" i="9"/>
  <c r="F74" i="9" l="1"/>
  <c r="E41" i="34" s="1"/>
  <c r="E39" i="34"/>
  <c r="J76" i="9"/>
  <c r="I41" i="34"/>
  <c r="E55" i="34" s="1"/>
  <c r="I86" i="9"/>
  <c r="H41" i="34"/>
  <c r="G76" i="9"/>
  <c r="F41" i="34"/>
  <c r="T99" i="9"/>
  <c r="AN86" i="9"/>
  <c r="AM41" i="34"/>
  <c r="K55" i="34" s="1"/>
  <c r="AI86" i="9"/>
  <c r="AH41" i="34"/>
  <c r="J55" i="34" s="1"/>
  <c r="W86" i="9"/>
  <c r="V41" i="34"/>
  <c r="R86" i="9"/>
  <c r="Q41" i="34"/>
  <c r="O86" i="9"/>
  <c r="N41" i="34"/>
  <c r="F55" i="34" s="1"/>
  <c r="AL86" i="9"/>
  <c r="AK41" i="34"/>
  <c r="L86" i="9"/>
  <c r="K41" i="34"/>
  <c r="AD86" i="9"/>
  <c r="AC41" i="34"/>
  <c r="I55" i="34" s="1"/>
  <c r="AF86" i="9"/>
  <c r="AE41" i="34"/>
  <c r="T76" i="9"/>
  <c r="S41" i="34"/>
  <c r="G55" i="34" s="1"/>
  <c r="S76" i="9"/>
  <c r="R41" i="34"/>
  <c r="AG86" i="9"/>
  <c r="AF41" i="34"/>
  <c r="M76" i="9"/>
  <c r="L41" i="34"/>
  <c r="AK86" i="9"/>
  <c r="AJ41" i="34"/>
  <c r="R76" i="9"/>
  <c r="AB86" i="9"/>
  <c r="AA41" i="34"/>
  <c r="P86" i="9"/>
  <c r="O41" i="34"/>
  <c r="V76" i="9"/>
  <c r="U41" i="34"/>
  <c r="Y76" i="9"/>
  <c r="X41" i="34"/>
  <c r="H55" i="34" s="1"/>
  <c r="K76" i="9"/>
  <c r="J41" i="34"/>
  <c r="Z86" i="9"/>
  <c r="Y41" i="34"/>
  <c r="U86" i="9"/>
  <c r="T41" i="34"/>
  <c r="Q76" i="9"/>
  <c r="P41" i="34"/>
  <c r="AI76" i="9"/>
  <c r="O76" i="9"/>
  <c r="V86" i="9"/>
  <c r="AM76" i="9"/>
  <c r="AL41" i="34"/>
  <c r="AM86" i="9"/>
  <c r="AE86" i="9"/>
  <c r="AD41" i="34"/>
  <c r="N86" i="9"/>
  <c r="M41" i="34"/>
  <c r="AC86" i="9"/>
  <c r="AB41" i="34"/>
  <c r="AH86" i="9"/>
  <c r="AG41" i="34"/>
  <c r="X86" i="9"/>
  <c r="W41" i="34"/>
  <c r="AA86" i="9"/>
  <c r="Z41" i="34"/>
  <c r="AJ76" i="9"/>
  <c r="AI41" i="34"/>
  <c r="Y100" i="9"/>
  <c r="F36" i="9"/>
  <c r="E13" i="34"/>
  <c r="J100" i="9"/>
  <c r="K99" i="9"/>
  <c r="M100" i="9"/>
  <c r="G100" i="9"/>
  <c r="Q99" i="9"/>
  <c r="S99" i="9"/>
  <c r="AJ99" i="9"/>
  <c r="F76" i="9"/>
  <c r="F98" i="9" s="1"/>
  <c r="F77" i="9"/>
  <c r="F86" i="9"/>
  <c r="AP36" i="10"/>
  <c r="AN166" i="10"/>
  <c r="Q166" i="10"/>
  <c r="S36" i="10"/>
  <c r="AM166" i="10"/>
  <c r="AO36" i="10"/>
  <c r="O166" i="10"/>
  <c r="Q36" i="10"/>
  <c r="U36" i="10"/>
  <c r="S166" i="10"/>
  <c r="K36" i="10"/>
  <c r="I166" i="10"/>
  <c r="AA166" i="10"/>
  <c r="AC36" i="10"/>
  <c r="AD36" i="10"/>
  <c r="AB166" i="10"/>
  <c r="R166" i="10"/>
  <c r="T36" i="10"/>
  <c r="AG36" i="10"/>
  <c r="AE166" i="10"/>
  <c r="AH36" i="10"/>
  <c r="AF166" i="10"/>
  <c r="L36" i="10"/>
  <c r="J166" i="10"/>
  <c r="AQ36" i="10"/>
  <c r="AO166" i="10"/>
  <c r="AG166" i="10"/>
  <c r="AI36" i="10"/>
  <c r="AK36" i="10"/>
  <c r="AI166" i="10"/>
  <c r="AC166" i="10"/>
  <c r="AE36" i="10"/>
  <c r="AF36" i="10"/>
  <c r="AD166" i="10"/>
  <c r="V36" i="10"/>
  <c r="T166" i="10"/>
  <c r="W36" i="10"/>
  <c r="U166" i="10"/>
  <c r="AJ36" i="10"/>
  <c r="AH166" i="10"/>
  <c r="Y36" i="10"/>
  <c r="W166" i="10"/>
  <c r="N36" i="10"/>
  <c r="L166" i="10"/>
  <c r="AJ166" i="10"/>
  <c r="AL36" i="10"/>
  <c r="M166" i="10"/>
  <c r="O36" i="10"/>
  <c r="AM36" i="10"/>
  <c r="AK166" i="10"/>
  <c r="P166" i="10"/>
  <c r="R36" i="10"/>
  <c r="H166" i="10"/>
  <c r="X36" i="10"/>
  <c r="V166" i="10"/>
  <c r="M36" i="10"/>
  <c r="K166" i="10"/>
  <c r="Z36" i="10"/>
  <c r="X166" i="10"/>
  <c r="AA36" i="10"/>
  <c r="Y166" i="10"/>
  <c r="P36" i="10"/>
  <c r="N166" i="10"/>
  <c r="AB36" i="10"/>
  <c r="Z166" i="10"/>
  <c r="AN36" i="10"/>
  <c r="AL166" i="10"/>
  <c r="I99" i="9" l="1"/>
  <c r="I100" i="9"/>
  <c r="O98" i="9"/>
  <c r="P98" i="9"/>
  <c r="X98" i="9"/>
  <c r="AF98" i="9"/>
  <c r="AN98" i="9"/>
  <c r="Z98" i="9"/>
  <c r="AH98" i="9"/>
  <c r="K98" i="9"/>
  <c r="S98" i="9"/>
  <c r="AA98" i="9"/>
  <c r="AI98" i="9"/>
  <c r="L98" i="9"/>
  <c r="T98" i="9"/>
  <c r="AB98" i="9"/>
  <c r="AJ98" i="9"/>
  <c r="M98" i="9"/>
  <c r="U98" i="9"/>
  <c r="AC98" i="9"/>
  <c r="AK98" i="9"/>
  <c r="N98" i="9"/>
  <c r="V98" i="9"/>
  <c r="AD98" i="9"/>
  <c r="W98" i="9"/>
  <c r="AE98" i="9"/>
  <c r="AM98" i="9"/>
  <c r="Q98" i="9"/>
  <c r="Y98" i="9"/>
  <c r="AG98" i="9"/>
  <c r="R98" i="9"/>
  <c r="AL98" i="9"/>
  <c r="P99" i="9"/>
  <c r="P100" i="9"/>
  <c r="AG100" i="9"/>
  <c r="AG99" i="9"/>
  <c r="AD100" i="9"/>
  <c r="AD99" i="9"/>
  <c r="R100" i="9"/>
  <c r="R99" i="9"/>
  <c r="AC99" i="9"/>
  <c r="AC100" i="9"/>
  <c r="AB100" i="9"/>
  <c r="AB99" i="9"/>
  <c r="L99" i="9"/>
  <c r="L100" i="9"/>
  <c r="W99" i="9"/>
  <c r="W100" i="9"/>
  <c r="X99" i="9"/>
  <c r="X100" i="9"/>
  <c r="AE100" i="9"/>
  <c r="AE99" i="9"/>
  <c r="AM100" i="9"/>
  <c r="AM99" i="9"/>
  <c r="AK99" i="9"/>
  <c r="AK100" i="9"/>
  <c r="AL100" i="9"/>
  <c r="AL99" i="9"/>
  <c r="AI99" i="9"/>
  <c r="AI100" i="9"/>
  <c r="Z99" i="9"/>
  <c r="Z100" i="9"/>
  <c r="N99" i="9"/>
  <c r="N100" i="9"/>
  <c r="AH100" i="9"/>
  <c r="AH99" i="9"/>
  <c r="U99" i="9"/>
  <c r="U100" i="9"/>
  <c r="V99" i="9"/>
  <c r="V100" i="9"/>
  <c r="AA99" i="9"/>
  <c r="AA100" i="9"/>
  <c r="AF100" i="9"/>
  <c r="AF99" i="9"/>
  <c r="O100" i="9"/>
  <c r="O99" i="9"/>
  <c r="AN99" i="9"/>
  <c r="AN100" i="9"/>
  <c r="F37" i="9"/>
  <c r="E14" i="34"/>
  <c r="F100" i="9"/>
  <c r="F87" i="9"/>
  <c r="G87" i="9" s="1"/>
  <c r="H87" i="9" s="1"/>
  <c r="I87" i="9" s="1"/>
  <c r="J87" i="9" s="1"/>
  <c r="K87" i="9" s="1"/>
  <c r="L87" i="9" s="1"/>
  <c r="M87" i="9" s="1"/>
  <c r="N87" i="9" s="1"/>
  <c r="O87" i="9" s="1"/>
  <c r="P87" i="9" s="1"/>
  <c r="Q87" i="9" s="1"/>
  <c r="R87" i="9" s="1"/>
  <c r="S87" i="9" s="1"/>
  <c r="T87" i="9" s="1"/>
  <c r="U87" i="9" s="1"/>
  <c r="V87" i="9" s="1"/>
  <c r="W87" i="9" s="1"/>
  <c r="X87" i="9" s="1"/>
  <c r="Y87" i="9" s="1"/>
  <c r="Z87" i="9" s="1"/>
  <c r="AA87" i="9" s="1"/>
  <c r="AB87" i="9" s="1"/>
  <c r="AC87" i="9" s="1"/>
  <c r="AD87" i="9" s="1"/>
  <c r="AE87" i="9" s="1"/>
  <c r="AF87" i="9" s="1"/>
  <c r="AG87" i="9" s="1"/>
  <c r="AH87" i="9" s="1"/>
  <c r="AI87" i="9" s="1"/>
  <c r="AJ87" i="9" s="1"/>
  <c r="AK87" i="9" s="1"/>
  <c r="AL87" i="9" s="1"/>
  <c r="AM87" i="9" s="1"/>
  <c r="AN87" i="9" s="1"/>
  <c r="F99" i="9"/>
  <c r="G77" i="9"/>
  <c r="D90" i="9"/>
  <c r="D22" i="28" s="1"/>
  <c r="D91" i="9"/>
  <c r="I29" i="9"/>
  <c r="I57" i="9"/>
  <c r="I60" i="9" s="1"/>
  <c r="H57" i="9"/>
  <c r="H60" i="9" s="1"/>
  <c r="H29" i="9"/>
  <c r="J29" i="9"/>
  <c r="J57" i="9"/>
  <c r="J60" i="9" s="1"/>
  <c r="AD57" i="9"/>
  <c r="AD60" i="9" s="1"/>
  <c r="AD29" i="9"/>
  <c r="AB57" i="9"/>
  <c r="AB60" i="9" s="1"/>
  <c r="AB29" i="9"/>
  <c r="AL57" i="9"/>
  <c r="AL60" i="9" s="1"/>
  <c r="AL29" i="9"/>
  <c r="AE57" i="9"/>
  <c r="AE60" i="9" s="1"/>
  <c r="AE29" i="9"/>
  <c r="K29" i="9"/>
  <c r="K57" i="9"/>
  <c r="K60" i="9" s="1"/>
  <c r="AH29" i="9"/>
  <c r="AH57" i="9"/>
  <c r="AH60" i="9" s="1"/>
  <c r="L29" i="9"/>
  <c r="L57" i="9"/>
  <c r="L60" i="9" s="1"/>
  <c r="N29" i="9"/>
  <c r="N57" i="9"/>
  <c r="N60" i="9" s="1"/>
  <c r="Q29" i="9"/>
  <c r="Q57" i="9"/>
  <c r="Q60" i="9" s="1"/>
  <c r="AF29" i="9"/>
  <c r="AF57" i="9"/>
  <c r="AF60" i="9" s="1"/>
  <c r="P29" i="9"/>
  <c r="P57" i="9"/>
  <c r="P60" i="9" s="1"/>
  <c r="W57" i="9"/>
  <c r="W60" i="9" s="1"/>
  <c r="W29" i="9"/>
  <c r="R29" i="9"/>
  <c r="R57" i="9"/>
  <c r="R60" i="9" s="1"/>
  <c r="U29" i="9"/>
  <c r="U57" i="9"/>
  <c r="U60" i="9" s="1"/>
  <c r="V29" i="9"/>
  <c r="V57" i="9"/>
  <c r="V60" i="9" s="1"/>
  <c r="AG57" i="9"/>
  <c r="AG60" i="9" s="1"/>
  <c r="AG29" i="9"/>
  <c r="AA29" i="9"/>
  <c r="AA57" i="9"/>
  <c r="AA60" i="9" s="1"/>
  <c r="S29" i="9"/>
  <c r="S57" i="9"/>
  <c r="S60" i="9" s="1"/>
  <c r="AC57" i="9"/>
  <c r="AC60" i="9" s="1"/>
  <c r="AC29" i="9"/>
  <c r="Y57" i="9"/>
  <c r="Y60" i="9" s="1"/>
  <c r="Y29" i="9"/>
  <c r="O29" i="9"/>
  <c r="O57" i="9"/>
  <c r="O60" i="9" s="1"/>
  <c r="M57" i="9"/>
  <c r="M60" i="9" s="1"/>
  <c r="M29" i="9"/>
  <c r="Z29" i="9"/>
  <c r="Z57" i="9"/>
  <c r="Z60" i="9" s="1"/>
  <c r="AI29" i="9"/>
  <c r="AI57" i="9"/>
  <c r="AI60" i="9" s="1"/>
  <c r="AK57" i="9"/>
  <c r="AK60" i="9" s="1"/>
  <c r="AK29" i="9"/>
  <c r="G57" i="9"/>
  <c r="G60" i="9" s="1"/>
  <c r="G29" i="9"/>
  <c r="F11" i="34" s="1"/>
  <c r="G36" i="10"/>
  <c r="X29" i="9"/>
  <c r="X57" i="9"/>
  <c r="X60" i="9" s="1"/>
  <c r="AJ57" i="9"/>
  <c r="AJ60" i="9" s="1"/>
  <c r="AJ29" i="9"/>
  <c r="T29" i="9"/>
  <c r="T57" i="9"/>
  <c r="T60" i="9" s="1"/>
  <c r="AN57" i="9"/>
  <c r="AN60" i="9" s="1"/>
  <c r="AN45" i="9" s="1"/>
  <c r="AN41" i="9" s="1"/>
  <c r="AN50" i="9" s="1"/>
  <c r="AN47" i="9" s="1"/>
  <c r="AN29" i="9"/>
  <c r="AM29" i="9"/>
  <c r="AM57" i="9"/>
  <c r="AM60" i="9" s="1"/>
  <c r="AM30" i="9" l="1"/>
  <c r="AL11" i="34"/>
  <c r="AN30" i="9"/>
  <c r="AM11" i="34"/>
  <c r="K22" i="34" s="1"/>
  <c r="T30" i="9"/>
  <c r="S11" i="34"/>
  <c r="G22" i="34" s="1"/>
  <c r="AJ30" i="9"/>
  <c r="AI11" i="34"/>
  <c r="X30" i="9"/>
  <c r="W11" i="34"/>
  <c r="AK30" i="9"/>
  <c r="AJ11" i="34"/>
  <c r="AI30" i="9"/>
  <c r="AH11" i="34"/>
  <c r="J22" i="34" s="1"/>
  <c r="Z30" i="9"/>
  <c r="Y11" i="34"/>
  <c r="M30" i="9"/>
  <c r="L11" i="34"/>
  <c r="O30" i="9"/>
  <c r="N11" i="34"/>
  <c r="F22" i="34" s="1"/>
  <c r="Y30" i="9"/>
  <c r="X11" i="34"/>
  <c r="H22" i="34" s="1"/>
  <c r="AC30" i="9"/>
  <c r="AB11" i="34"/>
  <c r="S30" i="9"/>
  <c r="R11" i="34"/>
  <c r="AA30" i="9"/>
  <c r="Z11" i="34"/>
  <c r="AG30" i="9"/>
  <c r="AF11" i="34"/>
  <c r="V30" i="9"/>
  <c r="U11" i="34"/>
  <c r="U30" i="9"/>
  <c r="T11" i="34"/>
  <c r="R30" i="9"/>
  <c r="Q11" i="34"/>
  <c r="W30" i="9"/>
  <c r="V11" i="34"/>
  <c r="P30" i="9"/>
  <c r="O11" i="34"/>
  <c r="AF30" i="9"/>
  <c r="AE11" i="34"/>
  <c r="Q30" i="9"/>
  <c r="P11" i="34"/>
  <c r="N30" i="9"/>
  <c r="M11" i="34"/>
  <c r="L30" i="9"/>
  <c r="K11" i="34"/>
  <c r="AH30" i="9"/>
  <c r="AG11" i="34"/>
  <c r="K30" i="9"/>
  <c r="J11" i="34"/>
  <c r="AE30" i="9"/>
  <c r="AD11" i="34"/>
  <c r="AL30" i="9"/>
  <c r="AK11" i="34"/>
  <c r="AB30" i="9"/>
  <c r="AA11" i="34"/>
  <c r="AD30" i="9"/>
  <c r="AC11" i="34"/>
  <c r="I22" i="34" s="1"/>
  <c r="J30" i="9"/>
  <c r="I11" i="34"/>
  <c r="E22" i="34" s="1"/>
  <c r="H30" i="9"/>
  <c r="G11" i="34"/>
  <c r="I30" i="9"/>
  <c r="H11" i="34"/>
  <c r="E22" i="28"/>
  <c r="D13" i="21"/>
  <c r="H77" i="9"/>
  <c r="E91" i="9"/>
  <c r="D21" i="28"/>
  <c r="B16" i="10"/>
  <c r="G38" i="10"/>
  <c r="G30" i="9"/>
  <c r="F12" i="34" s="1"/>
  <c r="D29" i="9"/>
  <c r="B14" i="10" s="1"/>
  <c r="B15" i="10" s="1"/>
  <c r="AB45" i="9"/>
  <c r="AB41" i="9" s="1"/>
  <c r="AB50" i="9" s="1"/>
  <c r="AB47" i="9" s="1"/>
  <c r="AC53" i="9"/>
  <c r="V53" i="9"/>
  <c r="U45" i="9"/>
  <c r="U41" i="9" s="1"/>
  <c r="U50" i="9" s="1"/>
  <c r="U47" i="9" s="1"/>
  <c r="AE53" i="9"/>
  <c r="AD45" i="9"/>
  <c r="AD41" i="9" s="1"/>
  <c r="AD50" i="9" s="1"/>
  <c r="AD47" i="9" s="1"/>
  <c r="AM53" i="9"/>
  <c r="AL45" i="9"/>
  <c r="AL41" i="9" s="1"/>
  <c r="AL50" i="9" s="1"/>
  <c r="AL47" i="9" s="1"/>
  <c r="AH45" i="9"/>
  <c r="AH41" i="9" s="1"/>
  <c r="AH50" i="9" s="1"/>
  <c r="AH47" i="9" s="1"/>
  <c r="AI53" i="9"/>
  <c r="J45" i="9"/>
  <c r="J41" i="9" s="1"/>
  <c r="J50" i="9" s="1"/>
  <c r="J47" i="9" s="1"/>
  <c r="K53" i="9"/>
  <c r="Y45" i="9"/>
  <c r="Y41" i="9" s="1"/>
  <c r="Y50" i="9" s="1"/>
  <c r="Y47" i="9" s="1"/>
  <c r="Z53" i="9"/>
  <c r="AN53" i="9"/>
  <c r="AM45" i="9"/>
  <c r="AM41" i="9" s="1"/>
  <c r="AM50" i="9" s="1"/>
  <c r="AM47" i="9" s="1"/>
  <c r="G45" i="9"/>
  <c r="G41" i="9" s="1"/>
  <c r="G50" i="9" s="1"/>
  <c r="G47" i="9" s="1"/>
  <c r="H53" i="9"/>
  <c r="S53" i="9"/>
  <c r="R45" i="9"/>
  <c r="R41" i="9" s="1"/>
  <c r="R50" i="9" s="1"/>
  <c r="R47" i="9" s="1"/>
  <c r="AC45" i="9"/>
  <c r="AC41" i="9" s="1"/>
  <c r="AC50" i="9" s="1"/>
  <c r="AC47" i="9" s="1"/>
  <c r="AD53" i="9"/>
  <c r="S45" i="9"/>
  <c r="S41" i="9" s="1"/>
  <c r="S50" i="9" s="1"/>
  <c r="S47" i="9" s="1"/>
  <c r="T53" i="9"/>
  <c r="X53" i="9"/>
  <c r="W45" i="9"/>
  <c r="W41" i="9" s="1"/>
  <c r="W50" i="9" s="1"/>
  <c r="W47" i="9" s="1"/>
  <c r="AA53" i="9"/>
  <c r="Z45" i="9"/>
  <c r="Z41" i="9" s="1"/>
  <c r="Z50" i="9" s="1"/>
  <c r="Z47" i="9" s="1"/>
  <c r="AA45" i="9"/>
  <c r="AA41" i="9" s="1"/>
  <c r="AA50" i="9" s="1"/>
  <c r="AA47" i="9" s="1"/>
  <c r="AB53" i="9"/>
  <c r="P45" i="9"/>
  <c r="P41" i="9" s="1"/>
  <c r="P50" i="9" s="1"/>
  <c r="P47" i="9" s="1"/>
  <c r="Q53" i="9"/>
  <c r="L53" i="9"/>
  <c r="K45" i="9"/>
  <c r="K41" i="9" s="1"/>
  <c r="K50" i="9" s="1"/>
  <c r="K47" i="9" s="1"/>
  <c r="W53" i="9"/>
  <c r="V45" i="9"/>
  <c r="V41" i="9" s="1"/>
  <c r="V50" i="9" s="1"/>
  <c r="V47" i="9" s="1"/>
  <c r="O53" i="9"/>
  <c r="N45" i="9"/>
  <c r="N41" i="9" s="1"/>
  <c r="N50" i="9" s="1"/>
  <c r="N47" i="9" s="1"/>
  <c r="I53" i="9"/>
  <c r="H45" i="9"/>
  <c r="H41" i="9" s="1"/>
  <c r="H50" i="9" s="1"/>
  <c r="H47" i="9" s="1"/>
  <c r="P53" i="9"/>
  <c r="O45" i="9"/>
  <c r="O41" i="9" s="1"/>
  <c r="O50" i="9" s="1"/>
  <c r="O47" i="9" s="1"/>
  <c r="R53" i="9"/>
  <c r="Q45" i="9"/>
  <c r="Q41" i="9" s="1"/>
  <c r="Q50" i="9" s="1"/>
  <c r="Q47" i="9" s="1"/>
  <c r="U53" i="9"/>
  <c r="T45" i="9"/>
  <c r="T41" i="9" s="1"/>
  <c r="T50" i="9" s="1"/>
  <c r="T47" i="9" s="1"/>
  <c r="AF45" i="9"/>
  <c r="AF41" i="9" s="1"/>
  <c r="AF50" i="9" s="1"/>
  <c r="AF47" i="9" s="1"/>
  <c r="AG53" i="9"/>
  <c r="J53" i="9"/>
  <c r="I45" i="9"/>
  <c r="I41" i="9" s="1"/>
  <c r="I50" i="9" s="1"/>
  <c r="I47" i="9" s="1"/>
  <c r="L45" i="9"/>
  <c r="L41" i="9" s="1"/>
  <c r="L50" i="9" s="1"/>
  <c r="L47" i="9" s="1"/>
  <c r="M53" i="9"/>
  <c r="AK45" i="9"/>
  <c r="AK41" i="9" s="1"/>
  <c r="AK50" i="9" s="1"/>
  <c r="AK47" i="9" s="1"/>
  <c r="AL53" i="9"/>
  <c r="AI45" i="9"/>
  <c r="AI41" i="9" s="1"/>
  <c r="AI50" i="9" s="1"/>
  <c r="AI47" i="9" s="1"/>
  <c r="AJ53" i="9"/>
  <c r="AK53" i="9"/>
  <c r="AJ45" i="9"/>
  <c r="AJ41" i="9" s="1"/>
  <c r="AJ50" i="9" s="1"/>
  <c r="AJ47" i="9" s="1"/>
  <c r="Y53" i="9"/>
  <c r="X45" i="9"/>
  <c r="X41" i="9" s="1"/>
  <c r="X50" i="9" s="1"/>
  <c r="X47" i="9" s="1"/>
  <c r="M45" i="9"/>
  <c r="M41" i="9" s="1"/>
  <c r="M50" i="9" s="1"/>
  <c r="M47" i="9" s="1"/>
  <c r="N53" i="9"/>
  <c r="AG45" i="9"/>
  <c r="AG41" i="9" s="1"/>
  <c r="AG50" i="9" s="1"/>
  <c r="AG47" i="9" s="1"/>
  <c r="AH53" i="9"/>
  <c r="AE45" i="9"/>
  <c r="AE41" i="9" s="1"/>
  <c r="AE50" i="9" s="1"/>
  <c r="AE47" i="9" s="1"/>
  <c r="AF53" i="9"/>
  <c r="I34" i="9" l="1"/>
  <c r="H12" i="34"/>
  <c r="H34" i="9"/>
  <c r="G12" i="34"/>
  <c r="J34" i="9"/>
  <c r="I12" i="34"/>
  <c r="E23" i="34" s="1"/>
  <c r="AD34" i="9"/>
  <c r="AC12" i="34"/>
  <c r="I23" i="34" s="1"/>
  <c r="AB34" i="9"/>
  <c r="AA12" i="34"/>
  <c r="AL34" i="9"/>
  <c r="AK12" i="34"/>
  <c r="AE34" i="9"/>
  <c r="AD12" i="34"/>
  <c r="K34" i="9"/>
  <c r="J12" i="34"/>
  <c r="AH34" i="9"/>
  <c r="AG12" i="34"/>
  <c r="L34" i="9"/>
  <c r="K12" i="34"/>
  <c r="N34" i="9"/>
  <c r="M12" i="34"/>
  <c r="Q34" i="9"/>
  <c r="P12" i="34"/>
  <c r="AF34" i="9"/>
  <c r="AE12" i="34"/>
  <c r="P34" i="9"/>
  <c r="O12" i="34"/>
  <c r="W34" i="9"/>
  <c r="V12" i="34"/>
  <c r="R34" i="9"/>
  <c r="Q12" i="34"/>
  <c r="U34" i="9"/>
  <c r="T12" i="34"/>
  <c r="V34" i="9"/>
  <c r="U12" i="34"/>
  <c r="AG34" i="9"/>
  <c r="AF12" i="34"/>
  <c r="AA34" i="9"/>
  <c r="Z12" i="34"/>
  <c r="S34" i="9"/>
  <c r="R12" i="34"/>
  <c r="AC34" i="9"/>
  <c r="AB12" i="34"/>
  <c r="Y34" i="9"/>
  <c r="X12" i="34"/>
  <c r="H23" i="34" s="1"/>
  <c r="O34" i="9"/>
  <c r="N12" i="34"/>
  <c r="F23" i="34" s="1"/>
  <c r="M34" i="9"/>
  <c r="L12" i="34"/>
  <c r="Z34" i="9"/>
  <c r="Y12" i="34"/>
  <c r="AI34" i="9"/>
  <c r="AH12" i="34"/>
  <c r="J23" i="34" s="1"/>
  <c r="AK34" i="9"/>
  <c r="AJ12" i="34"/>
  <c r="X34" i="9"/>
  <c r="W12" i="34"/>
  <c r="AJ34" i="9"/>
  <c r="AI12" i="34"/>
  <c r="T34" i="9"/>
  <c r="S12" i="34"/>
  <c r="G23" i="34" s="1"/>
  <c r="AN34" i="9"/>
  <c r="AM12" i="34"/>
  <c r="K23" i="34" s="1"/>
  <c r="AM34" i="9"/>
  <c r="AL12" i="34"/>
  <c r="E21" i="28"/>
  <c r="D14" i="21"/>
  <c r="I77" i="9"/>
  <c r="C17" i="10"/>
  <c r="G29" i="28"/>
  <c r="G34" i="9"/>
  <c r="F13" i="34" s="1"/>
  <c r="D30" i="9"/>
  <c r="AM36" i="9" l="1"/>
  <c r="AL13" i="34"/>
  <c r="AN36" i="9"/>
  <c r="AM13" i="34"/>
  <c r="K24" i="34" s="1"/>
  <c r="T36" i="9"/>
  <c r="S13" i="34"/>
  <c r="G24" i="34" s="1"/>
  <c r="AJ36" i="9"/>
  <c r="AI13" i="34"/>
  <c r="X36" i="9"/>
  <c r="W13" i="34"/>
  <c r="AK36" i="9"/>
  <c r="AJ13" i="34"/>
  <c r="AI36" i="9"/>
  <c r="AH13" i="34"/>
  <c r="J24" i="34" s="1"/>
  <c r="Z36" i="9"/>
  <c r="Y13" i="34"/>
  <c r="M36" i="9"/>
  <c r="L13" i="34"/>
  <c r="O36" i="9"/>
  <c r="N13" i="34"/>
  <c r="F24" i="34" s="1"/>
  <c r="Y36" i="9"/>
  <c r="X13" i="34"/>
  <c r="H24" i="34" s="1"/>
  <c r="AC36" i="9"/>
  <c r="AB13" i="34"/>
  <c r="S36" i="9"/>
  <c r="R13" i="34"/>
  <c r="AA36" i="9"/>
  <c r="Z13" i="34"/>
  <c r="AG36" i="9"/>
  <c r="AF13" i="34"/>
  <c r="V36" i="9"/>
  <c r="U13" i="34"/>
  <c r="U36" i="9"/>
  <c r="T13" i="34"/>
  <c r="R36" i="9"/>
  <c r="Q13" i="34"/>
  <c r="W36" i="9"/>
  <c r="V13" i="34"/>
  <c r="P36" i="9"/>
  <c r="O13" i="34"/>
  <c r="AF36" i="9"/>
  <c r="AE13" i="34"/>
  <c r="Q36" i="9"/>
  <c r="P13" i="34"/>
  <c r="N36" i="9"/>
  <c r="M13" i="34"/>
  <c r="L36" i="9"/>
  <c r="K13" i="34"/>
  <c r="AH36" i="9"/>
  <c r="AG13" i="34"/>
  <c r="K36" i="9"/>
  <c r="J13" i="34"/>
  <c r="AE36" i="9"/>
  <c r="AD13" i="34"/>
  <c r="AL36" i="9"/>
  <c r="AK13" i="34"/>
  <c r="AB36" i="9"/>
  <c r="AA13" i="34"/>
  <c r="AD36" i="9"/>
  <c r="AC13" i="34"/>
  <c r="I24" i="34" s="1"/>
  <c r="J36" i="9"/>
  <c r="I13" i="34"/>
  <c r="E24" i="34" s="1"/>
  <c r="H36" i="9"/>
  <c r="G13" i="34"/>
  <c r="I36" i="9"/>
  <c r="H13" i="34"/>
  <c r="J77" i="9"/>
  <c r="G36" i="9"/>
  <c r="F14" i="34" s="1"/>
  <c r="D34" i="9"/>
  <c r="I37" i="9" l="1"/>
  <c r="H14" i="34"/>
  <c r="H37" i="9"/>
  <c r="G14" i="34"/>
  <c r="J37" i="9"/>
  <c r="I14" i="34"/>
  <c r="E25" i="34" s="1"/>
  <c r="AD37" i="9"/>
  <c r="AC14" i="34"/>
  <c r="I25" i="34" s="1"/>
  <c r="AB37" i="9"/>
  <c r="AA14" i="34"/>
  <c r="AL37" i="9"/>
  <c r="AK14" i="34"/>
  <c r="AE37" i="9"/>
  <c r="AD14" i="34"/>
  <c r="K37" i="9"/>
  <c r="J14" i="34"/>
  <c r="AH37" i="9"/>
  <c r="AG14" i="34"/>
  <c r="L37" i="9"/>
  <c r="K14" i="34"/>
  <c r="N37" i="9"/>
  <c r="M14" i="34"/>
  <c r="Q37" i="9"/>
  <c r="P14" i="34"/>
  <c r="AF37" i="9"/>
  <c r="AE14" i="34"/>
  <c r="P37" i="9"/>
  <c r="O14" i="34"/>
  <c r="W37" i="9"/>
  <c r="V14" i="34"/>
  <c r="R37" i="9"/>
  <c r="Q14" i="34"/>
  <c r="U37" i="9"/>
  <c r="T14" i="34"/>
  <c r="V37" i="9"/>
  <c r="U14" i="34"/>
  <c r="AG37" i="9"/>
  <c r="AF14" i="34"/>
  <c r="AA37" i="9"/>
  <c r="Z14" i="34"/>
  <c r="S37" i="9"/>
  <c r="R14" i="34"/>
  <c r="AC37" i="9"/>
  <c r="AB14" i="34"/>
  <c r="Y37" i="9"/>
  <c r="X14" i="34"/>
  <c r="H25" i="34" s="1"/>
  <c r="O37" i="9"/>
  <c r="N14" i="34"/>
  <c r="F25" i="34" s="1"/>
  <c r="M37" i="9"/>
  <c r="L14" i="34"/>
  <c r="Z37" i="9"/>
  <c r="Y14" i="34"/>
  <c r="AI37" i="9"/>
  <c r="AH14" i="34"/>
  <c r="J25" i="34" s="1"/>
  <c r="AK37" i="9"/>
  <c r="AJ14" i="34"/>
  <c r="X37" i="9"/>
  <c r="W14" i="34"/>
  <c r="AJ37" i="9"/>
  <c r="AI14" i="34"/>
  <c r="T37" i="9"/>
  <c r="S14" i="34"/>
  <c r="G25" i="34" s="1"/>
  <c r="AN37" i="9"/>
  <c r="AM14" i="34"/>
  <c r="K25" i="34" s="1"/>
  <c r="AM37" i="9"/>
  <c r="AL14" i="34"/>
  <c r="K77" i="9"/>
  <c r="G37" i="9"/>
  <c r="D36" i="9"/>
  <c r="D37" i="9" s="1"/>
  <c r="D93" i="9" s="1"/>
  <c r="D27" i="28" s="1"/>
  <c r="D16" i="21" s="1"/>
  <c r="L77" i="9" l="1"/>
  <c r="M77" i="9" l="1"/>
  <c r="N77" i="9" l="1"/>
  <c r="O77" i="9" l="1"/>
  <c r="P77" i="9" l="1"/>
  <c r="Q77" i="9" l="1"/>
  <c r="R77" i="9" l="1"/>
  <c r="S77" i="9" l="1"/>
  <c r="T77" i="9" l="1"/>
  <c r="U77" i="9" l="1"/>
  <c r="V77" i="9" l="1"/>
  <c r="W77" i="9" l="1"/>
  <c r="X77" i="9" l="1"/>
  <c r="Y77" i="9" l="1"/>
  <c r="Z77" i="9" l="1"/>
  <c r="AA77" i="9" l="1"/>
  <c r="AB77" i="9" l="1"/>
  <c r="AC77" i="9" l="1"/>
  <c r="AD77" i="9" l="1"/>
  <c r="AE77" i="9" l="1"/>
  <c r="AF77" i="9" l="1"/>
  <c r="AG77" i="9" l="1"/>
  <c r="AH77" i="9" l="1"/>
  <c r="AI77" i="9" l="1"/>
  <c r="AJ77" i="9" l="1"/>
  <c r="AK77" i="9" l="1"/>
  <c r="AL77" i="9" l="1"/>
  <c r="AM77" i="9" l="1"/>
  <c r="AN77" i="9" l="1"/>
  <c r="AL96" i="9" s="1"/>
  <c r="AD96" i="9" l="1"/>
  <c r="AF96" i="9"/>
  <c r="AJ96" i="9"/>
  <c r="AH96" i="9"/>
  <c r="AN96" i="9"/>
  <c r="AM96" i="9"/>
  <c r="D94" i="9"/>
  <c r="F96" i="9"/>
  <c r="G96" i="9"/>
  <c r="H96" i="9"/>
  <c r="I96" i="9"/>
  <c r="J96" i="9"/>
  <c r="K96" i="9"/>
  <c r="L96" i="9"/>
  <c r="M96" i="9"/>
  <c r="N96" i="9"/>
  <c r="Q96" i="9"/>
  <c r="O96" i="9"/>
  <c r="P96" i="9"/>
  <c r="R96" i="9"/>
  <c r="S96" i="9"/>
  <c r="T96" i="9"/>
  <c r="U96" i="9"/>
  <c r="V96" i="9"/>
  <c r="W96" i="9"/>
  <c r="X96" i="9"/>
  <c r="Y96" i="9"/>
  <c r="Z96" i="9"/>
  <c r="AA96" i="9"/>
  <c r="AB96" i="9"/>
  <c r="AI96" i="9"/>
  <c r="AK96" i="9"/>
  <c r="AG96" i="9"/>
  <c r="AE96" i="9"/>
  <c r="AC96" i="9"/>
  <c r="D96" i="9" l="1"/>
  <c r="D23" i="28" s="1"/>
  <c r="D17" i="21" s="1"/>
  <c r="AO167" i="10" s="1"/>
  <c r="AN167" i="10" s="1"/>
  <c r="AM167" i="10" s="1"/>
  <c r="AL167" i="10" s="1"/>
  <c r="AK167" i="10" s="1"/>
  <c r="AJ167" i="10" s="1"/>
  <c r="AI167" i="10" s="1"/>
  <c r="AH167" i="10" s="1"/>
  <c r="AG167" i="10" s="1"/>
  <c r="AF167" i="10" s="1"/>
  <c r="AE167" i="10" s="1"/>
  <c r="AD167" i="10" s="1"/>
  <c r="AC167" i="10" s="1"/>
  <c r="AB167" i="10" s="1"/>
  <c r="AA167" i="10" s="1"/>
  <c r="Z167" i="10" s="1"/>
  <c r="Y167" i="10" s="1"/>
  <c r="X167" i="10" s="1"/>
  <c r="W167" i="10" s="1"/>
  <c r="V167" i="10" s="1"/>
  <c r="U167" i="10" s="1"/>
  <c r="T167" i="10" s="1"/>
  <c r="S167" i="10" s="1"/>
  <c r="R167" i="10" s="1"/>
  <c r="Q167" i="10" s="1"/>
  <c r="P167" i="10" s="1"/>
  <c r="O167" i="10" s="1"/>
  <c r="N167" i="10" s="1"/>
  <c r="M167" i="10" s="1"/>
  <c r="L167" i="10" s="1"/>
  <c r="K167" i="10" s="1"/>
  <c r="J167" i="10" s="1"/>
  <c r="I167" i="10" s="1"/>
  <c r="H167" i="10" s="1"/>
  <c r="D25" i="28"/>
  <c r="D95" i="9"/>
  <c r="G98" i="9"/>
  <c r="H98" i="9"/>
  <c r="I98" i="9"/>
  <c r="J98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<sst xmlns="http://schemas.openxmlformats.org/spreadsheetml/2006/main" count="4171" uniqueCount="1719">
  <si>
    <t>ESTADO DO PIAUÍ</t>
  </si>
  <si>
    <t>SECRETARIA DE ADMINISTRAÇÃO DO ESTADO DO PIAUÍ – SEAD/PI</t>
  </si>
  <si>
    <t>SUPERINTENDÊNCIA DE PARCERIAS E CONCESSÕES – SUPARC/SEAD/PI</t>
  </si>
  <si>
    <t>DIRETORIA DE ESTRUTURAÇÃO DE PROJETOS – DEP/SUPARC/SEAD/PI</t>
  </si>
  <si>
    <t>Projeto de Requalificação, Modernização, Operação e Manutenção do Parque Estadual Potycabana</t>
  </si>
  <si>
    <t>Processo Sei nº:  00002.011303/2023-32</t>
  </si>
  <si>
    <t>Outputs</t>
  </si>
  <si>
    <t xml:space="preserve">Prazo da concessão </t>
  </si>
  <si>
    <t>Considerar Linha de Receita?</t>
  </si>
  <si>
    <t>Indicadores de Desempenho</t>
  </si>
  <si>
    <t>CAPEX total</t>
  </si>
  <si>
    <t xml:space="preserve">Início </t>
  </si>
  <si>
    <t>Aluguel</t>
  </si>
  <si>
    <t>Sim</t>
  </si>
  <si>
    <t>Limite Inferior</t>
  </si>
  <si>
    <t>Limite Superior</t>
  </si>
  <si>
    <t>Adicional de Outorga</t>
  </si>
  <si>
    <t>Aux. 1</t>
  </si>
  <si>
    <t>Aux. 2</t>
  </si>
  <si>
    <t>CAPEX obra</t>
  </si>
  <si>
    <t>Fim</t>
  </si>
  <si>
    <t>Quadras de esporte</t>
  </si>
  <si>
    <t>Subsídio (Capital do Estado)</t>
  </si>
  <si>
    <t>Estacionamento</t>
  </si>
  <si>
    <t xml:space="preserve">Financiado </t>
  </si>
  <si>
    <t>Outorga Mínima</t>
  </si>
  <si>
    <t>Eventos</t>
  </si>
  <si>
    <t>Capital próprio</t>
  </si>
  <si>
    <t>Indicador de desempenho</t>
  </si>
  <si>
    <t>Publicidade</t>
  </si>
  <si>
    <t>WACC real</t>
  </si>
  <si>
    <t xml:space="preserve">%Outorga Efetiva </t>
  </si>
  <si>
    <t>Aulas (esportes)</t>
  </si>
  <si>
    <t>TIR</t>
  </si>
  <si>
    <t>Valor Anual</t>
  </si>
  <si>
    <t>Naútico</t>
  </si>
  <si>
    <t>VPL</t>
  </si>
  <si>
    <t>Valor Mensal</t>
  </si>
  <si>
    <t>Locker</t>
  </si>
  <si>
    <t>Payback descontado</t>
  </si>
  <si>
    <t>Recargas - EV's</t>
  </si>
  <si>
    <t>Ano de geração liquida de caixa</t>
  </si>
  <si>
    <t>Aluguel de equipamentos esportivos</t>
  </si>
  <si>
    <t>Exp. Máx. Cx. Firma (real)</t>
  </si>
  <si>
    <t>Verificador Independente</t>
  </si>
  <si>
    <t>Mg. EBITDA</t>
  </si>
  <si>
    <t>1- Sim 0 - Não</t>
  </si>
  <si>
    <t>Mg. Líquida</t>
  </si>
  <si>
    <t>Valor (%Capex Infra)</t>
  </si>
  <si>
    <t xml:space="preserve">Equipe de Estruturação </t>
  </si>
  <si>
    <t>Receita média anual</t>
  </si>
  <si>
    <t xml:space="preserve">João Macedo Lima Junior </t>
  </si>
  <si>
    <t>Diretor de Estruturação de Projetos</t>
  </si>
  <si>
    <t xml:space="preserve">OPEX Médio </t>
  </si>
  <si>
    <t>Capex total = Deprec.?</t>
  </si>
  <si>
    <t xml:space="preserve">Francisco Carlos Eduardo Sá de Abreu </t>
  </si>
  <si>
    <t>Econômico-financeiro</t>
  </si>
  <si>
    <t>Anual</t>
  </si>
  <si>
    <t>Pedro Henrique Silva Sousa</t>
  </si>
  <si>
    <t xml:space="preserve">Econômico - financeiro </t>
  </si>
  <si>
    <t>Mensal</t>
  </si>
  <si>
    <t>Habilitação Técnica</t>
  </si>
  <si>
    <t xml:space="preserve">Caio Valério Trindade </t>
  </si>
  <si>
    <t>Engenharia</t>
  </si>
  <si>
    <t>Opex Médio</t>
  </si>
  <si>
    <t>João Paulo do Santos Silva</t>
  </si>
  <si>
    <t>Critério de Habilitação</t>
  </si>
  <si>
    <t>Erick Marinho do Nascimento</t>
  </si>
  <si>
    <r>
      <t xml:space="preserve">Valor do contrato </t>
    </r>
    <r>
      <rPr>
        <b/>
        <sz val="8"/>
        <color theme="0"/>
        <rFont val="Arial"/>
        <family val="2"/>
      </rPr>
      <t>(Investimentos Obrigatórios)</t>
    </r>
  </si>
  <si>
    <t>% min. de 50%</t>
  </si>
  <si>
    <t>Sâmia Sá Jales e Silva</t>
  </si>
  <si>
    <t>Arquitetura</t>
  </si>
  <si>
    <t>Reforma</t>
  </si>
  <si>
    <t>Antônio Francisco Santana da Silva</t>
  </si>
  <si>
    <t>Jurídico</t>
  </si>
  <si>
    <t>Ampliação (exceto academia e brinquedoteca)</t>
  </si>
  <si>
    <t>Contatos para Informações e Transparência</t>
  </si>
  <si>
    <t>Bebedouros, catracas e CFTV</t>
  </si>
  <si>
    <t>dep.ppp@sead.pi.gov.br</t>
  </si>
  <si>
    <t>Departamento de Estruturação de Projetos</t>
  </si>
  <si>
    <t>estruturacao.suparc@gmail.com;</t>
  </si>
  <si>
    <t>Subsídio</t>
  </si>
  <si>
    <t xml:space="preserve"> (86) 9 9494 9438 </t>
  </si>
  <si>
    <t>Ouvidoria Sead</t>
  </si>
  <si>
    <t>Ano 1</t>
  </si>
  <si>
    <t>ouvidoria@sead.pi.gov.br</t>
  </si>
  <si>
    <t>Ano 2</t>
  </si>
  <si>
    <t>Cores</t>
  </si>
  <si>
    <t>Demonstrações Financeiras</t>
  </si>
  <si>
    <t>DRE PROJETADA</t>
  </si>
  <si>
    <t>Total da concesão</t>
  </si>
  <si>
    <t xml:space="preserve">Ano 0 </t>
  </si>
  <si>
    <t>Ano 3</t>
  </si>
  <si>
    <t>Ano 4</t>
  </si>
  <si>
    <t>Ano 5</t>
  </si>
  <si>
    <t>Ano 6</t>
  </si>
  <si>
    <t>Ano 7</t>
  </si>
  <si>
    <t>Ano 8</t>
  </si>
  <si>
    <t>Ano 9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</si>
  <si>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</si>
  <si>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</si>
  <si>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</si>
  <si>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</si>
  <si>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</si>
  <si>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</si>
  <si>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</si>
  <si>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</si>
  <si>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</si>
  <si>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</si>
  <si>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</si>
  <si>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Ano 21</t>
  </si>
  <si>
    <t>Ano 22</t>
  </si>
  <si>
    <t>Ano 23</t>
  </si>
  <si>
    <t>Ano 24</t>
  </si>
  <si>
    <t>Ano 25</t>
  </si>
  <si>
    <t>Ano 26</t>
  </si>
  <si>
    <t>Ano 27</t>
  </si>
  <si>
    <t>Ano 28</t>
  </si>
  <si>
    <t>Ano 29</t>
  </si>
  <si>
    <t>Ano 30</t>
  </si>
  <si>
    <t>Ano 31</t>
  </si>
  <si>
    <t>Ano 32</t>
  </si>
  <si>
    <t>Ano 33</t>
  </si>
  <si>
    <t>Ano 34</t>
  </si>
  <si>
    <t>Ano 35</t>
  </si>
  <si>
    <t>1. Receita Bruta (+)</t>
  </si>
  <si>
    <t>1.1 Aluguel</t>
  </si>
  <si>
    <t>1.2 Quadras de esporte</t>
  </si>
  <si>
    <t>1.3 Estacionamento</t>
  </si>
  <si>
    <t>1.4 Eventos</t>
  </si>
  <si>
    <t>1.5 Publicidade</t>
  </si>
  <si>
    <t>1.6 Aulas (esportes)</t>
  </si>
  <si>
    <t>1.7 Naútico</t>
  </si>
  <si>
    <t>1.8 Locker</t>
  </si>
  <si>
    <t>1.9 Recargas - EV's</t>
  </si>
  <si>
    <t>1.9 Aluguel de equipamentos esportivos</t>
  </si>
  <si>
    <t xml:space="preserve">2. Deduções da Receita Bruta (-) </t>
  </si>
  <si>
    <t>2.1 Impostos sobre a receita bruta</t>
  </si>
  <si>
    <t>2.2 Créditos de PIS/COFINS (+)</t>
  </si>
  <si>
    <t>3. Receita Operacional Líquida (=)</t>
  </si>
  <si>
    <t>4. Custos e Despesas Operacionais (-)</t>
  </si>
  <si>
    <t>4.1 Opex (-)</t>
  </si>
  <si>
    <t>4.2 Outorga Variável (-)</t>
  </si>
  <si>
    <t>4.3 Seguros e Garantias</t>
  </si>
  <si>
    <t>4.4 Impostos e taxas (-)</t>
  </si>
  <si>
    <t>5. EBITDA (=)</t>
  </si>
  <si>
    <t>Margem EBITDA (% da receita líquida)</t>
  </si>
  <si>
    <t>5.1 Depreciação e Amortização (-)</t>
  </si>
  <si>
    <t xml:space="preserve">6. EBIT </t>
  </si>
  <si>
    <t>6.1 Resultado financeiro (+/-)</t>
  </si>
  <si>
    <t>6.2 Receita Financeira</t>
  </si>
  <si>
    <t>6.3 Despesa Financeira</t>
  </si>
  <si>
    <t>7. EBT (LAIR)</t>
  </si>
  <si>
    <t>7.1 Impostos Correntes  -  CSSL e IRPJ (-)</t>
  </si>
  <si>
    <t>8. Lucro ou Prejuízo Líquido</t>
  </si>
  <si>
    <t>Margem Líquida (% da receita líquida)</t>
  </si>
  <si>
    <t>Balanço Patrimonial (BP)</t>
  </si>
  <si>
    <t>Prazos médios de Capital de Giro</t>
  </si>
  <si>
    <t>Ativo</t>
  </si>
  <si>
    <t>Caixa</t>
  </si>
  <si>
    <t xml:space="preserve">Descrição </t>
  </si>
  <si>
    <t>Unid.</t>
  </si>
  <si>
    <t>Contas a Receber</t>
  </si>
  <si>
    <t>Contas a receber</t>
  </si>
  <si>
    <t>Dias</t>
  </si>
  <si>
    <t>Crédito Tributário</t>
  </si>
  <si>
    <t>Estoques</t>
  </si>
  <si>
    <t>Imobilizado e Intangível</t>
  </si>
  <si>
    <t>Fornecedores</t>
  </si>
  <si>
    <t>Passivo e Patrimônio Líquido</t>
  </si>
  <si>
    <t>Contas Auxiliares</t>
  </si>
  <si>
    <t>Contas a Pagar</t>
  </si>
  <si>
    <t>Dias do ano</t>
  </si>
  <si>
    <t>Outorga a Pagar</t>
  </si>
  <si>
    <t>Meses</t>
  </si>
  <si>
    <t>Equity + Dívida</t>
  </si>
  <si>
    <t>Cálculo Imobilizado</t>
  </si>
  <si>
    <t>Imobilizado BoP</t>
  </si>
  <si>
    <t>Adição</t>
  </si>
  <si>
    <t>Capex</t>
  </si>
  <si>
    <t>Outorga Fixa</t>
  </si>
  <si>
    <t>Amortização / Depreciação CAPEX</t>
  </si>
  <si>
    <t xml:space="preserve">Reinvestimento </t>
  </si>
  <si>
    <t>Amortização/Depreciação de Reinvestimento</t>
  </si>
  <si>
    <t>Imobilziado EoP</t>
  </si>
  <si>
    <t>DFC indireto</t>
  </si>
  <si>
    <t>(=) EBITDA</t>
  </si>
  <si>
    <t>(-) Investimentos</t>
  </si>
  <si>
    <t>Capex Infraestrutura (Reforma + Ampliação)</t>
  </si>
  <si>
    <t>Capex - Investimento</t>
  </si>
  <si>
    <t>Capex Reinvestimento</t>
  </si>
  <si>
    <t>Capex aquisição</t>
  </si>
  <si>
    <t>Outorga Fixa e Remuneração do estudos</t>
  </si>
  <si>
    <t>(+/-) Δ Kgiro</t>
  </si>
  <si>
    <t xml:space="preserve">(+/-) Resultado Financeiro </t>
  </si>
  <si>
    <t xml:space="preserve">(-) IRPJ/CSLL </t>
  </si>
  <si>
    <t>(=) FCFE real (junho/2025)</t>
  </si>
  <si>
    <t>FCFE real</t>
  </si>
  <si>
    <t>FCFE Acum Real</t>
  </si>
  <si>
    <t>Kgiro</t>
  </si>
  <si>
    <t>Créditos Tributários</t>
  </si>
  <si>
    <t xml:space="preserve">Mid Year Factor </t>
  </si>
  <si>
    <t>Fator de Desconto</t>
  </si>
  <si>
    <t>FCFE descontado</t>
  </si>
  <si>
    <t>FCFE descontado Acum</t>
  </si>
  <si>
    <t>Data Exp Máxima</t>
  </si>
  <si>
    <t>Payback</t>
  </si>
  <si>
    <t>Primeiro ano de geração líquida de caixa</t>
  </si>
  <si>
    <t>VPL Acumulado</t>
  </si>
  <si>
    <t>FCFE Descontado Positivo</t>
  </si>
  <si>
    <t>FCFE Descontado Negativo</t>
  </si>
  <si>
    <t>DRE Projetada</t>
  </si>
  <si>
    <t>DFC</t>
  </si>
  <si>
    <t>Compensação do Subsídio pela Outorga</t>
  </si>
  <si>
    <t xml:space="preserve">Taxa de desconto </t>
  </si>
  <si>
    <t>Fluxo Projetado (Valores de Face)</t>
  </si>
  <si>
    <t>Outorga</t>
  </si>
  <si>
    <t>Fator</t>
  </si>
  <si>
    <t>Fluxo descontado (Valor Presente)</t>
  </si>
  <si>
    <t>Subsídio (VPL)</t>
  </si>
  <si>
    <t>Outorga (VPL)</t>
  </si>
  <si>
    <t>Parcela Compensada</t>
  </si>
  <si>
    <t>Parcela Não compensada</t>
  </si>
  <si>
    <t>Estimativa de demanda</t>
  </si>
  <si>
    <t>Ano 0</t>
  </si>
  <si>
    <t>Ano 36</t>
  </si>
  <si>
    <t>Ano 37</t>
  </si>
  <si>
    <t>Ano 38</t>
  </si>
  <si>
    <t>Ano 39</t>
  </si>
  <si>
    <t>Ano 40</t>
  </si>
  <si>
    <t>Ano 41</t>
  </si>
  <si>
    <t>Ano 42</t>
  </si>
  <si>
    <t>Ano 43</t>
  </si>
  <si>
    <t>Ano 44</t>
  </si>
  <si>
    <t>Ano 45</t>
  </si>
  <si>
    <t>Ano</t>
  </si>
  <si>
    <t>População Piauí</t>
  </si>
  <si>
    <t>População Teresina</t>
  </si>
  <si>
    <t>Taxa de crescimento anual</t>
  </si>
  <si>
    <t>Fator - Piauí</t>
  </si>
  <si>
    <t>Fator - Teresina Ajustado</t>
  </si>
  <si>
    <t>Taxa de crescimento Teresina</t>
  </si>
  <si>
    <t>% visitantes esperado</t>
  </si>
  <si>
    <t>Fonte: https://semeia.org.br/biblioteca/publicacoes/parques-do-brasil-percepcoes-da-populacao-2024/</t>
  </si>
  <si>
    <t xml:space="preserve">Visitação 1 vez por semana </t>
  </si>
  <si>
    <t>Visitação 1 vez a cada 15 dias</t>
  </si>
  <si>
    <t>Potycabana</t>
  </si>
  <si>
    <t>Diário</t>
  </si>
  <si>
    <t>ANO</t>
  </si>
  <si>
    <t>População municipal do Piauí</t>
  </si>
  <si>
    <t>Sigla</t>
  </si>
  <si>
    <t>Codigo</t>
  </si>
  <si>
    <t>Município</t>
  </si>
  <si>
    <t xml:space="preserve">Taxa de crescimento geométrico anual </t>
  </si>
  <si>
    <t>PI</t>
  </si>
  <si>
    <t>Acauã</t>
  </si>
  <si>
    <t>Agricolândia</t>
  </si>
  <si>
    <t>Água Branca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</si>
  <si>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</si>
  <si>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</si>
  <si>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</si>
  <si>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</si>
  <si>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</si>
  <si>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</si>
  <si>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</si>
  <si>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</si>
  <si>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</si>
  <si>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</si>
  <si>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de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</si>
  <si>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</si>
  <si>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</si>
  <si>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</si>
  <si>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</si>
  <si>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</si>
  <si>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</si>
  <si>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</si>
  <si>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</si>
  <si>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Batalha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</si>
  <si>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</si>
  <si>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</si>
  <si>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</si>
  <si>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</si>
  <si>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</si>
  <si>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</si>
  <si>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</si>
  <si>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Jesus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</si>
  <si>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</si>
  <si>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</si>
  <si>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</si>
  <si>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</si>
  <si>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</si>
  <si>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</si>
  <si>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</si>
  <si>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</si>
  <si>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</si>
  <si>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</si>
  <si>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</si>
  <si>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</si>
  <si>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</si>
  <si>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</si>
  <si>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</si>
  <si>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</si>
  <si>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</si>
  <si>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</si>
  <si>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</si>
  <si>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</si>
  <si>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Caracol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</si>
  <si>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</si>
  <si>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</si>
  <si>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</si>
  <si>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</si>
  <si>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</si>
  <si>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</si>
  <si>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</si>
  <si>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</si>
  <si>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</si>
  <si>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</si>
  <si>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</si>
  <si>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</si>
  <si>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</si>
  <si>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</si>
  <si>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</si>
  <si>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</si>
  <si>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</si>
  <si>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Curralinhos</t>
  </si>
  <si>
    <t>Curral Novo do Piauí</t>
  </si>
  <si>
    <t>Demerval Lobão</t>
  </si>
  <si>
    <t>Dirceu Arcoverde</t>
  </si>
  <si>
    <t>Dom Expedito Lopes</t>
  </si>
  <si>
    <t>Domingos Mourão</t>
  </si>
  <si>
    <t>Dom Inocêncio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</si>
  <si>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</si>
  <si>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</si>
  <si>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</si>
  <si>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</si>
  <si>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</si>
  <si>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</si>
  <si>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</si>
  <si>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</si>
  <si>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</si>
  <si>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</si>
  <si>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</si>
  <si>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</si>
  <si>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</si>
  <si>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</si>
  <si>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</si>
  <si>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</si>
  <si>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</si>
  <si>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</si>
  <si>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</si>
  <si>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</si>
  <si>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</si>
  <si>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</si>
  <si>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</si>
  <si>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</si>
  <si>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</si>
  <si>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</si>
  <si>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</si>
  <si>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</si>
  <si>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</si>
  <si>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</si>
  <si>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</si>
  <si>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</si>
  <si>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</si>
  <si>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</si>
  <si>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Jurema</t>
  </si>
  <si>
    <t>Lagoinha do Piauí</t>
  </si>
  <si>
    <t>Lagoa Alegre</t>
  </si>
  <si>
    <t>Lagoa do Barro do Piauí</t>
  </si>
  <si>
    <t>Lagoa de São Francisco</t>
  </si>
  <si>
    <t>Lagoa do Piauí</t>
  </si>
  <si>
    <t>Lagoa do Sítio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</si>
  <si>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</si>
  <si>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</si>
  <si>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</si>
  <si>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</si>
  <si>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</si>
  <si>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</si>
  <si>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</si>
  <si>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</si>
  <si>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</si>
  <si>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</si>
  <si>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</si>
  <si>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</si>
  <si>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</si>
  <si>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</si>
  <si>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</si>
  <si>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</si>
  <si>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</si>
  <si>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</si>
  <si>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</si>
  <si>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</si>
  <si>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</si>
  <si>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</si>
  <si>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Novo Oriente do Piauí</t>
  </si>
  <si>
    <t>Novo Santo Antônio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</si>
  <si>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</si>
  <si>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</si>
  <si>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</si>
  <si>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</si>
  <si>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</si>
  <si>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</si>
  <si>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</si>
  <si>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</si>
  <si>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</si>
  <si>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</si>
  <si>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</si>
  <si>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</si>
  <si>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</si>
  <si>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</si>
  <si>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</si>
  <si>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</si>
  <si>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</si>
  <si>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Nova Santa Rita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</si>
  <si>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</si>
  <si>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</si>
  <si>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</si>
  <si>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</si>
  <si>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</si>
  <si>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</si>
  <si>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</si>
  <si>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</si>
  <si>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</si>
  <si>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</si>
  <si>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</si>
  <si>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</si>
  <si>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</si>
  <si>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</si>
  <si>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</si>
  <si>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</si>
  <si>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</si>
  <si>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Filomena</t>
  </si>
  <si>
    <t>Santa Luz</t>
  </si>
  <si>
    <t>Santana do Piauí</t>
  </si>
  <si>
    <t>Santa Rosa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</si>
  <si>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</si>
  <si>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</si>
  <si>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</si>
  <si>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</si>
  <si>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</si>
  <si>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</si>
  <si>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</si>
  <si>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</si>
  <si>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</si>
  <si>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</si>
  <si>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</si>
  <si>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</si>
  <si>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</si>
  <si>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</si>
  <si>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</si>
  <si>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Divino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</si>
  <si>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</si>
  <si>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</si>
  <si>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</si>
  <si>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</si>
  <si>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</si>
  <si>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</si>
  <si>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</si>
  <si>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</si>
  <si>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</si>
  <si>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</si>
  <si>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</si>
  <si>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</si>
  <si>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</si>
  <si>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</si>
  <si>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</si>
  <si>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</si>
  <si>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</si>
  <si>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</si>
  <si>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</si>
  <si>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</si>
  <si>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</si>
  <si>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</si>
  <si>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</si>
  <si>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</si>
  <si>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Várzea Grande</t>
  </si>
  <si>
    <t>Vera Mendes</t>
  </si>
  <si>
    <t>Vila Nova do Piauí</t>
  </si>
  <si>
    <t>Wall Ferraz</t>
  </si>
  <si>
    <t>Total</t>
  </si>
  <si>
    <t xml:space="preserve">Peso relativo da população </t>
  </si>
  <si>
    <t xml:space="preserve">Participação </t>
  </si>
  <si>
    <t xml:space="preserve">RECEITAS </t>
  </si>
  <si>
    <t>Total da concessão</t>
  </si>
  <si>
    <t>Receitas Totais Potycabana</t>
  </si>
  <si>
    <t>Receitas Anuais</t>
  </si>
  <si>
    <t>% receita total</t>
  </si>
  <si>
    <t>Aluguel de espaços a terceiros (ABL)</t>
  </si>
  <si>
    <t>Aluguel das quadras de esporte</t>
  </si>
  <si>
    <t>Naming Rights</t>
  </si>
  <si>
    <t>ABL</t>
  </si>
  <si>
    <t>Premissas</t>
  </si>
  <si>
    <t>ABL &lt; 100m²</t>
  </si>
  <si>
    <t>ABL &gt; 100m² e &lt; 300 m²</t>
  </si>
  <si>
    <t>ABL &gt; 300m²</t>
  </si>
  <si>
    <t>Receitas - ABL</t>
  </si>
  <si>
    <t>Área Bruta Locavel</t>
  </si>
  <si>
    <t>Item</t>
  </si>
  <si>
    <t>Quantidade</t>
  </si>
  <si>
    <t>Tamanho (m²)</t>
  </si>
  <si>
    <t>Valor do aluguel - Unit.</t>
  </si>
  <si>
    <t>Valor Aluguel</t>
  </si>
  <si>
    <t>Lojas 1</t>
  </si>
  <si>
    <t>Lojas 2</t>
  </si>
  <si>
    <t>Restaurante (+1 restobar)</t>
  </si>
  <si>
    <t>Restaurante novo</t>
  </si>
  <si>
    <t>Brinquedoteca</t>
  </si>
  <si>
    <t>Espaço PET</t>
  </si>
  <si>
    <t>Quiosques</t>
  </si>
  <si>
    <t>Academia</t>
  </si>
  <si>
    <t>Quadras esportivas</t>
  </si>
  <si>
    <t>Áreas esportivas  - Premissas</t>
  </si>
  <si>
    <t>Média de preço/pesquisa de mercado</t>
  </si>
  <si>
    <t>Demanda Seg-Qua</t>
  </si>
  <si>
    <t>Demanda Qui-Dom</t>
  </si>
  <si>
    <t>Quadra de Tênis (seg- qua)</t>
  </si>
  <si>
    <t>Quadra de Tênis (quinta- domingo)</t>
  </si>
  <si>
    <t>Horario escolhido - entre 17h e 00h</t>
  </si>
  <si>
    <t>Todas as quadras disponiveis reservadas</t>
  </si>
  <si>
    <t xml:space="preserve">Dias no mês </t>
  </si>
  <si>
    <t>Dias no mês (Seg-Qua)</t>
  </si>
  <si>
    <t>Dias no mês (Qui-Dom)</t>
  </si>
  <si>
    <t>Tempo de 1 hora para cada reserva</t>
  </si>
  <si>
    <t>Receitas quadra</t>
  </si>
  <si>
    <t>Aluguel de quadras</t>
  </si>
  <si>
    <t xml:space="preserve">Quantidade de quadras </t>
  </si>
  <si>
    <t>Preço por hora</t>
  </si>
  <si>
    <t>Receita diária Seg-Qua</t>
  </si>
  <si>
    <t>Receita diária Qui-Dom</t>
  </si>
  <si>
    <t>Receita Mensal</t>
  </si>
  <si>
    <t>Quadra poliesportiva</t>
  </si>
  <si>
    <t>Quadra society</t>
  </si>
  <si>
    <t>Quadra de areia</t>
  </si>
  <si>
    <t>Quadra multiuso</t>
  </si>
  <si>
    <t>Quadra de tênis</t>
  </si>
  <si>
    <t>Pista de skate</t>
  </si>
  <si>
    <t xml:space="preserve">Estacionamento </t>
  </si>
  <si>
    <t>Quantidades estimadas a partir da estimativa de fluxo de visitas</t>
  </si>
  <si>
    <t>Considera-se veiculos - Automoveis; Caminhonetes, Camionetas; Motocicletas</t>
  </si>
  <si>
    <t>Quantidades totais - Junho de 2025</t>
  </si>
  <si>
    <t>Comportamento - a cada 2 pessoas 1 tem carro</t>
  </si>
  <si>
    <t>Uma pessoa por carro</t>
  </si>
  <si>
    <t>Probabilidade dada nas escolhas entre o gratuito e o pago</t>
  </si>
  <si>
    <t>Preço do ticket - R$ 3 por hora</t>
  </si>
  <si>
    <t>Receita estacionamento</t>
  </si>
  <si>
    <t xml:space="preserve">Diário </t>
  </si>
  <si>
    <t>Quantidade (vagas)</t>
  </si>
  <si>
    <t>Demanda</t>
  </si>
  <si>
    <t>Pago</t>
  </si>
  <si>
    <t>Gratuito</t>
  </si>
  <si>
    <t>Evento 1</t>
  </si>
  <si>
    <t>Evento 2</t>
  </si>
  <si>
    <t>Parâmetros</t>
  </si>
  <si>
    <t>Valor</t>
  </si>
  <si>
    <t>Hora</t>
  </si>
  <si>
    <t xml:space="preserve">Pesos Originais </t>
  </si>
  <si>
    <t>Pesos Normalizados</t>
  </si>
  <si>
    <t>Veículos (A+ B)</t>
  </si>
  <si>
    <t>Probabilidade de haver vaga gratuita</t>
  </si>
  <si>
    <t>Probabilidade de não haver vaga gratuita</t>
  </si>
  <si>
    <t>Probabilidade De usar a  vaga gratuita</t>
  </si>
  <si>
    <t>Probabilidade de ir Usar a vaga paga</t>
  </si>
  <si>
    <t>Estacionados Pagos (A)</t>
  </si>
  <si>
    <t>Estacionados Gratuito (B)</t>
  </si>
  <si>
    <t>População da cidade</t>
  </si>
  <si>
    <t>5h</t>
  </si>
  <si>
    <t>Total de veiculos em Teresina (moto+autómovel), Junho de 2025</t>
  </si>
  <si>
    <t>6h</t>
  </si>
  <si>
    <t>Taxa de carros per capita - α</t>
  </si>
  <si>
    <t>7h</t>
  </si>
  <si>
    <t>Visitação Diária (Pessoas) - N (Média da concessão)</t>
  </si>
  <si>
    <t>8h</t>
  </si>
  <si>
    <t xml:space="preserve">Veículos por dia (estimativa) - V </t>
  </si>
  <si>
    <t>9h</t>
  </si>
  <si>
    <t>Capacidade estacionamento pago</t>
  </si>
  <si>
    <t>10h</t>
  </si>
  <si>
    <t>Capacidade estacionamento gratuito</t>
  </si>
  <si>
    <t>11h</t>
  </si>
  <si>
    <t>Horas de funcionamento</t>
  </si>
  <si>
    <t>12h</t>
  </si>
  <si>
    <t>Tempo médio de permanência</t>
  </si>
  <si>
    <t>13h</t>
  </si>
  <si>
    <t>Preço por Hora</t>
  </si>
  <si>
    <t>14h</t>
  </si>
  <si>
    <t>15h</t>
  </si>
  <si>
    <t>16h</t>
  </si>
  <si>
    <t>17h</t>
  </si>
  <si>
    <t>18h</t>
  </si>
  <si>
    <t>19h</t>
  </si>
  <si>
    <t>20h</t>
  </si>
  <si>
    <t>21h</t>
  </si>
  <si>
    <t>22h</t>
  </si>
  <si>
    <t>23h</t>
  </si>
  <si>
    <t>00h</t>
  </si>
  <si>
    <t xml:space="preserve">Aulas </t>
  </si>
  <si>
    <t>Fluxo de pessoas por mês</t>
  </si>
  <si>
    <t>Compartilhamento de receita</t>
  </si>
  <si>
    <t>% de captação dos serviços</t>
  </si>
  <si>
    <t>Receita por aula</t>
  </si>
  <si>
    <t xml:space="preserve">Receita por aula - Concessionária </t>
  </si>
  <si>
    <t>Demanda por aula</t>
  </si>
  <si>
    <t>Preço da aula (mês)</t>
  </si>
  <si>
    <t>Receita</t>
  </si>
  <si>
    <t>Aula de patins</t>
  </si>
  <si>
    <t>Aula de luta</t>
  </si>
  <si>
    <t>Escolinha de futebol</t>
  </si>
  <si>
    <t>Aula de skate</t>
  </si>
  <si>
    <t>Aula de corrida</t>
  </si>
  <si>
    <t>Premissas - Gerais</t>
  </si>
  <si>
    <t>Dias em operação (semana)</t>
  </si>
  <si>
    <t>Fluxo de pessoas por dia</t>
  </si>
  <si>
    <t>Segunda-feira</t>
  </si>
  <si>
    <t>Não</t>
  </si>
  <si>
    <t>Dias em operação (Mês)</t>
  </si>
  <si>
    <t>Terça-feira</t>
  </si>
  <si>
    <t>Quarta-feira</t>
  </si>
  <si>
    <t>Premissas Catamarã</t>
  </si>
  <si>
    <t>Quinta-feira</t>
  </si>
  <si>
    <t xml:space="preserve">% captação dos serviços por passeio - catamarã </t>
  </si>
  <si>
    <t>Sexta-feira</t>
  </si>
  <si>
    <t>Passeios por dia - catamarã</t>
  </si>
  <si>
    <t>Sábado</t>
  </si>
  <si>
    <t>Duração do passeio - catamarã</t>
  </si>
  <si>
    <t>4 hrs</t>
  </si>
  <si>
    <t>Domingo</t>
  </si>
  <si>
    <t>Preço por pessoa (Catamarã)</t>
  </si>
  <si>
    <t>Premissas Caiaque</t>
  </si>
  <si>
    <t xml:space="preserve">% de captação dos serviços por passeio - caiaque </t>
  </si>
  <si>
    <t xml:space="preserve">Passeios por dia - caiaque </t>
  </si>
  <si>
    <t>Compartilhamento de receita (passeio de caiaque)</t>
  </si>
  <si>
    <t>Preço por pessoa (caiaque)</t>
  </si>
  <si>
    <t>Receitas  - Naútico</t>
  </si>
  <si>
    <t xml:space="preserve">Naútico - Receita Potencial </t>
  </si>
  <si>
    <t xml:space="preserve">Item </t>
  </si>
  <si>
    <t>Demanda P/ DIA</t>
  </si>
  <si>
    <t>Preço p/ pessoa</t>
  </si>
  <si>
    <t>Receita Equipamento (DIA)</t>
  </si>
  <si>
    <t xml:space="preserve">Passeio de caiaque </t>
  </si>
  <si>
    <t xml:space="preserve"> Prestado por terceiro; receita compartilhada com a concessionparia</t>
  </si>
  <si>
    <t>Catamarã</t>
  </si>
  <si>
    <t xml:space="preserve"> Prestado somente pela concessionária</t>
  </si>
  <si>
    <t>LOCKER</t>
  </si>
  <si>
    <t xml:space="preserve"> Demanda: % das pessoas que não vieram de transporte próprio</t>
  </si>
  <si>
    <t>Preço: % do preço do estacionamento</t>
  </si>
  <si>
    <t>Quantidade de Lockers (Parque + Entregas)</t>
  </si>
  <si>
    <t>Tempo médio de utilização</t>
  </si>
  <si>
    <t>Considerou-se receita somente dos lockers para guardar objetos</t>
  </si>
  <si>
    <t>Quantidade de pessoas sem veiculo</t>
  </si>
  <si>
    <t>% do público visitante que não veio de transporte próprio</t>
  </si>
  <si>
    <t xml:space="preserve">Demanda por lockers </t>
  </si>
  <si>
    <t xml:space="preserve">Oferna Minima Necessária ( visitante do parque) </t>
  </si>
  <si>
    <t>Cada Locker modelo tem 9 compartimentos</t>
  </si>
  <si>
    <t>Oferta adicional (entregas)</t>
  </si>
  <si>
    <t>% Preço estacionamento</t>
  </si>
  <si>
    <t>Preço por hora de cada compartimento usado</t>
  </si>
  <si>
    <t>Tempo médio de utilização (horas)</t>
  </si>
  <si>
    <t>Receitas  - Locker</t>
  </si>
  <si>
    <t>Demanda p/dia</t>
  </si>
  <si>
    <t>Receita p/ dia</t>
  </si>
  <si>
    <t>Armazenagem pessoal</t>
  </si>
  <si>
    <t>Armazenagem de entrega</t>
  </si>
  <si>
    <t>Recarga EV's</t>
  </si>
  <si>
    <t xml:space="preserve">Premissas </t>
  </si>
  <si>
    <t>Valor do kW/h</t>
  </si>
  <si>
    <t>Quantidade estimada de carros por dia</t>
  </si>
  <si>
    <t>Receitas  - Recargas</t>
  </si>
  <si>
    <t>Diária</t>
  </si>
  <si>
    <t>Tarifa de energia (comercial)</t>
  </si>
  <si>
    <t>fonte: (equatorial)</t>
  </si>
  <si>
    <t>Potência do carregador (KW)</t>
  </si>
  <si>
    <t>Tempo de recarga estimado (horas)</t>
  </si>
  <si>
    <t xml:space="preserve">Valor do KW/h </t>
  </si>
  <si>
    <t>Quantidade de carros eletricos (THE)</t>
  </si>
  <si>
    <t xml:space="preserve">Média de potência </t>
  </si>
  <si>
    <t>Capacidade da bateria (kW)</t>
  </si>
  <si>
    <t>Tempo de recarga (h)</t>
  </si>
  <si>
    <t>tempo de carregamento = capacidade da bateria (kWh) /  potência do carregamento (kW)</t>
  </si>
  <si>
    <t>% de captação dada</t>
  </si>
  <si>
    <t>BYD Dolphin mini</t>
  </si>
  <si>
    <t>Quantidade de postos (DC)</t>
  </si>
  <si>
    <t>BYD Dolphin</t>
  </si>
  <si>
    <t>Postos potycabana (DC)</t>
  </si>
  <si>
    <t>ORA 03 skin</t>
  </si>
  <si>
    <t>Total de postos</t>
  </si>
  <si>
    <t>Quantidade estimada p/dia</t>
  </si>
  <si>
    <t>Tempo médio de recarga (horas)</t>
  </si>
  <si>
    <t>Média de capacidade estimada</t>
  </si>
  <si>
    <t>Receita por carro (carga 100%)</t>
  </si>
  <si>
    <t>Aluguel - Equipamentos esportivos</t>
  </si>
  <si>
    <t>% valor do aluguel por equipamento</t>
  </si>
  <si>
    <t>Tempo máximo (horas)</t>
  </si>
  <si>
    <t xml:space="preserve">% alugueis de quadra que alugarão equipamentos </t>
  </si>
  <si>
    <t>Receitas - Aluguel de equipamentos</t>
  </si>
  <si>
    <t>Valor das quadras</t>
  </si>
  <si>
    <t>Quantidade disponivel</t>
  </si>
  <si>
    <t>Preço unit</t>
  </si>
  <si>
    <t>Aluguel da Quadra (mês)</t>
  </si>
  <si>
    <t>Fluxo de pessoas (mês)</t>
  </si>
  <si>
    <t>Preço com depreciação</t>
  </si>
  <si>
    <t>Demanda por equipamentos esportivos</t>
  </si>
  <si>
    <t>Receita mensal</t>
  </si>
  <si>
    <t>Equipamento</t>
  </si>
  <si>
    <t>Custo Equipamento</t>
  </si>
  <si>
    <t>Custo unitario</t>
  </si>
  <si>
    <t>Reposição (anos)</t>
  </si>
  <si>
    <t>Aluguéis/ano</t>
  </si>
  <si>
    <t>Deprec. por aluguel</t>
  </si>
  <si>
    <t xml:space="preserve">Poliesportiva </t>
  </si>
  <si>
    <t>Raquete - tênis</t>
  </si>
  <si>
    <t xml:space="preserve">Society </t>
  </si>
  <si>
    <t>Bolas tênis</t>
  </si>
  <si>
    <t>Qaudra de areia</t>
  </si>
  <si>
    <t>EPIs - patins&amp;skate</t>
  </si>
  <si>
    <t xml:space="preserve">Patins </t>
  </si>
  <si>
    <t>Skate</t>
  </si>
  <si>
    <t>Raquete - Beach tennis</t>
  </si>
  <si>
    <t>Bolas - beach tennis</t>
  </si>
  <si>
    <t>Bolas - society</t>
  </si>
  <si>
    <t>Colete</t>
  </si>
  <si>
    <t>Bolas - Basquete</t>
  </si>
  <si>
    <t>Bolas - futebol de quadra</t>
  </si>
  <si>
    <t>Chuteiras</t>
  </si>
  <si>
    <t>%OCC taxa de ocupação</t>
  </si>
  <si>
    <t>ABL - Eventos</t>
  </si>
  <si>
    <t>%Uso do solo para outros espaços</t>
  </si>
  <si>
    <t>Considera-se um evento por trimestre para área do palco</t>
  </si>
  <si>
    <t xml:space="preserve">Considera-se um evento por bimestre para outros espaços </t>
  </si>
  <si>
    <t>Receitas Eventos</t>
  </si>
  <si>
    <t>Demanda p/ ano</t>
  </si>
  <si>
    <t>Receita Anual</t>
  </si>
  <si>
    <t>Evento - Palco</t>
  </si>
  <si>
    <t xml:space="preserve">Evento - Outros espaços </t>
  </si>
  <si>
    <t>Valor  Locação - Unit.</t>
  </si>
  <si>
    <t>Valor  Locação Total</t>
  </si>
  <si>
    <t>Evento - palco</t>
  </si>
  <si>
    <t>Evento - outros espaços</t>
  </si>
  <si>
    <t>% de captação das empresas (Outdoor)</t>
  </si>
  <si>
    <t>% de captação das empresas (MUP's)</t>
  </si>
  <si>
    <t>% de captação das empresas (LED's)</t>
  </si>
  <si>
    <t xml:space="preserve">Pesquisa de preço referenciais </t>
  </si>
  <si>
    <t>Veiculações por dia - LED's e MUP's</t>
  </si>
  <si>
    <t>Quantidade de dias exposto (Outdoor)</t>
  </si>
  <si>
    <t xml:space="preserve">Tipo de publicidade </t>
  </si>
  <si>
    <t>Qntd.</t>
  </si>
  <si>
    <t>Publicidade OUTDOOR</t>
  </si>
  <si>
    <t>Publicidade MUPs</t>
  </si>
  <si>
    <t>Publicidade LED</t>
  </si>
  <si>
    <t>OI</t>
  </si>
  <si>
    <t xml:space="preserve">Qtnd </t>
  </si>
  <si>
    <t>Preço da veiculação</t>
  </si>
  <si>
    <t xml:space="preserve">Demanda estimada </t>
  </si>
  <si>
    <t xml:space="preserve">Receita mensal </t>
  </si>
  <si>
    <t xml:space="preserve">Receita anual </t>
  </si>
  <si>
    <t>MUPS</t>
  </si>
  <si>
    <t>LED</t>
  </si>
  <si>
    <t>Municípios das Capitais</t>
  </si>
  <si>
    <t xml:space="preserve">Seções da classificação de atividades </t>
  </si>
  <si>
    <t>Número de unidades locais</t>
  </si>
  <si>
    <t>Unidades selecionadas</t>
  </si>
  <si>
    <t>Teresina - PI</t>
  </si>
  <si>
    <t>Agricultura, pecuária, produção florestal, pesca e aquicultura</t>
  </si>
  <si>
    <t>Indústrias extrativas</t>
  </si>
  <si>
    <t>Indústrias de transformação</t>
  </si>
  <si>
    <t>Eletricidade e gás</t>
  </si>
  <si>
    <t>Água, esgoto, atividades de gestão de resíduos e descontaminação</t>
  </si>
  <si>
    <t>Construção</t>
  </si>
  <si>
    <t>Comércio; reparação de veículos automotores e motocicletas</t>
  </si>
  <si>
    <t>Transporte, armazenagem e correio</t>
  </si>
  <si>
    <t>Alojamento e alimentação</t>
  </si>
  <si>
    <t>Informação e comunicação</t>
  </si>
  <si>
    <t>Atividades financeiras, de seguros e serviços relacionados</t>
  </si>
  <si>
    <t>Atividades imobiliárias</t>
  </si>
  <si>
    <t>Atividades profissionais, científicas e técnicas</t>
  </si>
  <si>
    <t>Atividades administrativas e serviços complementares</t>
  </si>
  <si>
    <t>Administração pública, defesa e seguridade social</t>
  </si>
  <si>
    <t>Educação</t>
  </si>
  <si>
    <t>Saúde humana e serviços sociais</t>
  </si>
  <si>
    <t>Artes, cultura, esporte e recreação</t>
  </si>
  <si>
    <t>Outras atividades de serviços</t>
  </si>
  <si>
    <t>Organismos internacionais e outras instituições extraterritoriais</t>
  </si>
  <si>
    <t>-</t>
  </si>
  <si>
    <t>Fonte: Estatísticas do Cadastro Central de Empresas - CEMPRE | IBGE</t>
  </si>
  <si>
    <t>Tabela 12.1 - Número de unidades locais, pessoal ocupado total, pessoal ocupado assalariado, pessoal assalariado médio, salários e outras remunerações e salário médio mensal, em salários mínimos e em Reais, segundo os Municípios das Capitais, as seções e as divisões classificação de atividades - 2022</t>
  </si>
  <si>
    <t xml:space="preserve">AUX. RECEITAS </t>
  </si>
  <si>
    <t>Perfil de Visitação Diária</t>
  </si>
  <si>
    <t>Classificação</t>
  </si>
  <si>
    <t>Peso</t>
  </si>
  <si>
    <t>Peso Normalizado</t>
  </si>
  <si>
    <t>Justificativa</t>
  </si>
  <si>
    <t>ANÁLISE POR CLASSIFICAÇÃO</t>
  </si>
  <si>
    <t>Distribuição da Visitação Diária por Horário</t>
  </si>
  <si>
    <t>Tabela de Referência das probabilidades</t>
  </si>
  <si>
    <t xml:space="preserve">Taxa de Ocupação </t>
  </si>
  <si>
    <t>Baixa</t>
  </si>
  <si>
    <t>Abertura, pouquíssimos carros</t>
  </si>
  <si>
    <t>Quantidade de Horas</t>
  </si>
  <si>
    <t>Percentual</t>
  </si>
  <si>
    <t>Peso Médio</t>
  </si>
  <si>
    <t>Faixa de Horário</t>
  </si>
  <si>
    <t>% visitação diária</t>
  </si>
  <si>
    <t xml:space="preserve">Metodologia 1 </t>
  </si>
  <si>
    <t>Muito Alta</t>
  </si>
  <si>
    <t>Pico matinal de chegadas</t>
  </si>
  <si>
    <t xml:space="preserve">5h - 8h </t>
  </si>
  <si>
    <t>Alta</t>
  </si>
  <si>
    <t>Fluxo elevado mas decrescente</t>
  </si>
  <si>
    <t>Média</t>
  </si>
  <si>
    <t>8h- 11h</t>
  </si>
  <si>
    <t>Visistação que recorre ao Pago</t>
  </si>
  <si>
    <t>Final do pico matinal</t>
  </si>
  <si>
    <t>11h - 17h</t>
  </si>
  <si>
    <t>Tempo de funcionamento do parque</t>
  </si>
  <si>
    <t>Fluxo estabilizado</t>
  </si>
  <si>
    <t>17h - 00h</t>
  </si>
  <si>
    <t>Veículos simultâneos</t>
  </si>
  <si>
    <t>Fluxo constante</t>
  </si>
  <si>
    <t>Taxa de Ocupação média Diária</t>
  </si>
  <si>
    <t>Início do declínio pós-manhã</t>
  </si>
  <si>
    <t>Queda progressiva</t>
  </si>
  <si>
    <t>Período de menor movimento (Vale)</t>
  </si>
  <si>
    <t>Metodologia 2</t>
  </si>
  <si>
    <t>Período de baixo movimento</t>
  </si>
  <si>
    <t>Fluxo pago por dia</t>
  </si>
  <si>
    <t>Preparação para retomada</t>
  </si>
  <si>
    <t xml:space="preserve">Tempo médio de permanência </t>
  </si>
  <si>
    <t>Crescimento acentuado</t>
  </si>
  <si>
    <t>Horas- Veículo por dia</t>
  </si>
  <si>
    <t>Fluxo em expansão</t>
  </si>
  <si>
    <t>Período de maior movimento</t>
  </si>
  <si>
    <t>Pico noturno</t>
  </si>
  <si>
    <t>Mantém fluxo intenso</t>
  </si>
  <si>
    <t>Horas totais de vaga disponíveis</t>
  </si>
  <si>
    <t>Começa a reduzir</t>
  </si>
  <si>
    <t>Decréscimo final</t>
  </si>
  <si>
    <t>24h</t>
  </si>
  <si>
    <t>Fechamento, último horário. Nenhum carro chega</t>
  </si>
  <si>
    <t>Horário de Pico</t>
  </si>
  <si>
    <t>Horário de Vale</t>
  </si>
  <si>
    <t>Número médio de veículos simultaneos</t>
  </si>
  <si>
    <t>Fuga de veículos para o gratuito</t>
  </si>
  <si>
    <t>Imóvel/Link</t>
  </si>
  <si>
    <t>Aluguel/Mês</t>
  </si>
  <si>
    <t>Condomínio</t>
  </si>
  <si>
    <t>IPTU</t>
  </si>
  <si>
    <t>Área (m²)</t>
  </si>
  <si>
    <t>R$/m²</t>
  </si>
  <si>
    <t>Endereço</t>
  </si>
  <si>
    <t>Coordenadas</t>
  </si>
  <si>
    <t>Localização</t>
  </si>
  <si>
    <t>Imóvel 10</t>
  </si>
  <si>
    <t>Avenida Vilmary, 200 - São Cristóvão, Teresina - PI</t>
  </si>
  <si>
    <t>5°04'26.8"S 42°46'37.9"W</t>
  </si>
  <si>
    <t>5°04'26.8"S 42°46'37.9"W - Google Maps</t>
  </si>
  <si>
    <t>Shopping Cocais (Timon)</t>
  </si>
  <si>
    <t>Taxas</t>
  </si>
  <si>
    <t>Área</t>
  </si>
  <si>
    <t>Imóvel 24</t>
  </si>
  <si>
    <t>Avenida João XXIII, 250 - Noivos, Teresina - PI</t>
  </si>
  <si>
    <t>5°04'50.1"S 42°47'20.0"W</t>
  </si>
  <si>
    <t>5°04'50.1"S 42°47'20.0"W - Google Maps</t>
  </si>
  <si>
    <t>Imóvel 15</t>
  </si>
  <si>
    <t>Rua Maestro Pedro Silva, 3044 - São Cristóvão, Teresina - PI</t>
  </si>
  <si>
    <t>5°04'30.7"S 42°46'19.1"W</t>
  </si>
  <si>
    <t>5°04'30.7"S 42°46'19.1"W - Google Maps</t>
  </si>
  <si>
    <t>Imóvel 21</t>
  </si>
  <si>
    <t>Rua Doutor Raimundo Paz - Noivos, Teresina - PI</t>
  </si>
  <si>
    <t>R. Raimundo da Paz - Noivos - Google Maps</t>
  </si>
  <si>
    <t>Imóvel 19</t>
  </si>
  <si>
    <t>Avenida João XXIII, 69 - São Cristóvão, Teresina - PI</t>
  </si>
  <si>
    <t>5°04'51.3"S 42°46'31.0"W</t>
  </si>
  <si>
    <t>5°04'51.3"S 42°46'31.0"W - Google Maps</t>
  </si>
  <si>
    <t>Grand Dirceu Shopping</t>
  </si>
  <si>
    <t xml:space="preserve">Imóvel 9 </t>
  </si>
  <si>
    <t>Avenida Juiz João Almeida, 1862 - Horto, Teresina - PI</t>
  </si>
  <si>
    <t>5°03'38.6"S 42°47'06.0"W</t>
  </si>
  <si>
    <t>5°03'38.6"S 42°47'06.0"W - Google Maps</t>
  </si>
  <si>
    <t>Imóvel 2</t>
  </si>
  <si>
    <t>Avenida Universitária, 750 - Fátima, Teresina - PI</t>
  </si>
  <si>
    <t>5°03'48.0"S 42°47'47.8"W</t>
  </si>
  <si>
    <t>5°03'48.0"S 42°47'47.8"W - Google Maps</t>
  </si>
  <si>
    <t>Piauí Center Moda</t>
  </si>
  <si>
    <t>Imóvel 25</t>
  </si>
  <si>
    <t>Noivos, Teresina - PI</t>
  </si>
  <si>
    <t>Imóvel 23</t>
  </si>
  <si>
    <t>Rua Lima Rebelo, 243 - Noivos, Teresina - PI</t>
  </si>
  <si>
    <t>5°05'00.1"S 42°47'19.9"W</t>
  </si>
  <si>
    <t>5°05'00.1"S 42°47'19.9"W - Google Maps</t>
  </si>
  <si>
    <t>Riverside</t>
  </si>
  <si>
    <t>Imóvel 6</t>
  </si>
  <si>
    <t>Rua José Paulino, 940 - Fátima, Teresina - PI</t>
  </si>
  <si>
    <t>5°04'14.3"S 42°47'43.0"W</t>
  </si>
  <si>
    <t>5°04'14.3"S 42°47'43.0"W - Google Maps</t>
  </si>
  <si>
    <t>Imóvel 20</t>
  </si>
  <si>
    <t>Rua Nogueira Tapety, 203 - Noivos, Teresina - PI</t>
  </si>
  <si>
    <t>5°04'55.8"S 42°47'23.9"W</t>
  </si>
  <si>
    <t>5°04'55.8"S 42°47'23.9"W - Google Maps</t>
  </si>
  <si>
    <t>Imovel 22</t>
  </si>
  <si>
    <t>Conjunto Comercial / Sala com cozinha, 50 m² em Noivos, Teresina - ZAP Imóveis</t>
  </si>
  <si>
    <t xml:space="preserve">Imóvel 3 </t>
  </si>
  <si>
    <t>Avenida Raul Lopes - Noivos, Teresina - PI</t>
  </si>
  <si>
    <t>5°05'12.1"S 42°47'12.0"W</t>
  </si>
  <si>
    <t>5°05'12.1"S 42°47'12.0"W - Google Maps</t>
  </si>
  <si>
    <t>Teresina Shopping</t>
  </si>
  <si>
    <t>Imóvel 16</t>
  </si>
  <si>
    <t>Imóvel 14</t>
  </si>
  <si>
    <t>Avenida Jóquei Clube, 299 - Jóquei, Teresina - PI</t>
  </si>
  <si>
    <t>5°04'38.7"S 42°47'48.1"W</t>
  </si>
  <si>
    <t>5°04'38.7"S 42°47'48.1"W - Google Maps</t>
  </si>
  <si>
    <t>Imóvel 5</t>
  </si>
  <si>
    <t>Rua Visconde da Parnaíba, 1871 - Ininga, Teresina - PI</t>
  </si>
  <si>
    <t>5°03'51.9"S 42°47'08.2"W</t>
  </si>
  <si>
    <t>5°03'51.9"S 42°47'08.2"W - Google Maps</t>
  </si>
  <si>
    <t>Imóvel 7</t>
  </si>
  <si>
    <t>5°03'48.2"S 42°47'47.0"W</t>
  </si>
  <si>
    <t>5°03'48.2"S 42°47'47.0"W - Google Maps</t>
  </si>
  <si>
    <t>Imóvel 12</t>
  </si>
  <si>
    <t>Avenida Senador Area Leão, 1736 - Jóquei, Teresina - PI</t>
  </si>
  <si>
    <t>5°04'40.7"S 42°46'58.9"W</t>
  </si>
  <si>
    <t>5°04'40.7"S 42°46'58.9"W - Google Maps</t>
  </si>
  <si>
    <t xml:space="preserve">Imóvel 13 </t>
  </si>
  <si>
    <t>Avenida Homero Castelo Branco, 3220 - Ininga, Teresina - PI</t>
  </si>
  <si>
    <t>5°03'20.3"S 42°46'56.8"W</t>
  </si>
  <si>
    <t>5°03'20.3"S 42°46'56.8"W - Google Maps</t>
  </si>
  <si>
    <t>Imóvel 18</t>
  </si>
  <si>
    <t>Rua Nogueira Tapety - Noivos, Teresina - PI</t>
  </si>
  <si>
    <t>Rua Nogueira Tapety - Noivos - Google Maps</t>
  </si>
  <si>
    <t>Imóvel 8</t>
  </si>
  <si>
    <t>Avenida Senador Area Leão, 2185 - São Cristóvão, Teresina - PI</t>
  </si>
  <si>
    <t>5°04'34.6"S 42°46'44.3"W</t>
  </si>
  <si>
    <t>5°04'34.6"S 42°46'44.3"W - Google Maps</t>
  </si>
  <si>
    <t xml:space="preserve">Imóvel 11 </t>
  </si>
  <si>
    <t>Avenida Nossa Senhora de Fátima, 2549 - Fátima, Teresina - PI</t>
  </si>
  <si>
    <t>5°03'54.7"S 42°47'38.0"W</t>
  </si>
  <si>
    <t>5°03'54.7"S 42°47'38.0"W - Google Maps</t>
  </si>
  <si>
    <t>Imóvel 17</t>
  </si>
  <si>
    <t>Avenida Pedro Almeida - São Cristóvão, Teresina - PI</t>
  </si>
  <si>
    <t>Conjunto Comercial / Sala 28 m² em São Cristóvão, Teresina - ZAP Imóveis</t>
  </si>
  <si>
    <t>Imóvel 1</t>
  </si>
  <si>
    <t>Rua Gardênia, 710 - Jóquei, Teresina - PI</t>
  </si>
  <si>
    <t>5°04'42.0"S 42°47'35.0"W</t>
  </si>
  <si>
    <t>5°04'42.0"S 42°47'35.0"W - Google Maps</t>
  </si>
  <si>
    <t xml:space="preserve">Imóvel 4 </t>
  </si>
  <si>
    <t>Avenida Elias João Tajra, 1705 - Jóquei, Teresina - PI</t>
  </si>
  <si>
    <t>5°04'18.8"S 42°47'11.7"W</t>
  </si>
  <si>
    <t>5°04'18.8"S 42°47'11.7"W - Google Maps</t>
  </si>
  <si>
    <t>% considerado</t>
  </si>
  <si>
    <t>OPEX</t>
  </si>
  <si>
    <t>AGRESPI</t>
  </si>
  <si>
    <t>FOPAG</t>
  </si>
  <si>
    <t>Água&amp;Esgoto</t>
  </si>
  <si>
    <t>Energia</t>
  </si>
  <si>
    <t xml:space="preserve">Aquisição - Equipamentos esportivos </t>
  </si>
  <si>
    <t>Manutenção e conservação</t>
  </si>
  <si>
    <t>Impostos e taxas</t>
  </si>
  <si>
    <t xml:space="preserve">Publicidade e propaganda </t>
  </si>
  <si>
    <t xml:space="preserve">Outras despesas operacionais </t>
  </si>
  <si>
    <t>Serviços técnicos profissionais</t>
  </si>
  <si>
    <t xml:space="preserve">Jardinagem </t>
  </si>
  <si>
    <t xml:space="preserve">Seguros </t>
  </si>
  <si>
    <t>Internet</t>
  </si>
  <si>
    <t>Outros serviços prestados por empresas</t>
  </si>
  <si>
    <t>Software locker</t>
  </si>
  <si>
    <t>Software recargas EV's</t>
  </si>
  <si>
    <t>Taxa - AGRESPI*</t>
  </si>
  <si>
    <t>LEI Nº 7.763, DE 30 DE MARÇO DE 2022</t>
  </si>
  <si>
    <t>Prazo</t>
  </si>
  <si>
    <t xml:space="preserve">OPEX </t>
  </si>
  <si>
    <t>Média anual - OPEX</t>
  </si>
  <si>
    <t>Média anual</t>
  </si>
  <si>
    <t>% total</t>
  </si>
  <si>
    <t>Água e Esgoto</t>
  </si>
  <si>
    <t>Impostos e taxas*</t>
  </si>
  <si>
    <t xml:space="preserve">Folha de Pagamento </t>
  </si>
  <si>
    <t>Salário bruto</t>
  </si>
  <si>
    <t>Encargos</t>
  </si>
  <si>
    <t xml:space="preserve">Custo do funcionário </t>
  </si>
  <si>
    <t>Custo total (mensal)</t>
  </si>
  <si>
    <t>Custo total (anual)</t>
  </si>
  <si>
    <t>Gerente</t>
  </si>
  <si>
    <t xml:space="preserve">Secretaria </t>
  </si>
  <si>
    <t>fiscais (assistente administrativo)</t>
  </si>
  <si>
    <t>Vigilante</t>
  </si>
  <si>
    <t>Limpeza</t>
  </si>
  <si>
    <t>Operação e manutenção</t>
  </si>
  <si>
    <t>CBO 2002 - Remunerações em 2024</t>
  </si>
  <si>
    <t>Municipio</t>
  </si>
  <si>
    <t xml:space="preserve"> Ocupação</t>
  </si>
  <si>
    <t>Frequência</t>
  </si>
  <si>
    <t>Remun Média Nom</t>
  </si>
  <si>
    <t>Salário p/ trabalhador</t>
  </si>
  <si>
    <t>Custos anuais</t>
  </si>
  <si>
    <t>Custos mensais</t>
  </si>
  <si>
    <t>PI - TERESINA</t>
  </si>
  <si>
    <t>Gerente administrativo</t>
  </si>
  <si>
    <t>Secretaria executiva</t>
  </si>
  <si>
    <t>Assistente administrativo</t>
  </si>
  <si>
    <t>Trabalhador de serviços de limpeza e conservação de áreas públicas</t>
  </si>
  <si>
    <t>Serviços técnico-profissionais</t>
  </si>
  <si>
    <t xml:space="preserve">Bônus(-)/Perda (+) de Eficência </t>
  </si>
  <si>
    <t>Dados PAS - IBGE 2023</t>
  </si>
  <si>
    <t xml:space="preserve">Estrutura das despesas operacionais </t>
  </si>
  <si>
    <t>Receita bruta</t>
  </si>
  <si>
    <t>% da receita</t>
  </si>
  <si>
    <t>Receita bruta - Ano 3</t>
  </si>
  <si>
    <t xml:space="preserve">Aluguel de imóveis </t>
  </si>
  <si>
    <t>Publicidade e propaganda</t>
  </si>
  <si>
    <t>Comissões pagas a terceiros</t>
  </si>
  <si>
    <t>Serviços prestados por profissionais liberais ou autônomos (pessoas físicas)</t>
  </si>
  <si>
    <t>Vigilância, segurança e transporte de valores</t>
  </si>
  <si>
    <t>Mão de obra contratada temporariamente junto a empresas locadoras de mão de obra</t>
  </si>
  <si>
    <t>Manutenção e  reparação de bens</t>
  </si>
  <si>
    <t>Outros serviços prestados por empresas (3)</t>
  </si>
  <si>
    <t>Impostos e taxas (IPTU, IPVA, IOF, alvarás, etc.)</t>
  </si>
  <si>
    <t>Serviços de comunicação (correio, fax, telefone e Internet)</t>
  </si>
  <si>
    <t>Energia elétrica,  gás, água e esgoto</t>
  </si>
  <si>
    <t>Prêmios de seguros (imóveis, veículos, mercadorias em estoque, etc.)</t>
  </si>
  <si>
    <t>Viagens e representações (inclusive diárias e estadias)</t>
  </si>
  <si>
    <t>Material de expediente e de escritório</t>
  </si>
  <si>
    <t>Direitos autorais, franquias e royalties pelo uso de marcas e patentes</t>
  </si>
  <si>
    <t>Outras despesas operacionais (5)</t>
  </si>
  <si>
    <t>Fonte: Pesquisa Anual de Serviços (2023)</t>
  </si>
  <si>
    <t xml:space="preserve">Tipo de empresa: Parques de diversão e outras atividades de lazer 
</t>
  </si>
  <si>
    <t>Tabela 7:  Despesas operacionais das empresas de serviços prestados principalmente às famílias, total e empresas com 20 ou mais pessoas ocupadas, segundo as atividades - Brasil - 2023</t>
  </si>
  <si>
    <t>Jardinagem</t>
  </si>
  <si>
    <t>Custo por Hectare</t>
  </si>
  <si>
    <t>Custo por m²</t>
  </si>
  <si>
    <t>Área verde</t>
  </si>
  <si>
    <t>Custo da jardinagem</t>
  </si>
  <si>
    <t xml:space="preserve">Recorrência </t>
  </si>
  <si>
    <t>Custo mensal</t>
  </si>
  <si>
    <t>Custo anual</t>
  </si>
  <si>
    <t>C1782</t>
  </si>
  <si>
    <t>Descrição</t>
  </si>
  <si>
    <t>Manutenção, corte e refilamento de áreas gramadas c/roçadeira tracionada</t>
  </si>
  <si>
    <t>Fonte</t>
  </si>
  <si>
    <t>SEINFRA-COMP-028</t>
  </si>
  <si>
    <t>Custos</t>
  </si>
  <si>
    <t>Qtd</t>
  </si>
  <si>
    <t>C. Unit R$</t>
  </si>
  <si>
    <t>Tot. (R$)</t>
  </si>
  <si>
    <t>Inicio (ano 1)</t>
  </si>
  <si>
    <t>Recorrência (anos)</t>
  </si>
  <si>
    <t xml:space="preserve">Total </t>
  </si>
  <si>
    <t>Raquete - tenis</t>
  </si>
  <si>
    <t>Bolas de tênis (20 tubos com 3 bolas)</t>
  </si>
  <si>
    <t>Capacete (skate, patins)</t>
  </si>
  <si>
    <t>Joelheiras, cotovoleiras, munhequeiras (kit skate e patins)</t>
  </si>
  <si>
    <t>Patins</t>
  </si>
  <si>
    <t>Colete (society, futsal, basquete - kit com 10)</t>
  </si>
  <si>
    <t>Bolas - basquete</t>
  </si>
  <si>
    <t>Bolas - futsal</t>
  </si>
  <si>
    <t>Chuteiras - society</t>
  </si>
  <si>
    <t>Chuteiras - futsal</t>
  </si>
  <si>
    <t>Beach tennis - raquete</t>
  </si>
  <si>
    <t>Beach tennis - bolas (tubos com 3)</t>
  </si>
  <si>
    <t>Rede (esportes na areia)</t>
  </si>
  <si>
    <t>Postes (esportes de areia)</t>
  </si>
  <si>
    <t>CATAMARÃ</t>
  </si>
  <si>
    <t>OPEX - CATAMARÃ</t>
  </si>
  <si>
    <t xml:space="preserve">Pintura catamarã </t>
  </si>
  <si>
    <t xml:space="preserve">Catamarã </t>
  </si>
  <si>
    <t>Dias de funcionamento do catamarã (mensal)</t>
  </si>
  <si>
    <t xml:space="preserve">Horas trabalhadas </t>
  </si>
  <si>
    <t>Recorrência - pintura (anos)</t>
  </si>
  <si>
    <t xml:space="preserve">OPEX Catamarã </t>
  </si>
  <si>
    <t xml:space="preserve">Remuneração </t>
  </si>
  <si>
    <t xml:space="preserve">Mensal </t>
  </si>
  <si>
    <t xml:space="preserve">Anual </t>
  </si>
  <si>
    <t>Salário p/ dia</t>
  </si>
  <si>
    <t>Salário p/ hora</t>
  </si>
  <si>
    <t xml:space="preserve">Encargos </t>
  </si>
  <si>
    <t>Salário efetivamente pago (mensal)</t>
  </si>
  <si>
    <t>Salário efetivamente pago (anual)</t>
  </si>
  <si>
    <t xml:space="preserve">Custos com combustiveis </t>
  </si>
  <si>
    <t>PILOTO FLUVIAL</t>
  </si>
  <si>
    <t>Custos com mão de obra</t>
  </si>
  <si>
    <t>COPEIRO</t>
  </si>
  <si>
    <t>MARINHEIRO AUXILIAR DE CONVÉS (MARÍTIMO E AQUAVIÁRIO)</t>
  </si>
  <si>
    <t>Inicio (Ano)</t>
  </si>
  <si>
    <t>Recorrência (Ano)</t>
  </si>
  <si>
    <t xml:space="preserve">Estrutura de custos </t>
  </si>
  <si>
    <t xml:space="preserve">Receita bruta </t>
  </si>
  <si>
    <t>%</t>
  </si>
  <si>
    <t>Mercadorias, materiais de consumo e de reposição</t>
  </si>
  <si>
    <t>Código</t>
  </si>
  <si>
    <t>C2041</t>
  </si>
  <si>
    <t>Custo de mercadorias revendidas</t>
  </si>
  <si>
    <t>C2473</t>
  </si>
  <si>
    <t>Combustíveis
 e
 lubrificantes</t>
  </si>
  <si>
    <t>C4409</t>
  </si>
  <si>
    <t>Outros custos</t>
  </si>
  <si>
    <t>Primer epoxi em estrutura de aço</t>
  </si>
  <si>
    <t>Pintura c/ tinta epoxi em estrutura de aço</t>
  </si>
  <si>
    <t>Pintura poliuretano em estruturas de aço</t>
  </si>
  <si>
    <t>SEINFRA - CE 028.1</t>
  </si>
  <si>
    <t xml:space="preserve">Tabela 6: Custos das empresas de serviços prestados principalmente às famílias, total e empresas com 20 ou mais pessoas ocupadas, segundo as atividades - Brasil - 2023 </t>
  </si>
  <si>
    <t>Opex Energia</t>
  </si>
  <si>
    <t>Local</t>
  </si>
  <si>
    <t>DADOS</t>
  </si>
  <si>
    <t>Local:</t>
  </si>
  <si>
    <t>Iluminação do Parque</t>
  </si>
  <si>
    <t>Quantidade:</t>
  </si>
  <si>
    <t>Sistemas de irrigação do parque</t>
  </si>
  <si>
    <t>Consumo total (kWh):</t>
  </si>
  <si>
    <t>Potência (W)</t>
  </si>
  <si>
    <t>Tempo de Uso (h)</t>
  </si>
  <si>
    <t>Consumo Elétrico (kWh)</t>
  </si>
  <si>
    <t xml:space="preserve">Tensão </t>
  </si>
  <si>
    <t>Característica</t>
  </si>
  <si>
    <t xml:space="preserve">Luminaria led </t>
  </si>
  <si>
    <t>Conjunto moto-bomba</t>
  </si>
  <si>
    <t>Baixa Tensão (BT)</t>
  </si>
  <si>
    <t>Até 1 kV</t>
  </si>
  <si>
    <t>Luminária arandela (tipo tartaruga)</t>
  </si>
  <si>
    <t>Média Tensão (MT)</t>
  </si>
  <si>
    <t>Entre 1 kV e 69 kV</t>
  </si>
  <si>
    <t>Refletor</t>
  </si>
  <si>
    <t>Vestiário</t>
  </si>
  <si>
    <t>Alta Tensão (AT)</t>
  </si>
  <si>
    <t>Acima de 69 kV</t>
  </si>
  <si>
    <t>Subestação</t>
  </si>
  <si>
    <t xml:space="preserve">Característica </t>
  </si>
  <si>
    <t>Tarifa</t>
  </si>
  <si>
    <t>Área administrativa</t>
  </si>
  <si>
    <t>Tomadas</t>
  </si>
  <si>
    <t>Poder Público Estadual</t>
  </si>
  <si>
    <t>Luminária</t>
  </si>
  <si>
    <t>Unidade Comercial</t>
  </si>
  <si>
    <t>Fonte: Equatorial</t>
  </si>
  <si>
    <t>Guarita</t>
  </si>
  <si>
    <t>Ar-condicionado</t>
  </si>
  <si>
    <t>RESULTADO</t>
  </si>
  <si>
    <t>Potência</t>
  </si>
  <si>
    <t>Consumo total (kWh)</t>
  </si>
  <si>
    <t>Tarifa (R$)</t>
  </si>
  <si>
    <t>Conta mensal (R$)</t>
  </si>
  <si>
    <t>Conta anual(R$)</t>
  </si>
  <si>
    <t>Á R E A S   P A R Q U E   E S T A D U A L   P O T Y C A B A N A   -   P R O J E T O   R E F E R E N C I A L</t>
  </si>
  <si>
    <t>E X I S T E N T E</t>
  </si>
  <si>
    <t>ÁREA TOTAL</t>
  </si>
  <si>
    <t>m²</t>
  </si>
  <si>
    <t>Área Permeavel Total</t>
  </si>
  <si>
    <t>Área Impermeavel Total</t>
  </si>
  <si>
    <t>1.1</t>
  </si>
  <si>
    <t>ÁREA DO CEA (SEMARH)</t>
  </si>
  <si>
    <t>1.1.1</t>
  </si>
  <si>
    <t>Área Permeável</t>
  </si>
  <si>
    <t>1.1.2</t>
  </si>
  <si>
    <t>Área Impermeável</t>
  </si>
  <si>
    <t>1.2</t>
  </si>
  <si>
    <t>ÁREA DA CONCESSÃO DO PARQUE POTYCABANA</t>
  </si>
  <si>
    <t>1.2.1</t>
  </si>
  <si>
    <t>1.2.1.1</t>
  </si>
  <si>
    <t>Áreas Verdes</t>
  </si>
  <si>
    <t>1.2.1.2</t>
  </si>
  <si>
    <t>Quadras de areia</t>
  </si>
  <si>
    <t>1.2.1.3</t>
  </si>
  <si>
    <t>Rampa Acesso Pier</t>
  </si>
  <si>
    <t>1.2.1.4</t>
  </si>
  <si>
    <t>Deck Restaurante 02</t>
  </si>
  <si>
    <t>1.2.2</t>
  </si>
  <si>
    <t>1.2.2.1</t>
  </si>
  <si>
    <t>Guarita/Acesso Pedestre</t>
  </si>
  <si>
    <t>1.2.2.2</t>
  </si>
  <si>
    <t>Área Eventos/Estacionamento</t>
  </si>
  <si>
    <t>1.2.2.3</t>
  </si>
  <si>
    <t>Palco Existente</t>
  </si>
  <si>
    <t>1.2.2.4</t>
  </si>
  <si>
    <t>Pista de Caminhada (P=2.153,71m)</t>
  </si>
  <si>
    <t>P=2198,40m</t>
  </si>
  <si>
    <t>Área Construção nova 643,46m² (P=299,24m)</t>
  </si>
  <si>
    <t>Área Demolição 770,52m² (P=390,05m)</t>
  </si>
  <si>
    <t>1.2.2.5</t>
  </si>
  <si>
    <t>Ciclovia (P=2.642,97m)</t>
  </si>
  <si>
    <t>P=2.797,37m</t>
  </si>
  <si>
    <t>Área Construção nova 582,07m² (P=397,50m)</t>
  </si>
  <si>
    <t>Área Demolição798,25m² (P=542,41m)</t>
  </si>
  <si>
    <t>1.2.2.6</t>
  </si>
  <si>
    <t>Banheiros existentes</t>
  </si>
  <si>
    <t>1.2.2.7</t>
  </si>
  <si>
    <t>Arquibancada existente</t>
  </si>
  <si>
    <t>1.2.2.8</t>
  </si>
  <si>
    <t>Quadra Poliesportiva existente</t>
  </si>
  <si>
    <t>1.2.2.9</t>
  </si>
  <si>
    <t>Pista de Skate existente</t>
  </si>
  <si>
    <t>1.2.2.10</t>
  </si>
  <si>
    <t>Restaurante 01 exitente</t>
  </si>
  <si>
    <t>1.2.2.11</t>
  </si>
  <si>
    <t>Restaurante 02</t>
  </si>
  <si>
    <t>1.2.2.12</t>
  </si>
  <si>
    <t>1.2.2.13</t>
  </si>
  <si>
    <t>Banheiros/Vestiários</t>
  </si>
  <si>
    <t>1.2.2.14</t>
  </si>
  <si>
    <t>Quiosques existentes/novos</t>
  </si>
  <si>
    <t>1.2.2.15</t>
  </si>
  <si>
    <t>Praça Pet</t>
  </si>
  <si>
    <t>1.2.2.16</t>
  </si>
  <si>
    <t>Quadra Socyte existente</t>
  </si>
  <si>
    <t>1.2.2.17</t>
  </si>
  <si>
    <t>Área Administrativa existente</t>
  </si>
  <si>
    <t>1.2.2.18</t>
  </si>
  <si>
    <t>Ampliação área adm. (salas comerciais)</t>
  </si>
  <si>
    <t>1.2.2.19</t>
  </si>
  <si>
    <t>1.2.2.20</t>
  </si>
  <si>
    <t>Quadra de Tênis</t>
  </si>
  <si>
    <t>1.2.2.21</t>
  </si>
  <si>
    <t>Deck Restaurante Existente</t>
  </si>
  <si>
    <t>1.2.2.22</t>
  </si>
  <si>
    <t>Áreas pavimentadas</t>
  </si>
  <si>
    <t>Área para Exposições/Feiras</t>
  </si>
  <si>
    <t>1.2.3</t>
  </si>
  <si>
    <t>Áreas não Computadas</t>
  </si>
  <si>
    <t>1.2.3.1</t>
  </si>
  <si>
    <t>Área deck externo</t>
  </si>
  <si>
    <t>1.2.3.2</t>
  </si>
  <si>
    <t>Rampa Acesso Pier (rio)</t>
  </si>
  <si>
    <t>CAPEX</t>
  </si>
  <si>
    <t>Quadro geral (CAPEX)</t>
  </si>
  <si>
    <t>Depreciação de Capex</t>
  </si>
  <si>
    <t>Anos da concessão</t>
  </si>
  <si>
    <t>Categoria</t>
  </si>
  <si>
    <t>Valor (Jun/2025)</t>
  </si>
  <si>
    <t xml:space="preserve">Vida útil </t>
  </si>
  <si>
    <t xml:space="preserve">Dep. Anual </t>
  </si>
  <si>
    <t>OK</t>
  </si>
  <si>
    <t>Total a depreciar</t>
  </si>
  <si>
    <t>Anos</t>
  </si>
  <si>
    <t>Remuneração dos estudos</t>
  </si>
  <si>
    <t>CAPEX aquisição</t>
  </si>
  <si>
    <t>Ampliação</t>
  </si>
  <si>
    <t>Capex aquisição (esportes)</t>
  </si>
  <si>
    <t>Aquisição Locker, Recarga, CFTV e Catraca</t>
  </si>
  <si>
    <t>Motor catamarã + Bebedouros</t>
  </si>
  <si>
    <t>Aquisição Esportivos (1ª)</t>
  </si>
  <si>
    <t>Capex Aquisições</t>
  </si>
  <si>
    <t>Verificadores Dep - Capex</t>
  </si>
  <si>
    <t xml:space="preserve"> (Não apagar)</t>
  </si>
  <si>
    <t xml:space="preserve"> Fonte: IN RFB nº 1700/2017</t>
  </si>
  <si>
    <t xml:space="preserve">Dep. Total </t>
  </si>
  <si>
    <t>Pela DRE</t>
  </si>
  <si>
    <t>Execução do CAPEX</t>
  </si>
  <si>
    <t>Pelo Cronograma</t>
  </si>
  <si>
    <t>Valor a depreciar = Capex?</t>
  </si>
  <si>
    <t>Todos o capex contabilizado na DFC?</t>
  </si>
  <si>
    <t>Aquisição</t>
  </si>
  <si>
    <t>Aquisição (equipamentos esportivos)</t>
  </si>
  <si>
    <t>Motor Catamarã</t>
  </si>
  <si>
    <t>Bebedouro</t>
  </si>
  <si>
    <t>Reinvestimentos</t>
  </si>
  <si>
    <t>Cronograma</t>
  </si>
  <si>
    <t>% da obra</t>
  </si>
  <si>
    <t xml:space="preserve">Capex </t>
  </si>
  <si>
    <t>Capex aquisições</t>
  </si>
  <si>
    <t>Capex aquisições (bens esportivos)</t>
  </si>
  <si>
    <t>Depreciação/Amortização</t>
  </si>
  <si>
    <t>Depreciação Reforma -  25 anos</t>
  </si>
  <si>
    <t>TOTAL DEP.</t>
  </si>
  <si>
    <t>Aquisição - 20 anos</t>
  </si>
  <si>
    <t xml:space="preserve">Remuneração dos estudos </t>
  </si>
  <si>
    <t>Depreciação</t>
  </si>
  <si>
    <t>PLANILHA ORÇAMENTÁRIA RESUMO</t>
  </si>
  <si>
    <t>GOVERNO DO ESTADO DO PIAUÍ</t>
  </si>
  <si>
    <t>SECRETARIA DE ESTADO DA ADMINISTRAÇÃO - SEAD</t>
  </si>
  <si>
    <t>SUPERINTENDÊNCIA DE PARCERIAS E CONCESSÕES - SUPARC</t>
  </si>
  <si>
    <t>OBRA:</t>
  </si>
  <si>
    <t>CAPEX DA POTYCABANA</t>
  </si>
  <si>
    <t>L.S. (MENSAL)=</t>
  </si>
  <si>
    <t>DATA:</t>
  </si>
  <si>
    <t>SETEMBRO DE 2025</t>
  </si>
  <si>
    <t>L.S. (HORISTA)=</t>
  </si>
  <si>
    <t>END.:</t>
  </si>
  <si>
    <t>AV. RAUL LOPES, S/N, NOIVOS</t>
  </si>
  <si>
    <t>LOCAL:</t>
  </si>
  <si>
    <t>TERESINA-PI</t>
  </si>
  <si>
    <t>TIPO:</t>
  </si>
  <si>
    <t>DESONERADA</t>
  </si>
  <si>
    <t>BDI=</t>
  </si>
  <si>
    <t>ÁREAS</t>
  </si>
  <si>
    <t>REFORMA:</t>
  </si>
  <si>
    <t>AMPLIAÇÃO:</t>
  </si>
  <si>
    <t>OBS* -  OS PREÇOS FORAM COLETADOS NAS SEGUINTES FONTES DE PREÇO:  ( SINAPI-PI - JUN/2025  │  SEINFRA-CE - VERSÃO 028.1  │  ORSE/SE - JUN/2025 )</t>
  </si>
  <si>
    <t>ITEM</t>
  </si>
  <si>
    <t>DISCRIMINAÇÃO</t>
  </si>
  <si>
    <t>PESO (%)</t>
  </si>
  <si>
    <t>TOTAL (R$)</t>
  </si>
  <si>
    <t>VALOR POR M² (R$/M²)</t>
  </si>
  <si>
    <t>1.0.0</t>
  </si>
  <si>
    <t>REFORMA</t>
  </si>
  <si>
    <t>1.1.0</t>
  </si>
  <si>
    <t>ADMINISTRAÇÃO LOCAL</t>
  </si>
  <si>
    <t>1.2.0</t>
  </si>
  <si>
    <t>SERVIÇOS INICIAIS</t>
  </si>
  <si>
    <t>1.3.0</t>
  </si>
  <si>
    <t>SERVIÇOS PRELIMINARES</t>
  </si>
  <si>
    <t>1.4.0</t>
  </si>
  <si>
    <t>INSTALAÇÕES ELÉTRICAS DO PARQUE</t>
  </si>
  <si>
    <t>1.5.0</t>
  </si>
  <si>
    <t>DRENAGEM DO PARQUE</t>
  </si>
  <si>
    <t>1.6.0</t>
  </si>
  <si>
    <t>SISTEMAS DE IRRIGAÇÃO DO PARQUE</t>
  </si>
  <si>
    <t>1.7.0</t>
  </si>
  <si>
    <t>CONSTRUÇÃO E RECAPEAMENTO DA CICLOVIA</t>
  </si>
  <si>
    <t>1.8.0</t>
  </si>
  <si>
    <t>RESTOBAR</t>
  </si>
  <si>
    <t>1.9.0</t>
  </si>
  <si>
    <t>BANHEIROS EXISTENTES</t>
  </si>
  <si>
    <t>1.10.0</t>
  </si>
  <si>
    <t>ÁREA ADMINISTRATIVA</t>
  </si>
  <si>
    <t>1.11.0</t>
  </si>
  <si>
    <t>QUIOSQUES</t>
  </si>
  <si>
    <t>1.12.0</t>
  </si>
  <si>
    <t>SERVIÇOS DIVERSOS</t>
  </si>
  <si>
    <t>2.0.0</t>
  </si>
  <si>
    <t>AMPLIAÇÃO</t>
  </si>
  <si>
    <t>2.1.0</t>
  </si>
  <si>
    <t>2.2.0</t>
  </si>
  <si>
    <t>2.3.0</t>
  </si>
  <si>
    <t>RESTAURANTE</t>
  </si>
  <si>
    <t>2.4.0</t>
  </si>
  <si>
    <t>VESTIÁRIO</t>
  </si>
  <si>
    <t>2.5.0</t>
  </si>
  <si>
    <t>GUARITA</t>
  </si>
  <si>
    <t>2.6.0</t>
  </si>
  <si>
    <t>DECK</t>
  </si>
  <si>
    <t>2.7.0</t>
  </si>
  <si>
    <t>ACADEMIA</t>
  </si>
  <si>
    <t>2.8.0</t>
  </si>
  <si>
    <t>2.9.0</t>
  </si>
  <si>
    <t>BRINQUEDOTECA</t>
  </si>
  <si>
    <t>2.10.0</t>
  </si>
  <si>
    <t>ÁREA PET</t>
  </si>
  <si>
    <t>2.11.0</t>
  </si>
  <si>
    <t>PLAYGROUND</t>
  </si>
  <si>
    <t>2.13.0</t>
  </si>
  <si>
    <t>PISTA DE SKATE (AMPLIAÇÃO)</t>
  </si>
  <si>
    <t>2.14.0</t>
  </si>
  <si>
    <t>COBERTURA DA QUADRA</t>
  </si>
  <si>
    <t>2.15.0</t>
  </si>
  <si>
    <t>COBERTURA ÁREA DE EVENTOS/ESTACIONAMENTO</t>
  </si>
  <si>
    <t>TOTAL GERAL</t>
  </si>
  <si>
    <t>Teresina-PI, 11 de setembro de 2025.</t>
  </si>
  <si>
    <t xml:space="preserve">CAPEX Aquisições </t>
  </si>
  <si>
    <t xml:space="preserve">Recargas EV's </t>
  </si>
  <si>
    <t>Catracas</t>
  </si>
  <si>
    <t>CFTV</t>
  </si>
  <si>
    <t>Capex Aquisições - Esportivos</t>
  </si>
  <si>
    <t xml:space="preserve">Equipamentos esportivos </t>
  </si>
  <si>
    <t xml:space="preserve">CAPEX Aquisições - Motor catamarã &amp; bebedouro </t>
  </si>
  <si>
    <t xml:space="preserve">Motor catamarã </t>
  </si>
  <si>
    <t xml:space="preserve">Bebedouro </t>
  </si>
  <si>
    <t>Premissas locker&amp;CarregadoresEV's</t>
  </si>
  <si>
    <t>Considera-se um único pagamento para aquisição e instalação</t>
  </si>
  <si>
    <t>Pesquisa de preços em empresas especializadas</t>
  </si>
  <si>
    <t xml:space="preserve"> Locker (Compra do Modelo LK 41 com 9 compartimentos)</t>
  </si>
  <si>
    <t>Custo Unit.</t>
  </si>
  <si>
    <t>Custo total</t>
  </si>
  <si>
    <t>Serviço de software</t>
  </si>
  <si>
    <t>Instalação e ativação</t>
  </si>
  <si>
    <t>Frete</t>
  </si>
  <si>
    <t>Carregador EV's 60 kW</t>
  </si>
  <si>
    <t>Custo</t>
  </si>
  <si>
    <t>Qtd.</t>
  </si>
  <si>
    <t>P1</t>
  </si>
  <si>
    <t>P2</t>
  </si>
  <si>
    <t>P3</t>
  </si>
  <si>
    <t>R$ Unit.</t>
  </si>
  <si>
    <t>R$ Total</t>
  </si>
  <si>
    <t>https://www.amazon.com.br/Alum%C3%ADnio-Desempenho-Polegadas-Armazenamento-Camewin/dp/B0DD5F982T/ref=asc_df_B0DD5F982T?mcid=6cd8245fa7cf374dbf741f6fb9cb57c4&amp;tag=googleshopp00-20&amp;linkCode=df0&amp;hvadid=709857069996&amp;hvpos=&amp;hvnetw=g&amp;hvrand=17909947686768686293&amp;hvpone=&amp;hvptwo=&amp;hvqmt=&amp;hvdev=c&amp;hvdvcmdl=&amp;hvlocint=&amp;hvlocphy=1001629&amp;hvtargid=pla-2345546001555&amp;psc=1&amp;language=pt_BR&amp;gad_source=1</t>
  </si>
  <si>
    <t>https://www.centauro.com.br/raquete-de-tenis-adams-phenomenon-iniciante-adulto-942650.html?cor=19&amp;gad_source=1&amp;gad_campaignid=20437510020&amp;gclid=CjwKCAjwlaTGBhANEiwAoRgXBQFlzz8QcFktbsbrJfwaR8YPfuxtOjDX5lZ7wUh16lgyFDiCXY5DaBoCBzEQAvD_BwE&amp;utm_referrer=https://www.google.com/</t>
  </si>
  <si>
    <t>https://www.prospin.com.br/raquete-de-tenis-wilson-federer-open-103?utm_source=google&amp;utm_medium=cpc&amp;utm_term=&amp;campaignid=18795359887&amp;adgroupid=&amp;targetid=&amp;adid=&amp;gad_source=1&amp;gad_campaignid=18791591037&amp;gbraid=0AAAAADscwTcmO5U5NImOS4jGCDAYVc-qh&amp;gclid=CjwKCAjwlaTGBhANEiwAoRgXBTghSyflLgUJVosZiti-F5HZ0qQiak7VzaH6Nq9UTpwfS-RdONh5ZRoCLCMQAvD_BwE</t>
  </si>
  <si>
    <t>https://www.prospin.com.br/bola-de-tenis-inni-tournament-caixa-com-24-tubos?utm_source=google&amp;utm_medium=cpc&amp;utm_term=&amp;campaignid=10797273808&amp;adgroupid=167637841640&amp;targetid=dsa-1462931690337&amp;adid=706843444045&amp;gad_source=1&amp;gad_campaignid=10797273808&amp;gbraid=0AAAAADscwTfbRKblRDE5dghAG0NwysVO9&amp;gclid=CjwKCAjwlaTGBhANEiwAoRgXBeh2A1dHCbKLpunEvYT3C3dvsLCZUFOqyv6LTcpYxdM-pXrVcsWJWxoCbGUQAvD_BwE</t>
  </si>
  <si>
    <t>https://www.magazineluiza.com.br/bola-de-tenis-inni-tournament-caixa-c-24-tubos/p/aaf068a08f/es/bldt/?&amp;seller_id=oliststore</t>
  </si>
  <si>
    <t>https://www.mercadolivre.com.br/bola-de-tnis-inni-tournament-caixa-com-24-tubos/p/MLB35321185?pdp_filters=item_id:MLB3916944667#is_advertising=true&amp;searchVariation=MLB35321185&amp;backend_model=search-backend&amp;position=1&amp;search_layout=grid&amp;type=pad&amp;tracking_id=9d64e3d0-93cc-4d1f-9bbc-b93879d68baa&amp;ad_domain=VQCATCORE_LST&amp;ad_position=1&amp;ad_click_id=NzI0YTgzYTUtMjg2NC00YjBmLTkwNWItZDZkNWE5YmIxNDBi</t>
  </si>
  <si>
    <t>https://www.amazon.com.br/Capacete-Patins-Patinete-Profissional-Pequeno/dp/B0BQ8K12R2?source=ps-sl-shoppingads-lpcontext&amp;ref_=fplfs&amp;smid=A3QI25N96UA3JY&amp;th=1&amp;psc=1</t>
  </si>
  <si>
    <t>https://produto.mercadolivre.com.br/MLB-5131502874-capacete-profissional-de-skate-patins-bike-patinete-unissex-_JM?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5320747462&amp;matt_product_id=MLB5131502874&amp;matt_product_partition_id=2424443221566&amp;matt_target_id=aud-1966489759667:pla-2424443221566&amp;cq_src=google_ads&amp;cq_cmp=22603531562&amp;cq_net=g&amp;cq_plt=gp&amp;cq_med=pla&amp;gad_source=1&amp;gad_campaignid=22603531562&amp;gbraid=0AAAAAD93qcAQlRMWitQEzLA3Y1rGOMPZ_&amp;gclid=CjwKCAjwlaTGBhANEiwAoRgXBd-6hP9xpnBHSP1tsCLgj7lOabRkXVSvGQPGeAvopGNWtwx1_CzA_hoCbDkQAvD_BwE</t>
  </si>
  <si>
    <t>https://www.decathlon.com.br/capacete-patins-mf500/p?idsku=2147090471&amp;utm_source=google&amp;utm_medium=cpc&amp;utm_campaign=br_t-perf_ct-pmax_ts-gen_f-cv_o-roas_spd-out_spu-hik_sp-msp_pt-all_pnl-ecom_pp-gads_bm-roa_pr-cpc_sr-cdp-plt_at-aff_xx-colchao&amp;gad_source=1&amp;gad_campaignid=21406640769&amp;gbraid=0AAAAADOIR0CF_KvcSys_qvHOXUmLuIV-K&amp;gclid=CjwKCAjwlaTGBhANEiwAoRgXBU19kU1ov_1rCXG0b7KVdefjgApoOuiS_mIDOEFiZKT0omsjYjOjMhoCOfEQAvD_BwE</t>
  </si>
  <si>
    <t>https://www.amazon.com.br/Bicicleta-Cotoveleira-Munhequeira-Life-Dreams/dp/B0DSGKCM1R/ref=asc_df_B0DSGKCM1R?mcid=64d5a539b94031dfb4f78b4f0d476bd9&amp;tag=googleshopp00-20&amp;linkCode=df0&amp;hvadid=709857070074&amp;hvpos=&amp;hvnetw=g&amp;hvrand=18032751819064579202&amp;hvpone=&amp;hvptwo=&amp;hvqmt=&amp;hvdev=c&amp;hvdvcmdl=&amp;hvlocint=&amp;hvlocphy=1001629&amp;hvtargid=pla-2417991159740&amp;psc=1&amp;language=pt_BR&amp;gad_source=1</t>
  </si>
  <si>
    <t>https://www.mercadolivre.com.br/kit-proteco-adulto-patins-skate-joelheira-cotoveleira-munhequeira-bicicleta-longboard-preto-tamanho-p-life-dreams/p/MLB48656995?pdp_filters=item_id%3AMLB4036000041&amp;from=gshop&amp;matt_tool=94956454&amp;matt_internal_campaign_id=&amp;matt_word=&amp;matt_source=google&amp;matt_campaign_id=22127124188&amp;matt_ad_group_id=173399232373&amp;matt_match_type=&amp;matt_network=g&amp;matt_device=c&amp;matt_creative=729051405567&amp;matt_keyword=&amp;matt_ad_position=&amp;matt_ad_type=pla&amp;matt_merchant_id=735128761&amp;matt_product_id=MLB48656995-product&amp;matt_product_partition_id=2375096929802&amp;matt_target_id=aud-1966489759667:pla-2375096929802&amp;cq_src=google_ads&amp;cq_cmp=22127124188&amp;cq_net=g&amp;cq_plt=gp&amp;cq_med=pla&amp;gad_source=1&amp;gad_campaignid=22127124188&amp;gbraid=0AAAAAD93qcD91HFENZZQWOBjEPQ7Bo2NC&amp;gclid=CjwKCAjwlaTGBhANEiwAoRgXBf7ou5S8X_noOMN0dsz3U6RP6cEwFudwpEAGP1EUe1uz91QEGcXvvhoCNe8QAvD_BwE</t>
  </si>
  <si>
    <t>https://www.traxart.com.br/products/kit-de-protecao-traxart-preto-dr-029?variant=32574994776144&amp;country=BR&amp;currency=BRL&amp;utm_medium=product_sync&amp;utm_source=google&amp;utm_content=sag_organic&amp;utm_campaign=sag_organic</t>
  </si>
  <si>
    <t>https://www.amazon.com.br/Patins-Traxart-Dynamix-Vers%C3%A3o-2-80mm/dp/B0C6B3WY7Q/ref=asc_df_B0C6B3WY7Q?mcid=45fe90a80350355191df456bc97a01fe&amp;tag=googleshopp00-20&amp;linkCode=df0&amp;hvadid=709857019599&amp;hvpos=&amp;hvnetw=g&amp;hvrand=10550778363561514861&amp;hvpone=&amp;hvptwo=&amp;hvqmt=&amp;hvdev=c&amp;hvdvcmdl=&amp;hvlocint=&amp;hvlocphy=1001629&amp;hvtargid=pla-2199428896694&amp;language=pt_BR&amp;gad_source=1&amp;th=1&amp;psc=1</t>
  </si>
  <si>
    <t>https://www.decathlon.com.br/patins-in-line-fit-100-oxelo-preto-cinza-8509929-oxelo/p?idsku=2048163997&amp;utm_source=google&amp;utm_medium=cpc&amp;utm_campaign=br_t-perf_ct-pmax_ts-gen_f-cv_o-roas_pnl-ecom_pp-gads_bm-roa_pr-cpc_sr-cdp-plt_at-aff_xx-coletivos&amp;utm_term=_n-outros-esportes-250624_&amp;utm_content=_zz-outros-esportes-v1&amp;gad_source=1&amp;gad_campaignid=17293598136&amp;gbraid=0AAAAADOIR0Cb24WjoW8OD61gmAYRrWow6&amp;gclid=CjwKCAjwlaTGBhANEiwAoRgXBTmxUVCUZEtZTn3JdFPRHitjDv-BQoo0jHjP0zHpcFyeGlzWv3DveBoCbBoQAvD_BwE</t>
  </si>
  <si>
    <t>https://www.centauro.com.br/patins-oxer-freestyle-adulto-985145.html?cor=32&amp;gad_source=1&amp;gad_campaignid=20437510020&amp;gclid=CjwKCAjwlaTGBhANEiwAoRgXBf8KGuPoDjcecxAKyph5ISkl7LyM23RCA5b8LfNrxR6IMU3FEm3tnxoC0gcQAvD_BwE&amp;utm_referrer=https://www.google.com/</t>
  </si>
  <si>
    <t>https://www.mercadolivre.com.br/bola-de-futebol-society-8-x-penalty/p/MLB19776132?pdp_filters=item_id%3AMLB4128367346&amp;from=gshop&amp;matt_tool=63319127&amp;matt_internal_campaign_id=&amp;matt_word=&amp;matt_source=google&amp;matt_campaign_id=22090193885&amp;matt_ad_group_id=174661971764&amp;matt_match_type=&amp;matt_network=g&amp;matt_device=c&amp;matt_creative=727914180196&amp;matt_keyword=&amp;matt_ad_position=&amp;matt_ad_type=pla&amp;matt_merchant_id=735128188&amp;matt_product_id=MLB19776132-product&amp;matt_product_partition_id=2389848675485&amp;matt_target_id=aud-1966489759667:pla-2389848675485&amp;cq_src=google_ads&amp;cq_cmp=22090193885&amp;cq_net=g&amp;cq_plt=gp&amp;cq_med=pla&amp;gad_source=1&amp;gad_campaignid=22090193885&amp;gbraid=0AAAAAD93qcDw7TGi_PlzdINzsfRtyua3J&amp;gclid=CjwKCAjwlaTGBhANEiwAoRgXBfkUbdO6ZNUZhdg9gqftc7CLlRWqFtkEkxj9nyt00ZC-xcBdX0j9xRoCZ-UQAvD_BwE</t>
  </si>
  <si>
    <t>https://www.nike.com.br/bola-nike-cbf-society-078250.html?cor=51&amp;utm_source=google&amp;utm_medium=cpc&amp;utm_campaign=Google_PLA_Acess%C3%B3rios_Geral&amp;gad_source=1&amp;gad_campaignid=22887484461&amp;gbraid=0AAAAADob9lPYh_Ue3wa1rZ-tY0FrjTEGe&amp;gclid=CjwKCAjwlaTGBhANEiwAoRgXBR3QoHRAa9AMQmlTo4Mdj7IUcONaZJ8s2M7qzr5hjYSnnzbHjVADPBoCzHkQAvD_BwE&amp;utm_referrer=https://www.google.com/</t>
  </si>
  <si>
    <t>https://www.centauro.com.br/bola-society-penalty-lider-xxv-994530.html?cor=9R&amp;gad_source=1&amp;gad_campaignid=21644492572&amp;gclid=CjwKCAjwlaTGBhANEiwAoRgXBRBcWu4fN0sIP3NP_Vt42jMEHOewgVzJL3u2Da2ao8b8ripVma6aBBoCM-0QAvD_BwE&amp;utm_referrer=https://www.google.com/</t>
  </si>
  <si>
    <t>Depreciação (anos)</t>
  </si>
  <si>
    <t>https://shopee.com.br/product/332597223/21254537040?gads_t_sig=VTJGc2RHVmtYMTlxTFVSVVRrdENkVHQ3ZkZSUTMrR3pBWmZZNzdrcnRBMDY2QjRFdTkwSzQrcFNlckNqZUZTMG94YjUrZWNQcDdqV2xvRmdmUkVqRTREQ3FzTkNVcDJoQXByRGJmM0p0aENYQ001QWF1aFV3SWVobmZ2UlUxYmJrTUhFdFV6VW00U1lldVdjYUNuZDFnPT0&amp;gad_source=1&amp;gad_campaignid=22538381202&amp;gbraid=0AAAAACoEtRm93uMet03fddB69E4WwicQ2&amp;gclid=CjwKCAjwlaTGBhANEiwAoRgXBRCab0-2Zi74L2qvji0WR7jkkqjSFfsOcNGYE7q2Plnm9ZuGJPebiRoCCZcQAvD_BwE</t>
  </si>
  <si>
    <t>https://www.mercadolivre.com.br/kit-10-pcs-colete-futebol-tecido-helanquinha-dry-eventos-cor-vermelhoxroyal/p/MLB36428154?pdp_filters=item_id%3AMLB5346766058&amp;from=gshop&amp;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735128188&amp;matt_product_id=MLB36428154-product&amp;matt_product_partition_id=2429959781261&amp;matt_target_id=aud-1966489759667:pla-2429959781261&amp;cq_src=google_ads&amp;cq_cmp=22603531562&amp;cq_net=g&amp;cq_plt=gp&amp;cq_med=pla&amp;gad_source=1&amp;gad_campaignid=22603531562&amp;gbraid=0AAAAAD93qcAQlRMWitQEzLA3Y1rGOMPZ_&amp;gclid=CjwKCAjwlaTGBhANEiwAoRgXBW89XM3Qp5d8bmJFdJcmUShyjIyiPN6Ej3Aj9gIMftuXzLbwqrZSoRoCt3AQAvD_BwE</t>
  </si>
  <si>
    <t>https://produto.mercadolivre.com.br/MLB-2149240981-jogo-de-10-colete-dupla-face-_JM?matt_tool=45821161&amp;matt_internal_campaign_id=&amp;matt_word=&amp;matt_source=google&amp;matt_campaign_id=22090354238&amp;matt_ad_group_id=173090543916&amp;matt_match_type=&amp;matt_network=g&amp;matt_device=c&amp;matt_creative=727882728219&amp;matt_keyword=&amp;matt_ad_position=&amp;matt_ad_type=pla&amp;matt_merchant_id=687240661&amp;matt_product_id=MLB2149240981&amp;matt_product_partition_id=2387641794646&amp;matt_target_id=aud-1966489759667:pla-2387641794646&amp;cq_src=google_ads&amp;cq_cmp=22090354238&amp;cq_net=g&amp;cq_plt=gp&amp;cq_med=pla&amp;gad_source=1&amp;gad_campaignid=22090354238&amp;gbraid=0AAAAAD93qcB7-YqZWwaEuormDcoKVKHO5&amp;gclid=CjwKCAjwlaTGBhANEiwAoRgXBfnKeveeXHtj5KhYqVLQT1m028lIhXY_qHjh23F5GRx_5DYouBrjBRoClw8QAvD_BwE</t>
  </si>
  <si>
    <t>https://www.mercadolivre.com.br/bola-basquete-n7-preto-dourado-resistente-rua-treino-jogo/p/MLB50491869?pdp_filters=item_id:MLB5455215504#is_advertising=true&amp;searchVariation=MLB50491869&amp;backend_model=search-backend&amp;position=2&amp;search_layout=grid&amp;type=pad&amp;tracking_id=e74b330c-f991-4574-b653-6b7f290d6c3a&amp;ad_domain=VQCATCORE_LST&amp;ad_position=2&amp;ad_click_id=MDRjOGY4ZGMtY2FkYS00ZDBiLTk5ZmItZGZlZDVjODYyNTll</t>
  </si>
  <si>
    <t>https://www.wilsonloja.com.br/products/bola-de-basquete-nba-authentic-series-outdoor-7</t>
  </si>
  <si>
    <t>https://www.penalty.com.br/bola-basquete-stadium-xxiii/p?property__Cor=Laranja</t>
  </si>
  <si>
    <t>https://www.penalty.com.br/bola-de-futsal-stadium-arena-xxii/p?idsku=7644&amp;srsltid=AfmBOooz_rNTdbUDtm4nxLh-TNyDM-Fw9L96zrx2h4L6MbsvjXXEi9fspLs</t>
  </si>
  <si>
    <t>https://www.decathlon.com.br/bola-de-futsal-club-fifa-basic/p?idsku=2147145492&amp;srsltid=AfmBOoqxGJIlfrgz4GeFhWKa8zyf4OUk3Et_fA4vkz91qzKLwipDNU0nxSU</t>
  </si>
  <si>
    <t>https://www.amazon.com.br/BOLA-FUTSAL-RX-200-XXIII/dp/B0BV3HV7L6?source=ps-sl-shoppingads-lpcontext&amp;ref_=fplfs&amp;smid=A1ZZFT5FULY4LN&amp;th=1&amp;psc=1</t>
  </si>
  <si>
    <t>https://produto.mercadolivre.com.br/MLB-4106586382-chuteira-futebol-society-suico-umbro-original-_JM?searchVariation=188776172691#is_advertising=true&amp;searchVariation=188776172691&amp;backend_model=search-backend&amp;position=1&amp;search_layout=grid&amp;type=pad&amp;tracking_id=a4fe7882-82b9-4196-84b7-460dc167c4d4&amp;ad_domain=VQCATCORE_LST&amp;ad_position=1&amp;ad_click_id=Yjg3ZDBmODUtNDYyMS00NGY2LTkzM2QtMWZkN2NhN2U5YjI0</t>
  </si>
  <si>
    <t>https://www.amazon.com.br/Chuteira-Society-Penalty-Bravo-Y-3-0/dp/B0CSZT63F9/ref=asc_df_B0CSZT63F9?mcid=3068c4813831362cad710f7d60b7ffb5&amp;tag=googleshopp00-20&amp;linkCode=df0&amp;hvadid=709881302820&amp;hvpos=&amp;hvnetw=g&amp;hvrand=17155716636357450912&amp;hvpone=&amp;hvptwo=&amp;hvqmt=&amp;hvdev=c&amp;hvdvcmdl=&amp;hvlocint=&amp;hvlocphy=1001629&amp;hvtargid=pla-2368805769730&amp;language=pt_BR&amp;gad_source=1&amp;th=1&amp;psc=1</t>
  </si>
  <si>
    <t>https://www.centauro.com.br/chuteira-society-umbro-class-footballer-993971.html?cor=3L&amp;gad_source=1&amp;gad_campaignid=21694300799&amp;gclid=CjwKCAjwlaTGBhANEiwAoRgXBa1nUnlTGWeXujRIvQQf3pTTqq5KdgibAP7WZEs7yo25P5yuF8XpfxoC3p8QAvD_BwE&amp;utm_referrer=https://www.google.com/</t>
  </si>
  <si>
    <t>https://produto.mercadolivre.com.br/MLB-4614137976-chuteira-futsal-umb-salo-quadra-rebelc-tnis-de-futebol-_JM?searchVariation=182510647441#polycard_client=search-nordic&amp;searchVariation=182510647441&amp;search_layout=grid&amp;position=5&amp;type=item&amp;tracking_id=b3ec4384-e48a-4533-845f-246d26665186</t>
  </si>
  <si>
    <t>https://www.amazon.com.br/Chuteira-Topper-Dominator-Masculino-Marinho/dp/B0B43Y9H3F/ref=asc_df_B0B43Y9H3F?mcid=f4837dc3343b31819887bf6bce8395ba&amp;tag=googleshopp00-20&amp;linkCode=df0&amp;hvadid=709901289790&amp;hvpos=&amp;hvnetw=g&amp;hvrand=1366145012682165747&amp;hvpone=&amp;hvptwo=&amp;hvqmt=&amp;hvdev=c&amp;hvdvcmdl=&amp;hvlocint=&amp;hvlocphy=1001629&amp;hvtargid=pla-1878806711715&amp;language=pt_BR&amp;gad_source=1&amp;th=1&amp;psc=1</t>
  </si>
  <si>
    <t>https://www.centauro.com.br/chuteira-de-futsal-nike-beco-2-646433-829551.html?cor=3Q&amp;gad_source=1&amp;gad_campaignid=22996173744&amp;gclid=CjwKCAjwlaTGBhANEiwAoRgXBVZcyCo_gh51aAnAMutjRMK1UeLOGOIz-I7sMfvasJm4KaU1Z97LWBoCfTEQAvD_BwE&amp;utm_referrer=https://www.google.com/</t>
  </si>
  <si>
    <t>https://www.decathlon.com.br/raquete-de-beach-tenis-iniciante-btr190-cinza-8602555-sandever/p?idsku=2147093420&amp;srsltid=AfmBOooP0tm-m6zNu4ody5nLafkz_HJBiF_dmQlLHInAEWMT-l3XTzDzbcA</t>
  </si>
  <si>
    <t>https://www.amazon.com.br/Raquete-Tennis-Profissional-Carbono-Protetora/dp/B0BRBJ3X2B/ref=asc_df_B0BRBJ3X2B?mcid=7288d77b956432ae92d5ad1457dc7e11&amp;tag=googleshopp00-20&amp;linkCode=df0&amp;hvadid=709857069996&amp;hvpos=&amp;hvnetw=g&amp;hvrand=11738331843584570443&amp;hvpone=&amp;hvptwo=&amp;hvqmt=&amp;hvdev=c&amp;hvdvcmdl=&amp;hvlocint=&amp;hvlocphy=1001629&amp;hvtargid=pla-1944554022894&amp;psc=1&amp;language=pt_BR&amp;gad_source=1</t>
  </si>
  <si>
    <t>https://www.mercadolivre.com.br/kit-raquete-beach-tennis-lilas-bt100-480615-bel-2-e-1-bolinha-seu-primero-beach-tennis/p/MLB27945755?pdp_filters=item_id%3AMLB4856490832&amp;from=gshop&amp;matt_tool=63319127&amp;matt_internal_campaign_id=&amp;matt_word=&amp;matt_source=google&amp;matt_campaign_id=22090193885&amp;matt_ad_group_id=174661972924&amp;matt_match_type=&amp;matt_network=g&amp;matt_device=c&amp;matt_creative=727914180238&amp;matt_keyword=&amp;matt_ad_position=&amp;matt_ad_type=pla&amp;matt_merchant_id=735098660&amp;matt_product_id=MLB27945755-product&amp;matt_product_partition_id=2390507353398&amp;matt_target_id=aud-1966489759667:pla-2390507353398&amp;cq_src=google_ads&amp;cq_cmp=22090193885&amp;cq_net=g&amp;cq_plt=gp&amp;cq_med=pla&amp;gad_source=1&amp;gad_campaignid=22090193885&amp;gbraid=0AAAAAD93qcDw7TGi_PlzdINzsfRtyua3J&amp;gclid=CjwKCAjwlaTGBhANEiwAoRgXBSdJ-4AzkARi6J6W2yq0YfyLx5ff3DHdNwlRLoUEBpwf7AhQh-MjnRoCdUsQAvD_BwE</t>
  </si>
  <si>
    <t>https://www.dropshot.com.br/bola-de-beach-tennis-drop-shot-bola-oficial?variation=13580024&amp;gad_source=1&amp;gad_campaignid=22291089788&amp;gbraid=0AAAAAoetDvSMDweQ063a5xl8euYpA75uA&amp;gclid=CjwKCAjwlaTGBhANEiwAoRgXBS31VkEe72rUSC-9cuqh3W0vtm3nHFMbc3XDkYDzeeUobuk43RNmlhoCX4MQAvD_BwE</t>
  </si>
  <si>
    <t>https://www.penalty.com.br/pack-3-bolinhas-beach-tennis/p?idsku=8599&amp;utm_source=googleads&amp;utm_medium=pmax&amp;utm_campaign=E-COMM+PMAX+EQUIPAMENTOS&amp;utm_term=pmax&amp;gad_source=1&amp;gad_campaignid=19100820129&amp;gbraid=0AAAAADuQokT6UBmunfNOXKJzaMDUda7wp&amp;gclid=CjwKCAjwlaTGBhANEiwAoRgXBTWQcCawr_yKN-6076yrpXN-jIgQPi5puO8m-Wh5BO_YM6aUOJeo1hoCgbAQAvD_BwE</t>
  </si>
  <si>
    <t>https://www.amazon.com.br/Penalty-Bolinhas-Beach-Tennis-675496-2800-u3/dp/B0BZZXBL9B/ref=asc_df_B0BZZXBL9B?mcid=c4c7951f88813e34bee8cab3405ce7f5&amp;tag=googleshopp00-20&amp;linkCode=df0&amp;hvadid=709857069996&amp;hvpos=&amp;hvnetw=g&amp;hvrand=3417142694436139573&amp;hvpone=&amp;hvptwo=&amp;hvqmt=&amp;hvdev=c&amp;hvdvcmdl=&amp;hvlocint=&amp;hvlocphy=1001629&amp;hvtargid=pla-2201892071428&amp;language=pt_BR&amp;gad_source=1&amp;th=1</t>
  </si>
  <si>
    <t>https://produto.mercadolivre.com.br/MLB-1826997225-rede-mult-sports-95m-beach-tennis-volei-praia-futvolei-_JM?matt_tool=63319127&amp;matt_internal_campaign_id=&amp;matt_word=&amp;matt_source=google&amp;matt_campaign_id=22090193885&amp;matt_ad_group_id=174661973164&amp;matt_match_type=&amp;matt_network=g&amp;matt_device=c&amp;matt_creative=727914180367&amp;matt_keyword=&amp;matt_ad_position=&amp;matt_ad_type=pla_with_promotion&amp;matt_merchant_id=283654412&amp;matt_product_id=MLB1826997225&amp;matt_product_partition_id=2387649418922&amp;matt_target_id=aud-1966489759667:pla-2387649418922&amp;cq_src=google_ads&amp;cq_cmp=22090193885&amp;cq_net=g&amp;cq_plt=gp&amp;cq_med=pla_with_promotion&amp;gad_source=1&amp;gad_campaignid=22090193885&amp;gbraid=0AAAAAD93qcD6wuUYNmMZE88rkaI5XUPba&amp;gclid=Cj0KCQjw_rPGBhCbARIsABjq9ccUFR0MRF7ERKUL1YjpQRjzpcUuv0n9GU0ns4O-cMHz5qqMDQlOd38aAnH3EALw_wcB</t>
  </si>
  <si>
    <t>https://www.amazon.com.br/Rede-Beach-Tennis-Oficial-Preta/dp/B0CLDNPJYN/ref=asc_df_B0CLDNPJYN?mcid=c3652f3bd3b73229bd1158308b2ad200&amp;tag=googleshopp00-20&amp;linkCode=df0&amp;hvadid=709857070044&amp;hvpos=&amp;hvnetw=g&amp;hvrand=11763812691990045117&amp;hvpone=&amp;hvptwo=&amp;hvqmt=&amp;hvdev=c&amp;hvdvcmdl=&amp;hvlocint=&amp;hvlocphy=1001629&amp;hvtargid=pla-2273993299602&amp;psc=1&amp;language=pt_BR&amp;gad_source=1</t>
  </si>
  <si>
    <t>https://produto.mercadolivre.com.br/MLB-5458741470-rede-multisport-beach-tennis-futevlei-vlei-de-praia-95m-_JM?matt_tool=45821161&amp;matt_internal_campaign_id=&amp;matt_word=&amp;matt_source=google&amp;matt_campaign_id=22090354238&amp;matt_ad_group_id=173090544916&amp;matt_match_type=&amp;matt_network=g&amp;matt_device=c&amp;matt_creative=727882728378&amp;matt_keyword=&amp;matt_ad_position=&amp;matt_ad_type=pla&amp;matt_merchant_id=5644308622&amp;matt_product_id=MLB5458741470&amp;matt_product_partition_id=2387649418962&amp;matt_target_id=aud-1966489759667:pla-2387649418962&amp;cq_src=google_ads&amp;cq_cmp=22090354238&amp;cq_net=g&amp;cq_plt=gp&amp;cq_med=pla&amp;gad_source=1&amp;gad_campaignid=22090354238&amp;gbraid=0AAAAAD93qcDEhDCIzD1JP3eNoAswfZZOY&amp;gclid=Cj0KCQjw_rPGBhCbARIsABjq9cdjVAetSvWG1yH6uNpgO2DlJ8XLIdb3hCVCM6Jj9f6ZNwwJUtIfTk8aAp1wEALw_wcB</t>
  </si>
  <si>
    <t>https://produto.mercadolivre.com.br/MLB-2763997494-poste-com-regulagens-para-vlei-futevlei-e-beach-tennis-_JM?matt_tool=23151128&amp;matt_internal_campaign_id=301049139&amp;matt_word=&amp;matt_source=google&amp;matt_campaign_id=22060114741&amp;matt_ad_group_id=184638498604&amp;matt_match_type=&amp;matt_network=g&amp;matt_device=c&amp;matt_creative=766111236188&amp;matt_keyword=&amp;matt_ad_position=&amp;matt_ad_type=pla_with_promotion&amp;matt_merchant_id=283654412&amp;matt_product_id=MLB2763997494&amp;matt_product_partition_id=2435934760257&amp;matt_target_id=pla-2435934760257&amp;cq_src=google_ads&amp;cq_cmp=22060114741&amp;cq_net=g&amp;cq_plt=gp&amp;cq_med=pla_with_promotion&amp;gad_source=1&amp;gad_campaignid=22060114741&amp;gbraid=0AAAAAD93qcAwEcU87BBPse5gu-Nmmxwf8&amp;gclid=Cj0KCQjw_rPGBhCbARIsABjq9cdfn3Q9quM8qwgh6-AYRO1GufHLU-i1ybEK6is4YeyOrCcn11wqFg4aAg6mEALw_wcB</t>
  </si>
  <si>
    <t>https://www.azzureredes.com/regulagens/poste-de-beach-tennis-simples-profissional?parceiro=5136&amp;gad_source=1&amp;gad_campaignid=20918861689&amp;gbraid=0AAAAAo1ewtZ08vOgn5KuGzbv7LCW_grK_&amp;gclid=Cj0KCQjw_rPGBhCbARIsABjq9cfMQMydSCmmXLmggIw7zzxb9l-PEIcYtBTdDoLIVMH_SkwbBsJy1cUaAmP7EALw_wcB</t>
  </si>
  <si>
    <t>https://produto.mercadolivre.com.br/MLB-2178711723-poste-para-vlei-futevlei-beach-tennis-com-reg-de-altura-_JM?searchVariation=174853231662#is_advertising=true&amp;searchVariation=174853231662&amp;backend_model=search-backend&amp;position=1&amp;search_layout=stack&amp;type=pad&amp;tracking_id=67581d4d-a484-46eb-897f-3c793a0d8d4d&amp;ad_domain=VQCATCORE_LST&amp;ad_position=1&amp;ad_click_id=ZjIxZDdlMmItNjdlMC00NmEyLWFlODEtYWI2ZTlkZmI1ZDQw</t>
  </si>
  <si>
    <t>Depreciação 1 ano</t>
  </si>
  <si>
    <t xml:space="preserve"> R$                      -   </t>
  </si>
  <si>
    <t xml:space="preserve">Depreciação 3 anos </t>
  </si>
  <si>
    <t>#############</t>
  </si>
  <si>
    <t>Depreciação 5 anos</t>
  </si>
  <si>
    <t>Depreciação 15 anos</t>
  </si>
  <si>
    <t>P4</t>
  </si>
  <si>
    <t>P5</t>
  </si>
  <si>
    <t>P6</t>
  </si>
  <si>
    <t>R$ TOTAL</t>
  </si>
  <si>
    <t>https://akkarnautica.com.br/products/motor-de-popa-mercury-150hp-150-l-3-0l-efi-4-stk-pro-xs-rabeta-20-4-tempos-com-power-trim?variant=45105422598315&amp;country=BR&amp;currency=BRL&amp;utm_medium=product_sync&amp;utm_source=google&amp;utm_content=sag_organic&amp;utm_campaign=sag_organic&amp;gad_source=4&amp;gad_campaignid=22484950286&amp;gbraid=0AAAAA_YNA4eKvwb-t6jCfjP3d_JCHRD48&amp;gclid=CjwKCAjw89jGBhB0EiwA2o1On1_LEySwj1zINZk2iVWqgukmA9T4Y_pZu8h6Q4t7JkUVXTYG-bgQ6RoCQI8QAvD_BwE</t>
  </si>
  <si>
    <t>R$ 2.569,005</t>
  </si>
  <si>
    <t>https://www.pescaca.com.br/motores-de-popa-mercury/65-a-150hp/motor-mercury-150hp-4-tempos-partida-eletrica?parceiro=3100&amp;gad_source=4&amp;gad_campaignid=22245237063&amp;gbraid=0AAAAApFPEBu4W5FxtnVUaRiST2LszhQ-0&amp;gclid=CjwKCAjw89jGBhB0EiwA2o1On_N4GeusszIKBxBmMRvmqkJbWfDrUgZhzZOuPlEYCXp_EcmbWeCD9RoC-QEQAvD_BwE</t>
  </si>
  <si>
    <t>https://www.martinellimotores.com.br/motor-de-popa-mercury-150hp-pro-xs-4-tempos-preco-produtor-rural-e-pj?utm_source=Site&amp;utm_medium=GoogleMerchant&amp;utm_campaign=GoogleMerchant&amp;gad_source=4&amp;gad_campaignid=9105436307&amp;gbraid=0AAAAACf7FYHqSySVgFhZfiV3AGoebbvCh&amp;gclid=CjwKCAjw89jGBhB0EiwA2o1Onyotrrq91PpDK_uP1s7tDp0He2lTk_kt6peOg2PpQxBgTbN5xKh6KhoC8UkQAvD_BwE</t>
  </si>
  <si>
    <t>https://www.sportnautica.net/motores/popa/4-tempos/motor-de-popa-150hp-l-3-0l-efi-sea-pro-4t-mercury?parceiro=4051</t>
  </si>
  <si>
    <t>https://www.shoppingmaritimo.com.br/motores/motor-de-popa-mercury-150hp-elpt-3-0l-sea-pro-efi-branco-2025-0km?parceiro=3&amp;gad_source=4&amp;gad_campaignid=17336056032&amp;gbraid=0AAAAADE55Ty9wJOoDoAXLedLYzFmqwA3_&amp;gclid=CjwKCAjw89jGBhB0EiwA2o1Onxf6woJuuEROEBn9jWN_aPFMx_63xv9iF675J-hIj0aiudg7XyfvuBoC48wQAvD_BwE</t>
  </si>
  <si>
    <t>https://www.pescaca.com.br/motores-de-popa-mercury/65-a-150hp/motor-mercury-150-pro-xs-4-tempos-partida-eletrica?parceiro=3100</t>
  </si>
  <si>
    <t>https://produto.mercadolivre.com.br/MLB-3491164353-bebedouro-agua-industrial-blue-bebedouros-100l-coluna-liso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255111e1171d19bc881e7919e87227c5&amp;utm_source=bing&amp;utm_medium=cpc&amp;utm_campaign=MLB_ML_BING_AO_HOME%20%26%20INDUSTRY-ALL-ALL_X_PLA_ALLB_TXS_ALL&amp;utm_term=4581252654962817&amp;utm_content=HOME%20%26%20INDUSTRY</t>
  </si>
  <si>
    <t>https://www.dufrio.com.br/bebedouro-industrial-de-coluna-frisbel-100-litros-2-torneiras-gelada-e-1-natural-inox-110v.html?msclkid=09914d5b0a4b1b459e8925a3f524b664&amp;utm_source=bing&amp;utm_medium=cpc&amp;utm_campaign=%5BBR%5D%20PLA_Bing_DDG%20-%20MARCAS%20-%20eCPC&amp;utm_term=4575892548800666&amp;utm_content=Todos%20Bing%20-%20MARCAS%20-%20BR</t>
  </si>
  <si>
    <t>https://www.mercadolivre.com.br/bebedouro-industrial-25l-refrigerador-coluna-inox-2-torneira-cor-prateado/p/MLB58980854#polycard_client=search-nordic&amp;search_layout=grid&amp;position=4&amp;type=product&amp;tracking_id=c6fb3e89-692c-4bcc-98d6-b7d29e19f632&amp;wid=MLB5768590654&amp;sid=search</t>
  </si>
  <si>
    <t>https://produto.mercadolivre.com.br/MLB-5066158420-bebedouro-industrial-para-igreja-academia-empresa-comercio-_JM?searchVariation=181684800172#is_advertising=true&amp;searchVariation=181684800172&amp;backend_model=search-backend&amp;position=10&amp;search_layout=grid&amp;type=pad&amp;tracking_id=c6fb3e89-692c-4bcc-98d6-b7d29e19f632&amp;ad_domain=VQCATCORE_LST&amp;ad_position=10&amp;ad_click_id=YzI5YWE3MGYtN2UwZi00YzNiLTg2ODEtMGY4YjQ3MmMwODk5</t>
  </si>
  <si>
    <t>https://produto.mercadolivre.com.br/MLB-3467115143-bebedouro-de-agua-ind-25l-gira-bebedouros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98954a717c5c1ea4132b2289837b2823&amp;utm_source=bing&amp;utm_medium=cpc&amp;utm_campaign=MLB_ML_BING_AO_HOME%20%26%20INDUSTRY-ALL-ALL_X_PLA_ALLB_TXS_ALL&amp;utm_term=4581252654962815&amp;utm_content=HOME%20%26%20INDUSTRY</t>
  </si>
  <si>
    <t>https://produto.mercadolivre.com.br/MLB-3970006060-bebedouro-de-agua-100-litros-industrial-3-torneiras-frisbel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3d4db10f6de11d07895ad9f66c20f888&amp;utm_source=bing&amp;utm_medium=cpc&amp;utm_campaign=MLB_ML_BING_AO_HOME%20%26%20INDUSTRY-ALL-ALL_X_PLA_ALLB_TXS_ALL&amp;utm_term=4581252654962817&amp;utm_content=HOME%20%26%20INDUSTRY</t>
  </si>
  <si>
    <t>Depreciação 10</t>
  </si>
  <si>
    <t>Catracas faciais</t>
  </si>
  <si>
    <t>Catraca Facial De Acesso 3mil Face Academia | Parcelamento sem juros</t>
  </si>
  <si>
    <t>Catraca Facial + Academia + Mais Vendida + 1 Ano De Garantia | Parcelamento sem juros</t>
  </si>
  <si>
    <t>Catraca Ponto System V7 Facial Com Software | Parcelamento sem juros</t>
  </si>
  <si>
    <t>Catraca De Acesso Facial E Cartão Proximidade | Parcelamento sem juros</t>
  </si>
  <si>
    <t>Catraca Revolution 4 Topdata Facial | MercadoLivre</t>
  </si>
  <si>
    <t>Catraca Facial Controlid Idblock Next Com Duas Leitoras | Parcelamento sem juros</t>
  </si>
  <si>
    <t>Catracas com Leitor Facial para Controle Seguro | CATRACA TONIQUETE FACIAL</t>
  </si>
  <si>
    <t>Controle de Acesso | Intelbras</t>
  </si>
  <si>
    <t>Catraca iDBlock Next BQC com iDFace | Control iD</t>
  </si>
  <si>
    <t>Aux. BDI</t>
  </si>
  <si>
    <t>Tipo de Obra</t>
  </si>
  <si>
    <t>Construção de edifícios</t>
  </si>
  <si>
    <t>Regime tributário</t>
  </si>
  <si>
    <t>Lucro Presumido</t>
  </si>
  <si>
    <t>Cálculo do BDI</t>
  </si>
  <si>
    <t>Acórdão  2622/2013-TCU</t>
  </si>
  <si>
    <t>Valores para Construção de Edifícios - Acórdão 2622/2013 - TCU</t>
  </si>
  <si>
    <t>1º Quartil</t>
  </si>
  <si>
    <t>Médio</t>
  </si>
  <si>
    <t>3º Quartil</t>
  </si>
  <si>
    <t>Conversão CPRB (%)</t>
  </si>
  <si>
    <t>Administração Central</t>
  </si>
  <si>
    <t>Seguro+Garatias</t>
  </si>
  <si>
    <t>Risco</t>
  </si>
  <si>
    <t>Despesa Financeira</t>
  </si>
  <si>
    <t>Lucro</t>
  </si>
  <si>
    <t>Valores para Itens de mero fornecimento de Material e Equipamentos - Acórdão 2622/2013 - TCU</t>
  </si>
  <si>
    <t>Parâmetro do BDI por tipo de Obra</t>
  </si>
  <si>
    <t>Valores</t>
  </si>
  <si>
    <t>Parâmetro do BDI para mero fornecimento de materiais e equipamentos</t>
  </si>
  <si>
    <t>DESCRIÇÃO</t>
  </si>
  <si>
    <t>Valor Geral (%)</t>
  </si>
  <si>
    <t>Valor Equipamento (%)</t>
  </si>
  <si>
    <t>Despesas indiretas</t>
  </si>
  <si>
    <t>DI</t>
  </si>
  <si>
    <t>AC</t>
  </si>
  <si>
    <t>Despesas Financeiras</t>
  </si>
  <si>
    <t>DF</t>
  </si>
  <si>
    <t>Seguros+Garantias</t>
  </si>
  <si>
    <t>S+G</t>
  </si>
  <si>
    <t>Riscos</t>
  </si>
  <si>
    <t>R</t>
  </si>
  <si>
    <t> </t>
  </si>
  <si>
    <t>Benefícios</t>
  </si>
  <si>
    <t>B</t>
  </si>
  <si>
    <t>L</t>
  </si>
  <si>
    <t>Tributos</t>
  </si>
  <si>
    <t>T</t>
  </si>
  <si>
    <t>ISS</t>
  </si>
  <si>
    <t>I</t>
  </si>
  <si>
    <t>Obs: ISS não se aplica no BDI diferenciado por se tratar de mero fornecimento, não envolve mão de obra de aplicação.</t>
  </si>
  <si>
    <t>PIS</t>
  </si>
  <si>
    <t>COFINS</t>
  </si>
  <si>
    <t>CPRB</t>
  </si>
  <si>
    <t>BDI (%)</t>
  </si>
  <si>
    <t>a) Tribunal de Contas da União -  Acórdão 2622/2013</t>
  </si>
  <si>
    <t>b) ISS conforme a Lei Complementar 116/2003 e a Lei 027/2022 da Prefeitura Municipal de Corrente</t>
  </si>
  <si>
    <t>S</t>
  </si>
  <si>
    <t>Seguro</t>
  </si>
  <si>
    <t>G</t>
  </si>
  <si>
    <t>Garantia</t>
  </si>
  <si>
    <t>Imposto</t>
  </si>
  <si>
    <t>Custo de Capital (WACC)</t>
  </si>
  <si>
    <t>Parâmetros de Valuation</t>
  </si>
  <si>
    <t xml:space="preserve">Variável </t>
  </si>
  <si>
    <t>Fonte de Dados</t>
  </si>
  <si>
    <t>Observação</t>
  </si>
  <si>
    <t xml:space="preserve">Risk Free (USA) </t>
  </si>
  <si>
    <t>Histórico Risco País</t>
  </si>
  <si>
    <t>MEDIANA</t>
  </si>
  <si>
    <t>FOCUS</t>
  </si>
  <si>
    <t>Média Geom.</t>
  </si>
  <si>
    <t>Risk Free (USA)</t>
  </si>
  <si>
    <t>Rf</t>
  </si>
  <si>
    <t>We</t>
  </si>
  <si>
    <t>Base Dados Damodaran - Equity</t>
  </si>
  <si>
    <t xml:space="preserve">Coluna 5 - Média Ponderada: Categorias entretenimento, recreação, restaurante e publicidade </t>
  </si>
  <si>
    <t>Damodaran</t>
  </si>
  <si>
    <t>10 year US treasury - 01/06/2025 em "ERP in 2025" ou T bond. Rate (Coluna C)  em 01/05/2025</t>
  </si>
  <si>
    <t>Beta desalavancado</t>
  </si>
  <si>
    <t>βd</t>
  </si>
  <si>
    <t>Wd</t>
  </si>
  <si>
    <t>Base Dados Damodaran - Debt</t>
  </si>
  <si>
    <t xml:space="preserve">Coluna 6 - Média Ponderada: Categorias entretenimento, recreação, restaurante e publicidade </t>
  </si>
  <si>
    <t>Kroll</t>
  </si>
  <si>
    <t>Recommended U.S. Equity Risk Premium and Corresponding Risk-Free Rates (kroll.com)</t>
  </si>
  <si>
    <t>D / E</t>
  </si>
  <si>
    <t xml:space="preserve">Base de Dados Damodaran - Betas </t>
  </si>
  <si>
    <t>Beta alavancado</t>
  </si>
  <si>
    <t>βa</t>
  </si>
  <si>
    <t>Damodaran e Kroll consultoria</t>
  </si>
  <si>
    <t>Valor máximo entre as indicações</t>
  </si>
  <si>
    <t xml:space="preserve">Beta Desalavancado </t>
  </si>
  <si>
    <t xml:space="preserve">Unlevered Beta - Coluna F - entretenimento, recreação, restaurante e publicidade </t>
  </si>
  <si>
    <t>Risk Premium</t>
  </si>
  <si>
    <t>ERP</t>
  </si>
  <si>
    <t>Média entre as indicações</t>
  </si>
  <si>
    <t>Betas</t>
  </si>
  <si>
    <t>Country Risk</t>
  </si>
  <si>
    <t>Rc</t>
  </si>
  <si>
    <t xml:space="preserve">Rc </t>
  </si>
  <si>
    <t>IPEA DATA - Mediana Risco País - ultimos 12 meses disponíveis (31 ago 2023 a 31 jul 2024);  Damoradaran</t>
  </si>
  <si>
    <t>Máximo entre os valores indicados</t>
  </si>
  <si>
    <t>Entretenimento</t>
  </si>
  <si>
    <t>Ke em US$</t>
  </si>
  <si>
    <t>(=)Rf+βa*ERP+Rc</t>
  </si>
  <si>
    <t>Base de Dados Damodan  - Corporate Tax Rate</t>
  </si>
  <si>
    <t>IRPJ + CSLL</t>
  </si>
  <si>
    <t>Recreação</t>
  </si>
  <si>
    <t>Inflação longo prazo USA</t>
  </si>
  <si>
    <t>(f)</t>
  </si>
  <si>
    <t>h</t>
  </si>
  <si>
    <t>Parcela de juro real Fixa da TLP em Junho de 2025 + PrÊmio de Debêntures Urbia</t>
  </si>
  <si>
    <t>Taxa de Juros de Longo Prazo</t>
  </si>
  <si>
    <t>Restaurante</t>
  </si>
  <si>
    <t>Inflação longo prazo BR</t>
  </si>
  <si>
    <t>(g)</t>
  </si>
  <si>
    <t>Inflação Eua</t>
  </si>
  <si>
    <t xml:space="preserve">Inflação Histórica do EUA por ano </t>
  </si>
  <si>
    <t>CPI</t>
  </si>
  <si>
    <t>Diferencial de inflação</t>
  </si>
  <si>
    <t>d= (1+g)/(1+f)-1</t>
  </si>
  <si>
    <t xml:space="preserve">Inflação Brasil </t>
  </si>
  <si>
    <t>IPCA - IBGE e boletim focus</t>
  </si>
  <si>
    <t xml:space="preserve">Média Geométrica das expectativas de mercado </t>
  </si>
  <si>
    <t>Estrutura de capital</t>
  </si>
  <si>
    <t>Ke em R$</t>
  </si>
  <si>
    <t>p = Ke US$* d</t>
  </si>
  <si>
    <t>Metodologia SABESP</t>
  </si>
  <si>
    <t>Site Arsesp - Consultas-Audiencias-Publicas</t>
  </si>
  <si>
    <t>Pesquisar por "cálculo do custo médio ponderado de capital" no filtro por assunto</t>
  </si>
  <si>
    <t>D/E ratio - coluna D</t>
  </si>
  <si>
    <t>Pre Cost of debt</t>
  </si>
  <si>
    <t>We/Wd</t>
  </si>
  <si>
    <t>Income Tax Rate</t>
  </si>
  <si>
    <t>(i)</t>
  </si>
  <si>
    <t>Kd after taxes</t>
  </si>
  <si>
    <t>j=h*(1-i)</t>
  </si>
  <si>
    <t>Equity (We)</t>
  </si>
  <si>
    <t>k</t>
  </si>
  <si>
    <t>Debt (Wd)</t>
  </si>
  <si>
    <t>l</t>
  </si>
  <si>
    <t>WACC</t>
  </si>
  <si>
    <t>m = (p*k) + (j*l)</t>
  </si>
  <si>
    <t xml:space="preserve">Risk Premium </t>
  </si>
  <si>
    <t>ERP - 01/06/2025 em "ERP in 2025" ou ERP (T12 m)  - coluna i  01/06/2025 em Historical ERP</t>
  </si>
  <si>
    <t xml:space="preserve">Equity risk premium (ERP) COLUNA C -united states </t>
  </si>
  <si>
    <t>EMBI+</t>
  </si>
  <si>
    <t>Ipeadata -Mediana dos últimos 12 meses disponíveis</t>
  </si>
  <si>
    <t>Country risk premium - Coluna D</t>
  </si>
  <si>
    <t>Inflação BR</t>
  </si>
  <si>
    <t>Série Histórica</t>
  </si>
  <si>
    <t>Média da inflação acumulada em junho  (2024 e 2025), conforme o IBGE</t>
  </si>
  <si>
    <t>Focus Bacen</t>
  </si>
  <si>
    <t>Média Geométrica das expectativas de inflação conforme o Boletim focus, mantendo a expectativa de 2028 constante até o fim da concessão</t>
  </si>
  <si>
    <t>Inflação EUA</t>
  </si>
  <si>
    <t>IPC EUA | Inflação nos Estados Unidos - Investing.com</t>
  </si>
  <si>
    <t>Current and historic inflation in United States (CPI)</t>
  </si>
  <si>
    <t>Valor financiado</t>
  </si>
  <si>
    <t>parcelas</t>
  </si>
  <si>
    <t>Fonte:https://www.bnb.gov.br/fne-verde</t>
  </si>
  <si>
    <t>carencia</t>
  </si>
  <si>
    <t xml:space="preserve">Tx. Juros </t>
  </si>
  <si>
    <t>Prazo Total</t>
  </si>
  <si>
    <t>Ano da concessão</t>
  </si>
  <si>
    <t>Ano do empréstimo</t>
  </si>
  <si>
    <t>Prestação</t>
  </si>
  <si>
    <t xml:space="preserve">Amortização </t>
  </si>
  <si>
    <t>Juros acumulados</t>
  </si>
  <si>
    <t>Juros pagos no ano</t>
  </si>
  <si>
    <t xml:space="preserve">Saldo devedor </t>
  </si>
  <si>
    <t xml:space="preserve">Tributação sobre o Faturamento Bruto </t>
  </si>
  <si>
    <t xml:space="preserve">Faturamento Bruto </t>
  </si>
  <si>
    <t>Alíquota</t>
  </si>
  <si>
    <t>Total Receitas Diretas</t>
  </si>
  <si>
    <t xml:space="preserve">Impostos Indiretos </t>
  </si>
  <si>
    <t>ICMS</t>
  </si>
  <si>
    <t>Tributação sobre o Lucro</t>
  </si>
  <si>
    <t>Sobre Renda e Lucro</t>
  </si>
  <si>
    <t xml:space="preserve">Impostos diretos </t>
  </si>
  <si>
    <t xml:space="preserve">Base de Cálculo </t>
  </si>
  <si>
    <t>IRPJ</t>
  </si>
  <si>
    <t>IR</t>
  </si>
  <si>
    <t>Adicional (IRPJ)</t>
  </si>
  <si>
    <t xml:space="preserve">IR Adicional </t>
  </si>
  <si>
    <t>Limite Adicional (IRPJ)</t>
  </si>
  <si>
    <t>CSLL</t>
  </si>
  <si>
    <t xml:space="preserve">Base do IRPJ e CSLL  </t>
  </si>
  <si>
    <t>Limite de Prejuizo a Compensar</t>
  </si>
  <si>
    <t xml:space="preserve">Periodo de Apuração </t>
  </si>
  <si>
    <t>Tributação</t>
  </si>
  <si>
    <t>Impostos diretos</t>
  </si>
  <si>
    <t>Impostos indiretos</t>
  </si>
  <si>
    <t>Impostos totais</t>
  </si>
  <si>
    <t>Seguros</t>
  </si>
  <si>
    <t>Critério</t>
  </si>
  <si>
    <t>Valor segurado (Ano 1)</t>
  </si>
  <si>
    <t>Prêmio</t>
  </si>
  <si>
    <t>Garantia de Execução</t>
  </si>
  <si>
    <t>2,5% do valor do contrato</t>
  </si>
  <si>
    <t>Risco de engenharia</t>
  </si>
  <si>
    <t>100% do Capex com obras no ano</t>
  </si>
  <si>
    <t>Risco Operacional</t>
  </si>
  <si>
    <t>4% do Capex ativo</t>
  </si>
  <si>
    <t>Responsabilidade civil</t>
  </si>
  <si>
    <t>Garantia de execução</t>
  </si>
  <si>
    <t xml:space="preserve">    Valor do Contrato</t>
  </si>
  <si>
    <t xml:space="preserve">      % Contrato</t>
  </si>
  <si>
    <t xml:space="preserve">      %Prêmio</t>
  </si>
  <si>
    <t xml:space="preserve">       Prêmio Estimado</t>
  </si>
  <si>
    <t xml:space="preserve">Risco de engenharia </t>
  </si>
  <si>
    <r>
      <t>Custo Seguro R.E = (CAPEX * %Assegurado</t>
    </r>
    <r>
      <rPr>
        <b/>
        <i/>
        <vertAlign val="superscript"/>
        <sz val="8"/>
        <color theme="1"/>
        <rFont val="Arial"/>
        <family val="2"/>
      </rPr>
      <t xml:space="preserve"> (CAPEX)</t>
    </r>
    <r>
      <rPr>
        <b/>
        <i/>
        <sz val="8"/>
        <color theme="1"/>
        <rFont val="Arial"/>
        <family val="2"/>
      </rPr>
      <t xml:space="preserve"> * % Prêmio) * (1+%IOF)</t>
    </r>
  </si>
  <si>
    <t>%Assegurado</t>
  </si>
  <si>
    <t>%Prêmio</t>
  </si>
  <si>
    <t>IOF</t>
  </si>
  <si>
    <t>Custo Seguro R.E</t>
  </si>
  <si>
    <t>Risco operacional</t>
  </si>
  <si>
    <t>Custo Seguro R.O = %Prêmio*(Capex Ativo * % sobre o Capex ativo )</t>
  </si>
  <si>
    <t>Capex Ativo</t>
  </si>
  <si>
    <t>%sobre capex ativo</t>
  </si>
  <si>
    <t xml:space="preserve">Custo Seguro R.O </t>
  </si>
  <si>
    <t>Custo Seguro R.C = %Prêmio*(Capex Ativo * % sobre o Capex ativo )</t>
  </si>
  <si>
    <t>Custo Seguro R.C</t>
  </si>
  <si>
    <t>Value For Money</t>
  </si>
  <si>
    <t>Concessão de Uso</t>
  </si>
  <si>
    <t xml:space="preserve">WACC </t>
  </si>
  <si>
    <t>Remuneração do Poder Concedente</t>
  </si>
  <si>
    <t>Poder público não afetado</t>
  </si>
  <si>
    <t>Fiscalização da Agência Reguladora</t>
  </si>
  <si>
    <t>Entrada de Caixa</t>
  </si>
  <si>
    <t>Custos e despesas</t>
  </si>
  <si>
    <t>Saida de Caixa</t>
  </si>
  <si>
    <t>Contraprestação/Aportes</t>
  </si>
  <si>
    <t>Investimentos (Infraestrutura e equipamentos)</t>
  </si>
  <si>
    <t>Sobrecustos operacionais</t>
  </si>
  <si>
    <t>Sobrecustos de obras</t>
  </si>
  <si>
    <t>Custos com licitação de obras</t>
  </si>
  <si>
    <t>Impostos</t>
  </si>
  <si>
    <t>Fator de desconto</t>
  </si>
  <si>
    <t>PSC</t>
  </si>
  <si>
    <t>TLP</t>
  </si>
  <si>
    <t>Histórico da parcela fixa da TLP</t>
  </si>
  <si>
    <t>Saida de caixa</t>
  </si>
  <si>
    <t xml:space="preserve">Outorga </t>
  </si>
  <si>
    <t>Contraprestação/Aporte</t>
  </si>
  <si>
    <t>Sobrecusto/Desconto opção PSC</t>
  </si>
  <si>
    <t>Fonte:</t>
  </si>
  <si>
    <t>408196-study-on-cost-overruns.pdf</t>
  </si>
  <si>
    <t>Linha de Análise</t>
  </si>
  <si>
    <t>Concessão (A)</t>
  </si>
  <si>
    <t>PSC (B)</t>
  </si>
  <si>
    <t>Delta = A -B</t>
  </si>
  <si>
    <t>Resultados</t>
  </si>
  <si>
    <t xml:space="preserve">Total do modelo de contratação </t>
  </si>
  <si>
    <t>Cenário de delegação</t>
  </si>
  <si>
    <t>Delta positivo; A&gt;B</t>
  </si>
  <si>
    <t>OPEX Total</t>
  </si>
  <si>
    <t>Principais premissas</t>
  </si>
  <si>
    <t>(Junho/2025)</t>
  </si>
  <si>
    <t>Prazo da concessão</t>
  </si>
  <si>
    <t>Investimentos (CAPEX - Obra)</t>
  </si>
  <si>
    <t>R$ MI</t>
  </si>
  <si>
    <t>Investimentos (CAPEX Total)</t>
  </si>
  <si>
    <t>OPEX Médio anual</t>
  </si>
  <si>
    <t>R$ MI/ANO</t>
  </si>
  <si>
    <t xml:space="preserve">Outorga Variável anual </t>
  </si>
  <si>
    <t>ROB ano anterior (a.a)</t>
  </si>
  <si>
    <t>%a.a real</t>
  </si>
  <si>
    <t>Valuation</t>
  </si>
  <si>
    <t>TIR do projeto</t>
  </si>
  <si>
    <t>Mg. EBTIDA</t>
  </si>
  <si>
    <t xml:space="preserve">Mg. Liquída </t>
  </si>
  <si>
    <t>CAPEX INFRAESTRUTURA</t>
  </si>
  <si>
    <t>Discriminação das receitas</t>
  </si>
  <si>
    <t>Fluxo de caixa descontado livre da firma e VPL Acumulado</t>
  </si>
  <si>
    <t>Discriminação das despesas</t>
  </si>
  <si>
    <t xml:space="preserve">Composição das receitas </t>
  </si>
  <si>
    <t>Fluxo anual de visitantes</t>
  </si>
  <si>
    <t>Fluxo mensal de visitantes</t>
  </si>
  <si>
    <t>Fluxo diário de visitantes</t>
  </si>
  <si>
    <t>CAPEX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</si>
</sst>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8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-&quot;R$&quot;\ * #,##0_-;\-&quot;R$&quot;\ * #,##0_-;_-&quot;R$&quot;\ * &quot;-&quot;??_-;_-@_-"/>
    <numFmt numFmtId="167" formatCode="0.0"/>
    <numFmt numFmtId="168" formatCode="_-&quot;R$&quot;\ * #,##0.0_-;\-&quot;R$&quot;\ * #,##0.0_-;_-&quot;R$&quot;\ * &quot;-&quot;??_-;_-@_-"/>
    <numFmt numFmtId="169" formatCode="_-* #,##0.0_-;\-* #,##0.0_-;_-* &quot;-&quot;??_-;_-@_-"/>
    <numFmt numFmtId="170" formatCode="_-* #,##0.0_-;\-* #,##0.0_-;_-* &quot;-&quot;?_-;_-@_-"/>
    <numFmt numFmtId="171" formatCode="0.000%"/>
    <numFmt numFmtId="172" formatCode="#\ ###\ ###\ ###"/>
    <numFmt numFmtId="173" formatCode="#\ ###\ ###\ ##0"/>
    <numFmt numFmtId="174" formatCode="_-&quot;R$&quot;\ * #,##0.0000_-;\-&quot;R$&quot;\ * #,##0.0000_-;_-&quot;R$&quot;\ * &quot;-&quot;??_-;_-@_-"/>
    <numFmt numFmtId="175" formatCode="_-&quot;R$&quot;\ * #,##0.0000_-;\-&quot;R$&quot;\ * #,##0.0000_-;_-&quot;R$&quot;\ * &quot;-&quot;????_-;_-@_-"/>
    <numFmt numFmtId="176" formatCode="_(* #,##0.00_);_(* \(#,##0.00\);_(* \-??_);_(@_)"/>
    <numFmt numFmtId="177" formatCode="0.0000"/>
    <numFmt numFmtId="178" formatCode="_(&quot;$&quot;* #,##0.00_);_(&quot;$&quot;* \(#,##0.00\);_(&quot;$&quot;* &quot;-&quot;??_);_(@_)"/>
    <numFmt numFmtId="179" formatCode="0.000"/>
    <numFmt numFmtId="180" formatCode="0.00&quot; m²&quot;"/>
    <numFmt numFmtId="181" formatCode="&quot;R$&quot;\ #,##0.00"/>
    <numFmt numFmtId="182" formatCode="&quot;Ano&quot;\ 0"/>
    <numFmt numFmtId="183" formatCode="###\ ###\ ###\ ###\ ##0"/>
    <numFmt numFmtId="184" formatCode="_(* #,##0_);_(* \(#,##0\);_(* \-??_);_(@_)"/>
    <numFmt numFmtId="185" formatCode="0.0000000"/>
    <numFmt numFmtId="186" formatCode="_-* #,##0.000000_-;\-* #,##0.000000_-;_-* &quot;-&quot;??_-;_-@_-"/>
    <numFmt numFmtId="187" formatCode="0.000000"/>
    <numFmt numFmtId="188" formatCode="_-* #,##0.000000_-;\-* #,##0.000000_-;_-* &quot;-&quot;??????_-;_-@_-"/>
    <numFmt numFmtId="189" formatCode="0.000000000"/>
    <numFmt numFmtId="190" formatCode="0.00000"/>
    <numFmt numFmtId="191" formatCode="0\ &quot;m²&quot;"/>
    <numFmt numFmtId="192" formatCode="00\ &quot;m²&quot;"/>
    <numFmt numFmtId="193" formatCode="#,##0.000000000000"/>
    <numFmt numFmtId="194" formatCode="&quot;R$&quot;\ #,##0"/>
    <numFmt numFmtId="195" formatCode="&quot;R$&quot;\ #,##0.0"/>
    <numFmt numFmtId="196" formatCode="_(* #,##0.000_);_(* \(#,##0.000\);_(* \-??_);_(@_)"/>
    <numFmt numFmtId="197" formatCode="0.00000000000"/>
    <numFmt numFmtId="198" formatCode="0.000000000000000000000%"/>
  </numFmts>
  <fonts count="1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D9D9D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10"/>
      <name val="Arial"/>
      <family val="2"/>
    </font>
    <font>
      <sz val="10"/>
      <color rgb="FF0070C0"/>
      <name val="Courier New"/>
      <family val="3"/>
    </font>
    <font>
      <b/>
      <sz val="16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4"/>
      <name val="Arial"/>
      <family val="2"/>
    </font>
    <font>
      <b/>
      <sz val="9"/>
      <name val="Univers 45 Light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0"/>
      <name val="Calibri"/>
      <family val="2"/>
      <scheme val="minor"/>
    </font>
    <font>
      <sz val="7"/>
      <color rgb="FF000000"/>
      <name val="Verdana"/>
      <family val="2"/>
    </font>
    <font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80808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b/>
      <i/>
      <vertAlign val="superscript"/>
      <sz val="8"/>
      <color theme="1"/>
      <name val="Arial"/>
      <family val="2"/>
    </font>
    <font>
      <b/>
      <i/>
      <sz val="8"/>
      <color theme="1"/>
      <name val="Arial"/>
      <family val="2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Arial"/>
      <family val="2"/>
    </font>
    <font>
      <sz val="10"/>
      <color rgb="FF0000FF"/>
      <name val="Calibri"/>
      <family val="2"/>
    </font>
    <font>
      <sz val="11"/>
      <color rgb="FF000000"/>
      <name val="Calibri"/>
      <family val="2"/>
    </font>
    <font>
      <sz val="8"/>
      <color rgb="FFFFFFFF"/>
      <name val="Arial"/>
      <family val="2"/>
    </font>
    <font>
      <sz val="11"/>
      <color theme="0"/>
      <name val="Calibri"/>
      <family val="2"/>
      <scheme val="minor"/>
    </font>
    <font>
      <sz val="6"/>
      <name val="Univers 55"/>
      <family val="2"/>
    </font>
    <font>
      <b/>
      <sz val="8"/>
      <color rgb="FFFFFFFF"/>
      <name val="Arial"/>
      <family val="2"/>
    </font>
    <font>
      <u/>
      <sz val="8"/>
      <color theme="10"/>
      <name val="Arial"/>
      <family val="2"/>
    </font>
    <font>
      <sz val="8"/>
      <color rgb="FF242424"/>
      <name val="Arial"/>
      <family val="2"/>
    </font>
    <font>
      <b/>
      <sz val="8"/>
      <color theme="4" tint="-0.499984740745262"/>
      <name val="Arial"/>
      <family val="2"/>
    </font>
    <font>
      <b/>
      <sz val="9"/>
      <color theme="1"/>
      <name val="Arial"/>
      <family val="2"/>
    </font>
    <font>
      <b/>
      <sz val="8"/>
      <name val="Arial"/>
      <family val="2"/>
    </font>
    <font>
      <sz val="12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rgb="FF1A1D23"/>
      <name val="Arial"/>
      <family val="2"/>
    </font>
    <font>
      <b/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8"/>
      <color rgb="FF000000"/>
      <name val="Calibri"/>
      <family val="2"/>
    </font>
    <font>
      <b/>
      <i/>
      <sz val="10"/>
      <color theme="8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3"/>
      <color theme="1"/>
      <name val="Calibri"/>
      <family val="2"/>
      <charset val="1"/>
    </font>
    <font>
      <b/>
      <sz val="12"/>
      <color rgb="FF000000"/>
      <name val="Arial"/>
      <family val="2"/>
    </font>
    <font>
      <b/>
      <i/>
      <sz val="9"/>
      <color theme="1"/>
      <name val="Calibri"/>
      <family val="2"/>
      <scheme val="minor"/>
    </font>
    <font>
      <i/>
      <sz val="10"/>
      <color theme="1"/>
      <name val="Arial"/>
      <family val="2"/>
    </font>
    <font>
      <i/>
      <sz val="8"/>
      <color theme="1"/>
      <name val="Calibri"/>
      <family val="2"/>
      <scheme val="minor"/>
    </font>
    <font>
      <b/>
      <i/>
      <u/>
      <sz val="8"/>
      <color theme="8" tint="0.59999389629810485"/>
      <name val="Arial"/>
      <family val="2"/>
    </font>
    <font>
      <sz val="11"/>
      <color theme="2"/>
      <name val="Calibri"/>
      <family val="2"/>
      <scheme val="minor"/>
    </font>
    <font>
      <b/>
      <sz val="10"/>
      <color rgb="FF36495E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D0D0D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36495E"/>
        <bgColor indexed="64"/>
      </patternFill>
    </fill>
    <fill>
      <patternFill patternType="solid">
        <fgColor rgb="FF54687F"/>
        <bgColor indexed="64"/>
      </patternFill>
    </fill>
    <fill>
      <patternFill patternType="solid">
        <fgColor rgb="FF90A1B2"/>
        <bgColor indexed="64"/>
      </patternFill>
    </fill>
    <fill>
      <patternFill patternType="solid">
        <fgColor rgb="FFCAD3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1AAB1"/>
        <bgColor indexed="64"/>
      </patternFill>
    </fill>
    <fill>
      <patternFill patternType="solid">
        <fgColor rgb="FFACC6DF"/>
        <bgColor indexed="64"/>
      </patternFill>
    </fill>
    <fill>
      <patternFill patternType="solid">
        <fgColor rgb="FFDCE8F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88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6495E"/>
        <bgColor rgb="FF000000"/>
      </patternFill>
    </fill>
    <fill>
      <patternFill patternType="solid">
        <fgColor rgb="FFC8C8C8"/>
        <bgColor indexed="64"/>
      </patternFill>
    </fill>
    <fill>
      <patternFill patternType="solid">
        <fgColor rgb="FFB4B4B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1647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422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6" fontId="21" fillId="0" borderId="0" applyFill="0" applyBorder="0" applyAlignment="0" applyProtection="0"/>
    <xf numFmtId="0" fontId="25" fillId="0" borderId="0"/>
    <xf numFmtId="43" fontId="21" fillId="0" borderId="0" applyFon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19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9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0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3" fillId="22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1" fillId="32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29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51" fillId="0" borderId="0">
      <alignment horizontal="left" vertical="top" wrapText="1"/>
    </xf>
    <xf numFmtId="0" fontId="21" fillId="0" borderId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44" fontId="21" fillId="0" borderId="0" applyFont="0" applyFill="0" applyBorder="0" applyAlignment="0" applyProtection="0"/>
    <xf numFmtId="0" fontId="30" fillId="0" borderId="0" applyNumberFormat="0" applyBorder="0" applyProtection="0"/>
    <xf numFmtId="0" fontId="30" fillId="0" borderId="0" applyNumberFormat="0" applyBorder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1" fillId="0" borderId="0"/>
    <xf numFmtId="0" fontId="1" fillId="0" borderId="0"/>
    <xf numFmtId="0" fontId="28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9" fillId="22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42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4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5" fillId="0" borderId="45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4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47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1" fillId="0" borderId="0"/>
    <xf numFmtId="0" fontId="21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4" fillId="46" borderId="0" applyNumberFormat="0" applyAlignment="0" applyProtection="0"/>
    <xf numFmtId="9" fontId="76" fillId="47" borderId="0" applyNumberFormat="0" applyBorder="0" applyAlignment="0">
      <alignment vertical="center"/>
    </xf>
  </cellStyleXfs>
  <cellXfs count="941">
    <xf numFmtId="0" fontId="0" fillId="0" borderId="0" xfId="0"/>
    <xf numFmtId="0" fontId="2" fillId="0" borderId="0" xfId="0" applyFont="1"/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44" fontId="2" fillId="0" borderId="0" xfId="0" applyNumberFormat="1" applyFont="1"/>
    <xf numFmtId="12" fontId="2" fillId="0" borderId="0" xfId="0" applyNumberFormat="1" applyFont="1"/>
    <xf numFmtId="0" fontId="3" fillId="0" borderId="0" xfId="0" applyFont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44" fontId="7" fillId="5" borderId="0" xfId="1" applyFont="1" applyFill="1" applyAlignment="1">
      <alignment horizontal="center"/>
    </xf>
    <xf numFmtId="1" fontId="7" fillId="5" borderId="0" xfId="0" applyNumberFormat="1" applyFont="1" applyFill="1" applyAlignment="1">
      <alignment horizontal="center"/>
    </xf>
    <xf numFmtId="44" fontId="3" fillId="5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  <xf numFmtId="9" fontId="10" fillId="0" borderId="0" xfId="0" applyNumberFormat="1" applyFont="1" applyAlignment="1">
      <alignment horizontal="center"/>
    </xf>
    <xf numFmtId="10" fontId="10" fillId="0" borderId="0" xfId="3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/>
    <xf numFmtId="0" fontId="11" fillId="2" borderId="1" xfId="0" applyFont="1" applyFill="1" applyBorder="1" applyAlignment="1">
      <alignment horizontal="center"/>
    </xf>
    <xf numFmtId="9" fontId="3" fillId="0" borderId="0" xfId="3" applyFont="1"/>
    <xf numFmtId="44" fontId="2" fillId="0" borderId="0" xfId="1" applyFont="1"/>
    <xf numFmtId="165" fontId="2" fillId="0" borderId="0" xfId="3" applyNumberFormat="1" applyFont="1"/>
    <xf numFmtId="166" fontId="7" fillId="5" borderId="0" xfId="1" applyNumberFormat="1" applyFont="1" applyFill="1" applyAlignment="1">
      <alignment horizontal="center"/>
    </xf>
    <xf numFmtId="166" fontId="2" fillId="0" borderId="0" xfId="0" applyNumberFormat="1" applyFont="1"/>
    <xf numFmtId="164" fontId="3" fillId="5" borderId="0" xfId="2" applyNumberFormat="1" applyFont="1" applyFill="1" applyAlignment="1">
      <alignment horizontal="center"/>
    </xf>
    <xf numFmtId="44" fontId="3" fillId="0" borderId="0" xfId="1" applyFont="1" applyAlignment="1">
      <alignment horizontal="center"/>
    </xf>
    <xf numFmtId="1" fontId="2" fillId="0" borderId="0" xfId="0" applyNumberFormat="1" applyFont="1"/>
    <xf numFmtId="0" fontId="4" fillId="4" borderId="10" xfId="0" applyFont="1" applyFill="1" applyBorder="1" applyAlignment="1">
      <alignment horizontal="center"/>
    </xf>
    <xf numFmtId="164" fontId="7" fillId="5" borderId="0" xfId="2" applyNumberFormat="1" applyFont="1" applyFill="1" applyAlignment="1">
      <alignment horizontal="center"/>
    </xf>
    <xf numFmtId="0" fontId="3" fillId="0" borderId="14" xfId="0" applyFont="1" applyBorder="1"/>
    <xf numFmtId="164" fontId="2" fillId="0" borderId="0" xfId="2" applyNumberFormat="1" applyFont="1"/>
    <xf numFmtId="164" fontId="2" fillId="0" borderId="0" xfId="0" applyNumberFormat="1" applyFont="1"/>
    <xf numFmtId="170" fontId="2" fillId="0" borderId="0" xfId="0" applyNumberFormat="1" applyFont="1"/>
    <xf numFmtId="0" fontId="4" fillId="4" borderId="15" xfId="0" applyFont="1" applyFill="1" applyBorder="1" applyAlignment="1">
      <alignment horizontal="center"/>
    </xf>
    <xf numFmtId="43" fontId="4" fillId="4" borderId="10" xfId="2" applyFont="1" applyFill="1" applyBorder="1" applyAlignment="1">
      <alignment horizontal="center"/>
    </xf>
    <xf numFmtId="169" fontId="4" fillId="4" borderId="10" xfId="2" applyNumberFormat="1" applyFont="1" applyFill="1" applyBorder="1" applyAlignment="1">
      <alignment horizontal="center"/>
    </xf>
    <xf numFmtId="0" fontId="4" fillId="5" borderId="0" xfId="0" applyFont="1" applyFill="1"/>
    <xf numFmtId="167" fontId="4" fillId="4" borderId="10" xfId="0" applyNumberFormat="1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8" xfId="0" applyFont="1" applyFill="1" applyBorder="1" applyAlignment="1">
      <alignment horizontal="center"/>
    </xf>
    <xf numFmtId="168" fontId="4" fillId="4" borderId="19" xfId="1" applyNumberFormat="1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44" fontId="4" fillId="4" borderId="19" xfId="1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167" fontId="4" fillId="4" borderId="6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44" fontId="12" fillId="5" borderId="0" xfId="1" applyFont="1" applyFill="1" applyAlignment="1">
      <alignment horizontal="center"/>
    </xf>
    <xf numFmtId="44" fontId="4" fillId="4" borderId="10" xfId="1" applyFont="1" applyFill="1" applyBorder="1" applyAlignment="1">
      <alignment horizontal="center"/>
    </xf>
    <xf numFmtId="0" fontId="9" fillId="2" borderId="1" xfId="0" applyFont="1" applyFill="1" applyBorder="1"/>
    <xf numFmtId="165" fontId="3" fillId="5" borderId="0" xfId="3" applyNumberFormat="1" applyFont="1" applyFill="1" applyAlignment="1">
      <alignment horizontal="center"/>
    </xf>
    <xf numFmtId="10" fontId="3" fillId="5" borderId="0" xfId="3" applyNumberFormat="1" applyFont="1" applyFill="1" applyAlignment="1">
      <alignment horizontal="center"/>
    </xf>
    <xf numFmtId="10" fontId="2" fillId="0" borderId="0" xfId="0" applyNumberFormat="1" applyFont="1"/>
    <xf numFmtId="9" fontId="10" fillId="0" borderId="0" xfId="3" applyFont="1" applyAlignment="1">
      <alignment horizontal="center"/>
    </xf>
    <xf numFmtId="0" fontId="12" fillId="5" borderId="20" xfId="0" applyFont="1" applyFill="1" applyBorder="1" applyAlignment="1">
      <alignment horizontal="center"/>
    </xf>
    <xf numFmtId="164" fontId="3" fillId="5" borderId="0" xfId="2" applyNumberFormat="1" applyFont="1" applyFill="1"/>
    <xf numFmtId="171" fontId="3" fillId="5" borderId="0" xfId="3" applyNumberFormat="1" applyFont="1" applyFill="1" applyAlignment="1">
      <alignment horizontal="center"/>
    </xf>
    <xf numFmtId="164" fontId="0" fillId="0" borderId="0" xfId="2" applyNumberFormat="1" applyFont="1"/>
    <xf numFmtId="4" fontId="0" fillId="0" borderId="0" xfId="0" applyNumberFormat="1"/>
    <xf numFmtId="0" fontId="16" fillId="0" borderId="0" xfId="0" applyFont="1" applyAlignment="1">
      <alignment horizontal="right"/>
    </xf>
    <xf numFmtId="9" fontId="0" fillId="0" borderId="0" xfId="3" applyFont="1"/>
    <xf numFmtId="0" fontId="0" fillId="7" borderId="24" xfId="0" applyFill="1" applyBorder="1"/>
    <xf numFmtId="0" fontId="0" fillId="8" borderId="24" xfId="0" applyFill="1" applyBorder="1"/>
    <xf numFmtId="0" fontId="16" fillId="9" borderId="24" xfId="0" applyFont="1" applyFill="1" applyBorder="1"/>
    <xf numFmtId="4" fontId="16" fillId="9" borderId="24" xfId="0" applyNumberFormat="1" applyFont="1" applyFill="1" applyBorder="1"/>
    <xf numFmtId="0" fontId="0" fillId="9" borderId="24" xfId="0" applyFill="1" applyBorder="1"/>
    <xf numFmtId="0" fontId="0" fillId="8" borderId="27" xfId="0" applyFill="1" applyBorder="1"/>
    <xf numFmtId="4" fontId="0" fillId="8" borderId="24" xfId="0" applyNumberFormat="1" applyFill="1" applyBorder="1"/>
    <xf numFmtId="0" fontId="0" fillId="7" borderId="27" xfId="0" applyFill="1" applyBorder="1"/>
    <xf numFmtId="4" fontId="0" fillId="7" borderId="24" xfId="0" applyNumberFormat="1" applyFill="1" applyBorder="1"/>
    <xf numFmtId="0" fontId="15" fillId="7" borderId="27" xfId="0" applyFont="1" applyFill="1" applyBorder="1"/>
    <xf numFmtId="0" fontId="0" fillId="7" borderId="12" xfId="0" applyFill="1" applyBorder="1"/>
    <xf numFmtId="0" fontId="0" fillId="7" borderId="0" xfId="0" applyFill="1"/>
    <xf numFmtId="4" fontId="0" fillId="7" borderId="0" xfId="0" applyNumberFormat="1" applyFill="1"/>
    <xf numFmtId="0" fontId="15" fillId="7" borderId="0" xfId="0" applyFont="1" applyFill="1"/>
    <xf numFmtId="4" fontId="15" fillId="7" borderId="0" xfId="0" applyNumberFormat="1" applyFont="1" applyFill="1"/>
    <xf numFmtId="10" fontId="16" fillId="9" borderId="25" xfId="3" applyNumberFormat="1" applyFont="1" applyFill="1" applyBorder="1"/>
    <xf numFmtId="10" fontId="1" fillId="8" borderId="25" xfId="3" applyNumberFormat="1" applyFont="1" applyFill="1" applyBorder="1"/>
    <xf numFmtId="10" fontId="1" fillId="7" borderId="25" xfId="3" applyNumberFormat="1" applyFont="1" applyFill="1" applyBorder="1"/>
    <xf numFmtId="10" fontId="1" fillId="7" borderId="6" xfId="3" applyNumberFormat="1" applyFont="1" applyFill="1" applyBorder="1"/>
    <xf numFmtId="0" fontId="16" fillId="9" borderId="23" xfId="0" applyFont="1" applyFill="1" applyBorder="1" applyAlignment="1">
      <alignment horizontal="right"/>
    </xf>
    <xf numFmtId="0" fontId="16" fillId="7" borderId="26" xfId="0" applyFont="1" applyFill="1" applyBorder="1" applyAlignment="1">
      <alignment horizontal="right"/>
    </xf>
    <xf numFmtId="0" fontId="16" fillId="7" borderId="33" xfId="0" applyFont="1" applyFill="1" applyBorder="1" applyAlignment="1">
      <alignment horizontal="right"/>
    </xf>
    <xf numFmtId="0" fontId="0" fillId="7" borderId="1" xfId="0" applyFill="1" applyBorder="1"/>
    <xf numFmtId="0" fontId="15" fillId="7" borderId="34" xfId="0" applyFont="1" applyFill="1" applyBorder="1"/>
    <xf numFmtId="0" fontId="15" fillId="7" borderId="31" xfId="0" applyFont="1" applyFill="1" applyBorder="1"/>
    <xf numFmtId="4" fontId="15" fillId="7" borderId="31" xfId="0" applyNumberFormat="1" applyFont="1" applyFill="1" applyBorder="1"/>
    <xf numFmtId="0" fontId="0" fillId="7" borderId="31" xfId="0" applyFill="1" applyBorder="1"/>
    <xf numFmtId="9" fontId="0" fillId="7" borderId="32" xfId="3" applyFont="1" applyFill="1" applyBorder="1"/>
    <xf numFmtId="0" fontId="16" fillId="10" borderId="23" xfId="0" applyFont="1" applyFill="1" applyBorder="1" applyAlignment="1">
      <alignment horizontal="right"/>
    </xf>
    <xf numFmtId="0" fontId="16" fillId="10" borderId="24" xfId="0" applyFont="1" applyFill="1" applyBorder="1"/>
    <xf numFmtId="4" fontId="16" fillId="10" borderId="24" xfId="0" applyNumberFormat="1" applyFont="1" applyFill="1" applyBorder="1"/>
    <xf numFmtId="0" fontId="0" fillId="10" borderId="24" xfId="0" applyFill="1" applyBorder="1"/>
    <xf numFmtId="0" fontId="15" fillId="8" borderId="27" xfId="0" applyFont="1" applyFill="1" applyBorder="1"/>
    <xf numFmtId="0" fontId="15" fillId="8" borderId="24" xfId="0" applyFont="1" applyFill="1" applyBorder="1"/>
    <xf numFmtId="4" fontId="15" fillId="8" borderId="24" xfId="0" applyNumberFormat="1" applyFont="1" applyFill="1" applyBorder="1"/>
    <xf numFmtId="10" fontId="16" fillId="10" borderId="25" xfId="3" applyNumberFormat="1" applyFont="1" applyFill="1" applyBorder="1"/>
    <xf numFmtId="0" fontId="16" fillId="7" borderId="0" xfId="0" applyFont="1" applyFill="1" applyAlignment="1">
      <alignment horizontal="right"/>
    </xf>
    <xf numFmtId="9" fontId="0" fillId="7" borderId="0" xfId="3" applyFont="1" applyFill="1"/>
    <xf numFmtId="10" fontId="1" fillId="7" borderId="29" xfId="3" applyNumberFormat="1" applyFont="1" applyFill="1" applyBorder="1"/>
    <xf numFmtId="0" fontId="19" fillId="7" borderId="24" xfId="0" applyFont="1" applyFill="1" applyBorder="1"/>
    <xf numFmtId="4" fontId="16" fillId="10" borderId="23" xfId="0" applyNumberFormat="1" applyFont="1" applyFill="1" applyBorder="1"/>
    <xf numFmtId="4" fontId="16" fillId="9" borderId="23" xfId="0" applyNumberFormat="1" applyFont="1" applyFill="1" applyBorder="1"/>
    <xf numFmtId="4" fontId="0" fillId="8" borderId="23" xfId="0" applyNumberFormat="1" applyFill="1" applyBorder="1"/>
    <xf numFmtId="4" fontId="0" fillId="0" borderId="23" xfId="0" applyNumberFormat="1" applyBorder="1"/>
    <xf numFmtId="4" fontId="0" fillId="0" borderId="28" xfId="0" applyNumberFormat="1" applyBorder="1"/>
    <xf numFmtId="4" fontId="0" fillId="0" borderId="30" xfId="0" applyNumberFormat="1" applyBorder="1"/>
    <xf numFmtId="10" fontId="1" fillId="7" borderId="32" xfId="3" applyNumberFormat="1" applyFont="1" applyFill="1" applyBorder="1"/>
    <xf numFmtId="0" fontId="0" fillId="0" borderId="0" xfId="0" applyAlignment="1">
      <alignment wrapText="1"/>
    </xf>
    <xf numFmtId="0" fontId="19" fillId="7" borderId="24" xfId="0" applyFont="1" applyFill="1" applyBorder="1" applyAlignment="1">
      <alignment wrapText="1"/>
    </xf>
    <xf numFmtId="0" fontId="0" fillId="7" borderId="0" xfId="0" applyFill="1" applyAlignment="1">
      <alignment horizontal="left"/>
    </xf>
    <xf numFmtId="0" fontId="0" fillId="0" borderId="0" xfId="0" applyAlignment="1">
      <alignment horizontal="left"/>
    </xf>
    <xf numFmtId="4" fontId="0" fillId="7" borderId="0" xfId="0" applyNumberFormat="1" applyFill="1" applyAlignment="1">
      <alignment horizontal="left"/>
    </xf>
    <xf numFmtId="0" fontId="20" fillId="7" borderId="0" xfId="0" applyFont="1" applyFill="1" applyAlignment="1">
      <alignment horizontal="left"/>
    </xf>
    <xf numFmtId="3" fontId="0" fillId="0" borderId="0" xfId="0" applyNumberFormat="1"/>
    <xf numFmtId="44" fontId="0" fillId="0" borderId="0" xfId="1" applyFont="1"/>
    <xf numFmtId="44" fontId="0" fillId="0" borderId="0" xfId="0" applyNumberFormat="1"/>
    <xf numFmtId="10" fontId="0" fillId="0" borderId="0" xfId="3" applyNumberFormat="1" applyFont="1"/>
    <xf numFmtId="173" fontId="0" fillId="0" borderId="0" xfId="0" applyNumberFormat="1"/>
    <xf numFmtId="172" fontId="0" fillId="0" borderId="0" xfId="0" applyNumberFormat="1"/>
    <xf numFmtId="174" fontId="0" fillId="0" borderId="0" xfId="1" applyNumberFormat="1" applyFont="1"/>
    <xf numFmtId="175" fontId="0" fillId="0" borderId="0" xfId="0" applyNumberFormat="1"/>
    <xf numFmtId="0" fontId="7" fillId="0" borderId="0" xfId="0" applyFont="1" applyAlignment="1">
      <alignment horizontal="center"/>
    </xf>
    <xf numFmtId="44" fontId="7" fillId="5" borderId="36" xfId="1" applyFont="1" applyFill="1" applyBorder="1" applyAlignment="1">
      <alignment horizontal="center"/>
    </xf>
    <xf numFmtId="2" fontId="7" fillId="5" borderId="36" xfId="0" applyNumberFormat="1" applyFont="1" applyFill="1" applyBorder="1" applyAlignment="1">
      <alignment horizontal="center"/>
    </xf>
    <xf numFmtId="0" fontId="7" fillId="5" borderId="36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9" fontId="7" fillId="5" borderId="0" xfId="3" applyFont="1" applyFill="1"/>
    <xf numFmtId="164" fontId="7" fillId="4" borderId="36" xfId="2" applyNumberFormat="1" applyFont="1" applyFill="1" applyBorder="1" applyAlignment="1">
      <alignment horizontal="center"/>
    </xf>
    <xf numFmtId="166" fontId="7" fillId="4" borderId="36" xfId="1" applyNumberFormat="1" applyFont="1" applyFill="1" applyBorder="1" applyAlignment="1">
      <alignment horizontal="center"/>
    </xf>
    <xf numFmtId="164" fontId="7" fillId="4" borderId="36" xfId="2" applyNumberFormat="1" applyFont="1" applyFill="1" applyBorder="1"/>
    <xf numFmtId="166" fontId="7" fillId="4" borderId="36" xfId="1" applyNumberFormat="1" applyFont="1" applyFill="1" applyBorder="1"/>
    <xf numFmtId="44" fontId="7" fillId="0" borderId="0" xfId="0" applyNumberFormat="1" applyFont="1" applyAlignment="1">
      <alignment horizontal="center"/>
    </xf>
    <xf numFmtId="44" fontId="7" fillId="0" borderId="0" xfId="1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10" fontId="7" fillId="4" borderId="0" xfId="3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165" fontId="3" fillId="5" borderId="52" xfId="3" applyNumberFormat="1" applyFont="1" applyFill="1" applyBorder="1" applyAlignment="1">
      <alignment horizontal="center"/>
    </xf>
    <xf numFmtId="0" fontId="9" fillId="2" borderId="53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10" fontId="3" fillId="5" borderId="52" xfId="3" applyNumberFormat="1" applyFont="1" applyFill="1" applyBorder="1" applyAlignment="1">
      <alignment horizontal="center"/>
    </xf>
    <xf numFmtId="43" fontId="7" fillId="5" borderId="0" xfId="2" applyFont="1" applyFill="1" applyAlignment="1">
      <alignment horizontal="center"/>
    </xf>
    <xf numFmtId="0" fontId="7" fillId="4" borderId="16" xfId="0" applyFont="1" applyFill="1" applyBorder="1" applyAlignment="1">
      <alignment horizontal="left"/>
    </xf>
    <xf numFmtId="0" fontId="7" fillId="4" borderId="49" xfId="0" applyFont="1" applyFill="1" applyBorder="1" applyAlignment="1">
      <alignment horizontal="left"/>
    </xf>
    <xf numFmtId="0" fontId="7" fillId="4" borderId="15" xfId="0" applyFont="1" applyFill="1" applyBorder="1" applyAlignment="1">
      <alignment horizontal="left"/>
    </xf>
    <xf numFmtId="0" fontId="7" fillId="4" borderId="18" xfId="0" applyFont="1" applyFill="1" applyBorder="1" applyAlignment="1">
      <alignment horizontal="left"/>
    </xf>
    <xf numFmtId="0" fontId="7" fillId="4" borderId="13" xfId="0" applyFont="1" applyFill="1" applyBorder="1" applyAlignment="1">
      <alignment horizontal="left"/>
    </xf>
    <xf numFmtId="0" fontId="7" fillId="4" borderId="19" xfId="0" applyFont="1" applyFill="1" applyBorder="1" applyAlignment="1">
      <alignment horizontal="left"/>
    </xf>
    <xf numFmtId="0" fontId="4" fillId="0" borderId="0" xfId="0" applyFont="1"/>
    <xf numFmtId="164" fontId="3" fillId="0" borderId="0" xfId="2" applyNumberFormat="1" applyFont="1"/>
    <xf numFmtId="164" fontId="3" fillId="0" borderId="0" xfId="0" applyNumberFormat="1" applyFont="1"/>
    <xf numFmtId="44" fontId="3" fillId="5" borderId="52" xfId="1" applyFont="1" applyFill="1" applyBorder="1" applyAlignment="1">
      <alignment horizontal="center"/>
    </xf>
    <xf numFmtId="0" fontId="9" fillId="2" borderId="51" xfId="0" applyFont="1" applyFill="1" applyBorder="1" applyAlignment="1">
      <alignment horizontal="center"/>
    </xf>
    <xf numFmtId="10" fontId="7" fillId="5" borderId="0" xfId="3" applyNumberFormat="1" applyFont="1" applyFill="1" applyAlignment="1">
      <alignment horizontal="center"/>
    </xf>
    <xf numFmtId="4" fontId="7" fillId="5" borderId="0" xfId="0" applyNumberFormat="1" applyFont="1" applyFill="1" applyAlignment="1">
      <alignment horizontal="center"/>
    </xf>
    <xf numFmtId="0" fontId="56" fillId="38" borderId="0" xfId="0" applyFont="1" applyFill="1"/>
    <xf numFmtId="0" fontId="56" fillId="38" borderId="0" xfId="0" applyFont="1" applyFill="1" applyAlignment="1">
      <alignment horizontal="right"/>
    </xf>
    <xf numFmtId="0" fontId="16" fillId="39" borderId="56" xfId="0" applyFont="1" applyFill="1" applyBorder="1" applyAlignment="1">
      <alignment horizontal="center" vertical="center"/>
    </xf>
    <xf numFmtId="0" fontId="57" fillId="39" borderId="54" xfId="0" applyFont="1" applyFill="1" applyBorder="1" applyAlignment="1">
      <alignment horizontal="center" vertical="center"/>
    </xf>
    <xf numFmtId="0" fontId="16" fillId="39" borderId="55" xfId="0" applyFont="1" applyFill="1" applyBorder="1" applyAlignment="1">
      <alignment horizontal="center" vertical="center"/>
    </xf>
    <xf numFmtId="0" fontId="57" fillId="39" borderId="54" xfId="0" applyFont="1" applyFill="1" applyBorder="1" applyAlignment="1">
      <alignment horizontal="left" vertical="center"/>
    </xf>
    <xf numFmtId="0" fontId="16" fillId="6" borderId="0" xfId="0" applyFont="1" applyFill="1" applyAlignment="1">
      <alignment horizontal="right"/>
    </xf>
    <xf numFmtId="179" fontId="16" fillId="0" borderId="0" xfId="0" applyNumberFormat="1" applyFont="1"/>
    <xf numFmtId="0" fontId="24" fillId="6" borderId="0" xfId="419" applyFill="1" applyAlignment="1">
      <alignment horizontal="center" vertical="center"/>
    </xf>
    <xf numFmtId="0" fontId="16" fillId="6" borderId="0" xfId="0" applyFont="1" applyFill="1"/>
    <xf numFmtId="165" fontId="58" fillId="0" borderId="0" xfId="3" applyNumberFormat="1" applyFont="1"/>
    <xf numFmtId="10" fontId="59" fillId="0" borderId="0" xfId="3" applyNumberFormat="1" applyFont="1"/>
    <xf numFmtId="0" fontId="55" fillId="8" borderId="56" xfId="0" applyFont="1" applyFill="1" applyBorder="1" applyAlignment="1">
      <alignment horizontal="center" vertical="center" wrapText="1"/>
    </xf>
    <xf numFmtId="0" fontId="55" fillId="8" borderId="56" xfId="419" applyFont="1" applyFill="1" applyBorder="1" applyAlignment="1">
      <alignment horizontal="left" vertical="center" wrapText="1"/>
    </xf>
    <xf numFmtId="0" fontId="55" fillId="8" borderId="56" xfId="419" applyFont="1" applyFill="1" applyBorder="1" applyAlignment="1">
      <alignment horizontal="left" vertical="center"/>
    </xf>
    <xf numFmtId="0" fontId="60" fillId="8" borderId="56" xfId="419" applyFont="1" applyFill="1" applyBorder="1" applyAlignment="1">
      <alignment horizontal="right" vertical="center"/>
    </xf>
    <xf numFmtId="10" fontId="0" fillId="0" borderId="0" xfId="0" applyNumberFormat="1"/>
    <xf numFmtId="0" fontId="24" fillId="0" borderId="0" xfId="419"/>
    <xf numFmtId="14" fontId="61" fillId="40" borderId="57" xfId="0" applyNumberFormat="1" applyFont="1" applyFill="1" applyBorder="1" applyAlignment="1">
      <alignment horizontal="left" vertical="center" wrapText="1"/>
    </xf>
    <xf numFmtId="0" fontId="61" fillId="40" borderId="58" xfId="0" applyFont="1" applyFill="1" applyBorder="1" applyAlignment="1">
      <alignment horizontal="right" vertical="center" wrapText="1"/>
    </xf>
    <xf numFmtId="0" fontId="16" fillId="37" borderId="0" xfId="0" applyFont="1" applyFill="1" applyAlignment="1">
      <alignment horizontal="center" vertical="center"/>
    </xf>
    <xf numFmtId="43" fontId="59" fillId="0" borderId="0" xfId="2" applyFont="1"/>
    <xf numFmtId="14" fontId="61" fillId="41" borderId="57" xfId="0" applyNumberFormat="1" applyFont="1" applyFill="1" applyBorder="1" applyAlignment="1">
      <alignment horizontal="left" vertical="center" wrapText="1"/>
    </xf>
    <xf numFmtId="0" fontId="61" fillId="41" borderId="58" xfId="0" applyFont="1" applyFill="1" applyBorder="1" applyAlignment="1">
      <alignment horizontal="right" vertical="center" wrapText="1"/>
    </xf>
    <xf numFmtId="0" fontId="54" fillId="0" borderId="0" xfId="0" applyFont="1"/>
    <xf numFmtId="0" fontId="55" fillId="8" borderId="59" xfId="419" applyFont="1" applyFill="1" applyBorder="1" applyAlignment="1">
      <alignment horizontal="left" vertical="center" wrapText="1"/>
    </xf>
    <xf numFmtId="14" fontId="61" fillId="42" borderId="57" xfId="0" applyNumberFormat="1" applyFont="1" applyFill="1" applyBorder="1" applyAlignment="1">
      <alignment horizontal="left" vertical="center" wrapText="1"/>
    </xf>
    <xf numFmtId="0" fontId="61" fillId="42" borderId="58" xfId="0" applyFont="1" applyFill="1" applyBorder="1" applyAlignment="1">
      <alignment horizontal="right" vertical="center" wrapText="1"/>
    </xf>
    <xf numFmtId="2" fontId="0" fillId="0" borderId="0" xfId="0" applyNumberFormat="1"/>
    <xf numFmtId="0" fontId="55" fillId="8" borderId="60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55" fillId="8" borderId="6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0" borderId="24" xfId="0" applyFont="1" applyBorder="1"/>
    <xf numFmtId="0" fontId="16" fillId="0" borderId="24" xfId="0" quotePrefix="1" applyFont="1" applyBorder="1"/>
    <xf numFmtId="10" fontId="16" fillId="0" borderId="24" xfId="0" applyNumberFormat="1" applyFont="1" applyBorder="1"/>
    <xf numFmtId="0" fontId="55" fillId="8" borderId="56" xfId="419" quotePrefix="1" applyFont="1" applyFill="1" applyBorder="1" applyAlignment="1">
      <alignment horizontal="left" vertical="center"/>
    </xf>
    <xf numFmtId="0" fontId="0" fillId="0" borderId="0" xfId="0" quotePrefix="1"/>
    <xf numFmtId="0" fontId="16" fillId="0" borderId="24" xfId="0" applyFont="1" applyBorder="1" applyAlignment="1">
      <alignment vertical="center"/>
    </xf>
    <xf numFmtId="165" fontId="16" fillId="0" borderId="24" xfId="3" applyNumberFormat="1" applyFont="1" applyBorder="1" applyAlignment="1">
      <alignment vertical="center"/>
    </xf>
    <xf numFmtId="0" fontId="55" fillId="8" borderId="62" xfId="0" applyFont="1" applyFill="1" applyBorder="1" applyAlignment="1">
      <alignment vertical="center" wrapText="1"/>
    </xf>
    <xf numFmtId="0" fontId="55" fillId="8" borderId="63" xfId="419" applyFont="1" applyFill="1" applyBorder="1" applyAlignment="1">
      <alignment vertical="center" wrapText="1"/>
    </xf>
    <xf numFmtId="0" fontId="16" fillId="8" borderId="64" xfId="0" quotePrefix="1" applyFont="1" applyFill="1" applyBorder="1" applyAlignment="1">
      <alignment vertical="center"/>
    </xf>
    <xf numFmtId="0" fontId="0" fillId="0" borderId="24" xfId="0" applyBorder="1"/>
    <xf numFmtId="10" fontId="59" fillId="6" borderId="24" xfId="3" applyNumberFormat="1" applyFont="1" applyFill="1" applyBorder="1"/>
    <xf numFmtId="9" fontId="62" fillId="0" borderId="0" xfId="3" applyFont="1"/>
    <xf numFmtId="165" fontId="16" fillId="0" borderId="24" xfId="3" applyNumberFormat="1" applyFont="1" applyBorder="1"/>
    <xf numFmtId="10" fontId="0" fillId="11" borderId="0" xfId="3" applyNumberFormat="1" applyFont="1" applyFill="1"/>
    <xf numFmtId="10" fontId="16" fillId="0" borderId="24" xfId="3" applyNumberFormat="1" applyFont="1" applyBorder="1"/>
    <xf numFmtId="0" fontId="24" fillId="0" borderId="0" xfId="419" applyFill="1"/>
    <xf numFmtId="44" fontId="3" fillId="0" borderId="0" xfId="0" applyNumberFormat="1" applyFont="1"/>
    <xf numFmtId="0" fontId="54" fillId="0" borderId="0" xfId="0" applyFont="1" applyAlignment="1">
      <alignment horizontal="center" vertical="center" wrapText="1"/>
    </xf>
    <xf numFmtId="0" fontId="54" fillId="0" borderId="0" xfId="0" applyFont="1" applyAlignment="1">
      <alignment horizontal="justify" vertical="center" wrapText="1"/>
    </xf>
    <xf numFmtId="10" fontId="54" fillId="0" borderId="0" xfId="3" applyNumberFormat="1" applyFont="1" applyAlignment="1">
      <alignment horizontal="right" vertical="center" wrapText="1"/>
    </xf>
    <xf numFmtId="44" fontId="54" fillId="0" borderId="0" xfId="1" applyFont="1" applyAlignment="1">
      <alignment vertical="center" wrapText="1"/>
    </xf>
    <xf numFmtId="0" fontId="54" fillId="0" borderId="0" xfId="0" applyFont="1" applyAlignment="1">
      <alignment vertical="center" wrapText="1"/>
    </xf>
    <xf numFmtId="0" fontId="65" fillId="43" borderId="27" xfId="0" applyFont="1" applyFill="1" applyBorder="1" applyAlignment="1">
      <alignment horizontal="justify" vertical="center" wrapText="1"/>
    </xf>
    <xf numFmtId="10" fontId="65" fillId="43" borderId="24" xfId="3" applyNumberFormat="1" applyFont="1" applyFill="1" applyBorder="1" applyAlignment="1">
      <alignment horizontal="right" vertical="center" wrapText="1"/>
    </xf>
    <xf numFmtId="44" fontId="65" fillId="43" borderId="24" xfId="0" applyNumberFormat="1" applyFont="1" applyFill="1" applyBorder="1" applyAlignment="1">
      <alignment vertical="center" wrapText="1"/>
    </xf>
    <xf numFmtId="0" fontId="66" fillId="0" borderId="0" xfId="0" applyFont="1" applyAlignment="1">
      <alignment vertical="center" wrapText="1"/>
    </xf>
    <xf numFmtId="0" fontId="55" fillId="0" borderId="69" xfId="0" applyFont="1" applyBorder="1" applyAlignment="1">
      <alignment horizontal="right" vertical="center" wrapText="1"/>
    </xf>
    <xf numFmtId="44" fontId="54" fillId="0" borderId="36" xfId="1" applyFont="1" applyFill="1" applyBorder="1" applyAlignment="1">
      <alignment horizontal="right" vertical="center" wrapText="1"/>
    </xf>
    <xf numFmtId="10" fontId="54" fillId="0" borderId="71" xfId="0" applyNumberFormat="1" applyFont="1" applyBorder="1"/>
    <xf numFmtId="44" fontId="54" fillId="0" borderId="18" xfId="1" applyFont="1" applyFill="1" applyBorder="1" applyAlignment="1">
      <alignment horizontal="right" vertical="center" wrapText="1"/>
    </xf>
    <xf numFmtId="0" fontId="55" fillId="0" borderId="72" xfId="0" applyFont="1" applyBorder="1" applyAlignment="1">
      <alignment horizontal="right" vertical="center" wrapText="1"/>
    </xf>
    <xf numFmtId="44" fontId="54" fillId="0" borderId="15" xfId="1" applyFont="1" applyFill="1" applyBorder="1" applyAlignment="1">
      <alignment horizontal="right" vertical="center" wrapText="1"/>
    </xf>
    <xf numFmtId="10" fontId="16" fillId="0" borderId="24" xfId="3" applyNumberFormat="1" applyFont="1" applyBorder="1" applyAlignment="1">
      <alignment horizontal="right" vertical="center" wrapText="1"/>
    </xf>
    <xf numFmtId="44" fontId="54" fillId="0" borderId="16" xfId="1" applyFont="1" applyBorder="1" applyAlignment="1">
      <alignment horizontal="right" vertical="center" wrapText="1"/>
    </xf>
    <xf numFmtId="0" fontId="63" fillId="7" borderId="73" xfId="0" applyFont="1" applyFill="1" applyBorder="1" applyAlignment="1">
      <alignment horizontal="left" vertical="center" wrapText="1"/>
    </xf>
    <xf numFmtId="0" fontId="66" fillId="7" borderId="24" xfId="0" applyFont="1" applyFill="1" applyBorder="1" applyAlignment="1">
      <alignment horizontal="left" vertical="center" wrapText="1"/>
    </xf>
    <xf numFmtId="44" fontId="66" fillId="7" borderId="24" xfId="1" applyFont="1" applyFill="1" applyBorder="1" applyAlignment="1">
      <alignment horizontal="right" vertical="center" wrapText="1"/>
    </xf>
    <xf numFmtId="10" fontId="66" fillId="7" borderId="25" xfId="1" applyNumberFormat="1" applyFont="1" applyFill="1" applyBorder="1" applyAlignment="1">
      <alignment horizontal="right" vertical="center" wrapText="1"/>
    </xf>
    <xf numFmtId="0" fontId="63" fillId="7" borderId="26" xfId="0" applyFont="1" applyFill="1" applyBorder="1" applyAlignment="1">
      <alignment horizontal="left" vertical="center" wrapText="1"/>
    </xf>
    <xf numFmtId="0" fontId="66" fillId="7" borderId="0" xfId="0" applyFont="1" applyFill="1" applyAlignment="1">
      <alignment horizontal="left" vertical="center" wrapText="1"/>
    </xf>
    <xf numFmtId="0" fontId="66" fillId="7" borderId="0" xfId="0" applyFont="1" applyFill="1" applyAlignment="1">
      <alignment horizontal="justify" vertical="center" wrapText="1"/>
    </xf>
    <xf numFmtId="10" fontId="66" fillId="7" borderId="0" xfId="3" applyNumberFormat="1" applyFont="1" applyFill="1" applyBorder="1" applyAlignment="1">
      <alignment horizontal="left" vertical="center" wrapText="1"/>
    </xf>
    <xf numFmtId="44" fontId="54" fillId="0" borderId="36" xfId="1" applyFont="1" applyBorder="1" applyAlignment="1">
      <alignment horizontal="right" vertical="center" wrapText="1"/>
    </xf>
    <xf numFmtId="180" fontId="54" fillId="0" borderId="71" xfId="1" applyNumberFormat="1" applyFont="1" applyFill="1" applyBorder="1" applyAlignment="1">
      <alignment horizontal="center" vertical="center" wrapText="1"/>
    </xf>
    <xf numFmtId="0" fontId="63" fillId="7" borderId="28" xfId="0" applyFont="1" applyFill="1" applyBorder="1" applyAlignment="1">
      <alignment horizontal="left" vertical="center" wrapText="1"/>
    </xf>
    <xf numFmtId="0" fontId="66" fillId="7" borderId="13" xfId="0" applyFont="1" applyFill="1" applyBorder="1" applyAlignment="1">
      <alignment horizontal="left" vertical="center" wrapText="1"/>
    </xf>
    <xf numFmtId="0" fontId="66" fillId="7" borderId="13" xfId="0" applyFont="1" applyFill="1" applyBorder="1" applyAlignment="1">
      <alignment horizontal="justify" vertical="center" wrapText="1"/>
    </xf>
    <xf numFmtId="10" fontId="66" fillId="7" borderId="13" xfId="3" applyNumberFormat="1" applyFont="1" applyFill="1" applyBorder="1" applyAlignment="1">
      <alignment horizontal="left" vertical="center" wrapText="1"/>
    </xf>
    <xf numFmtId="0" fontId="63" fillId="0" borderId="2" xfId="0" applyFont="1" applyBorder="1" applyAlignment="1">
      <alignment horizontal="left" vertical="center" wrapText="1"/>
    </xf>
    <xf numFmtId="0" fontId="66" fillId="0" borderId="2" xfId="0" applyFont="1" applyBorder="1" applyAlignment="1">
      <alignment horizontal="left" vertical="center" wrapText="1"/>
    </xf>
    <xf numFmtId="0" fontId="66" fillId="43" borderId="2" xfId="0" applyFont="1" applyFill="1" applyBorder="1" applyAlignment="1">
      <alignment horizontal="left" vertical="center" wrapText="1"/>
    </xf>
    <xf numFmtId="0" fontId="66" fillId="43" borderId="2" xfId="0" applyFont="1" applyFill="1" applyBorder="1" applyAlignment="1">
      <alignment horizontal="justify" vertical="center" wrapText="1"/>
    </xf>
    <xf numFmtId="10" fontId="66" fillId="43" borderId="2" xfId="3" applyNumberFormat="1" applyFont="1" applyFill="1" applyBorder="1" applyAlignment="1">
      <alignment horizontal="left" vertical="center" wrapText="1"/>
    </xf>
    <xf numFmtId="44" fontId="66" fillId="0" borderId="2" xfId="1" applyFont="1" applyBorder="1" applyAlignment="1">
      <alignment horizontal="right" vertical="center" wrapText="1"/>
    </xf>
    <xf numFmtId="10" fontId="66" fillId="0" borderId="2" xfId="1" applyNumberFormat="1" applyFont="1" applyFill="1" applyBorder="1" applyAlignment="1">
      <alignment horizontal="right" vertical="center" wrapText="1"/>
    </xf>
    <xf numFmtId="0" fontId="65" fillId="0" borderId="0" xfId="0" applyFont="1" applyAlignment="1">
      <alignment horizontal="center" vertical="center" wrapText="1"/>
    </xf>
    <xf numFmtId="0" fontId="63" fillId="0" borderId="28" xfId="0" applyFont="1" applyBorder="1" applyAlignment="1">
      <alignment horizontal="left" vertical="center" wrapText="1"/>
    </xf>
    <xf numFmtId="0" fontId="66" fillId="0" borderId="13" xfId="0" applyFont="1" applyBorder="1" applyAlignment="1">
      <alignment horizontal="left" vertical="center" wrapText="1"/>
    </xf>
    <xf numFmtId="0" fontId="66" fillId="43" borderId="13" xfId="0" applyFont="1" applyFill="1" applyBorder="1" applyAlignment="1">
      <alignment horizontal="left" vertical="center" wrapText="1"/>
    </xf>
    <xf numFmtId="0" fontId="66" fillId="43" borderId="13" xfId="0" applyFont="1" applyFill="1" applyBorder="1" applyAlignment="1">
      <alignment horizontal="justify" vertical="center" wrapText="1"/>
    </xf>
    <xf numFmtId="10" fontId="66" fillId="43" borderId="13" xfId="3" applyNumberFormat="1" applyFont="1" applyFill="1" applyBorder="1" applyAlignment="1">
      <alignment horizontal="left" vertical="center" wrapText="1"/>
    </xf>
    <xf numFmtId="44" fontId="66" fillId="0" borderId="13" xfId="1" applyFont="1" applyBorder="1" applyAlignment="1">
      <alignment horizontal="right" vertical="center" wrapText="1"/>
    </xf>
    <xf numFmtId="10" fontId="66" fillId="0" borderId="29" xfId="1" applyNumberFormat="1" applyFont="1" applyFill="1" applyBorder="1" applyAlignment="1">
      <alignment horizontal="right" vertical="center" wrapText="1"/>
    </xf>
    <xf numFmtId="0" fontId="63" fillId="9" borderId="69" xfId="0" applyFont="1" applyFill="1" applyBorder="1" applyAlignment="1">
      <alignment horizontal="center" vertical="center" wrapText="1"/>
    </xf>
    <xf numFmtId="0" fontId="55" fillId="0" borderId="0" xfId="0" applyFont="1" applyAlignment="1">
      <alignment vertical="center" wrapText="1"/>
    </xf>
    <xf numFmtId="0" fontId="55" fillId="7" borderId="26" xfId="0" applyFont="1" applyFill="1" applyBorder="1" applyAlignment="1">
      <alignment horizontal="center" vertical="center" wrapText="1"/>
    </xf>
    <xf numFmtId="0" fontId="55" fillId="7" borderId="0" xfId="0" applyFont="1" applyFill="1" applyAlignment="1">
      <alignment horizontal="center" vertical="center" wrapText="1"/>
    </xf>
    <xf numFmtId="0" fontId="55" fillId="7" borderId="6" xfId="0" applyFont="1" applyFill="1" applyBorder="1" applyAlignment="1">
      <alignment horizontal="center" vertical="center" wrapText="1"/>
    </xf>
    <xf numFmtId="10" fontId="53" fillId="0" borderId="36" xfId="3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vertical="center" wrapText="1"/>
    </xf>
    <xf numFmtId="0" fontId="54" fillId="0" borderId="0" xfId="4" applyFont="1" applyAlignment="1">
      <alignment vertical="center"/>
    </xf>
    <xf numFmtId="0" fontId="54" fillId="0" borderId="0" xfId="0" applyFont="1" applyAlignment="1">
      <alignment vertical="center"/>
    </xf>
    <xf numFmtId="0" fontId="67" fillId="0" borderId="0" xfId="0" applyFont="1"/>
    <xf numFmtId="0" fontId="7" fillId="4" borderId="10" xfId="0" applyFont="1" applyFill="1" applyBorder="1"/>
    <xf numFmtId="0" fontId="6" fillId="2" borderId="0" xfId="1" applyNumberFormat="1" applyFont="1" applyFill="1" applyAlignment="1">
      <alignment horizontal="center"/>
    </xf>
    <xf numFmtId="10" fontId="7" fillId="4" borderId="0" xfId="3" applyNumberFormat="1" applyFont="1" applyFill="1" applyAlignment="1">
      <alignment horizontal="center"/>
    </xf>
    <xf numFmtId="9" fontId="7" fillId="4" borderId="0" xfId="3" applyFont="1" applyFill="1" applyAlignment="1">
      <alignment horizontal="center"/>
    </xf>
    <xf numFmtId="0" fontId="5" fillId="2" borderId="0" xfId="1" applyNumberFormat="1" applyFont="1" applyFill="1"/>
    <xf numFmtId="166" fontId="6" fillId="2" borderId="0" xfId="1" applyNumberFormat="1" applyFont="1" applyFill="1" applyAlignment="1">
      <alignment horizontal="center"/>
    </xf>
    <xf numFmtId="0" fontId="67" fillId="0" borderId="0" xfId="0" applyFont="1" applyAlignment="1">
      <alignment horizontal="center"/>
    </xf>
    <xf numFmtId="0" fontId="7" fillId="4" borderId="9" xfId="0" applyFont="1" applyFill="1" applyBorder="1"/>
    <xf numFmtId="0" fontId="4" fillId="4" borderId="0" xfId="0" applyFont="1" applyFill="1"/>
    <xf numFmtId="166" fontId="7" fillId="4" borderId="0" xfId="1" applyNumberFormat="1" applyFont="1" applyFill="1" applyAlignment="1">
      <alignment horizontal="center"/>
    </xf>
    <xf numFmtId="0" fontId="6" fillId="2" borderId="10" xfId="1" applyNumberFormat="1" applyFont="1" applyFill="1" applyBorder="1"/>
    <xf numFmtId="0" fontId="7" fillId="0" borderId="0" xfId="0" applyFont="1"/>
    <xf numFmtId="0" fontId="7" fillId="4" borderId="50" xfId="0" applyFont="1" applyFill="1" applyBorder="1" applyAlignment="1">
      <alignment horizontal="center"/>
    </xf>
    <xf numFmtId="44" fontId="7" fillId="4" borderId="1" xfId="1" applyFont="1" applyFill="1" applyBorder="1" applyAlignment="1">
      <alignment horizontal="center"/>
    </xf>
    <xf numFmtId="0" fontId="7" fillId="4" borderId="5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10" fontId="7" fillId="4" borderId="1" xfId="3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 vertical="center"/>
    </xf>
    <xf numFmtId="44" fontId="7" fillId="0" borderId="0" xfId="0" applyNumberFormat="1" applyFont="1"/>
    <xf numFmtId="10" fontId="1" fillId="7" borderId="0" xfId="3" applyNumberFormat="1" applyFont="1" applyFill="1" applyBorder="1"/>
    <xf numFmtId="0" fontId="68" fillId="45" borderId="24" xfId="0" applyFont="1" applyFill="1" applyBorder="1"/>
    <xf numFmtId="4" fontId="68" fillId="45" borderId="24" xfId="0" applyNumberFormat="1" applyFont="1" applyFill="1" applyBorder="1"/>
    <xf numFmtId="2" fontId="4" fillId="4" borderId="10" xfId="0" applyNumberFormat="1" applyFont="1" applyFill="1" applyBorder="1" applyAlignment="1">
      <alignment horizontal="center"/>
    </xf>
    <xf numFmtId="166" fontId="7" fillId="4" borderId="0" xfId="1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2" fontId="7" fillId="5" borderId="0" xfId="3" applyNumberFormat="1" applyFont="1" applyFill="1" applyAlignment="1">
      <alignment horizontal="center"/>
    </xf>
    <xf numFmtId="9" fontId="4" fillId="4" borderId="0" xfId="3" applyFont="1" applyFill="1" applyBorder="1" applyAlignment="1">
      <alignment horizontal="center"/>
    </xf>
    <xf numFmtId="0" fontId="9" fillId="2" borderId="2" xfId="0" applyFont="1" applyFill="1" applyBorder="1"/>
    <xf numFmtId="0" fontId="11" fillId="2" borderId="0" xfId="0" applyFont="1" applyFill="1"/>
    <xf numFmtId="43" fontId="9" fillId="2" borderId="2" xfId="2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left"/>
    </xf>
    <xf numFmtId="44" fontId="9" fillId="2" borderId="1" xfId="1" applyFont="1" applyFill="1" applyBorder="1" applyAlignment="1">
      <alignment horizontal="left"/>
    </xf>
    <xf numFmtId="44" fontId="3" fillId="4" borderId="0" xfId="1" applyFont="1" applyFill="1" applyAlignment="1">
      <alignment horizontal="left"/>
    </xf>
    <xf numFmtId="44" fontId="9" fillId="2" borderId="10" xfId="1" applyFont="1" applyFill="1" applyBorder="1" applyAlignment="1">
      <alignment horizontal="left"/>
    </xf>
    <xf numFmtId="44" fontId="9" fillId="2" borderId="15" xfId="1" applyFont="1" applyFill="1" applyBorder="1" applyAlignment="1">
      <alignment horizontal="left"/>
    </xf>
    <xf numFmtId="10" fontId="9" fillId="2" borderId="15" xfId="3" applyNumberFormat="1" applyFont="1" applyFill="1" applyBorder="1" applyAlignment="1">
      <alignment horizontal="center"/>
    </xf>
    <xf numFmtId="0" fontId="70" fillId="0" borderId="0" xfId="0" applyFont="1"/>
    <xf numFmtId="9" fontId="2" fillId="0" borderId="0" xfId="0" applyNumberFormat="1" applyFont="1"/>
    <xf numFmtId="0" fontId="3" fillId="5" borderId="0" xfId="0" applyFont="1" applyFill="1"/>
    <xf numFmtId="0" fontId="11" fillId="2" borderId="0" xfId="0" applyFont="1" applyFill="1" applyAlignment="1">
      <alignment horizontal="left"/>
    </xf>
    <xf numFmtId="0" fontId="3" fillId="4" borderId="0" xfId="0" applyFont="1" applyFill="1"/>
    <xf numFmtId="44" fontId="3" fillId="4" borderId="0" xfId="1" applyFont="1" applyFill="1"/>
    <xf numFmtId="9" fontId="3" fillId="5" borderId="0" xfId="3" applyFont="1" applyFill="1" applyAlignment="1">
      <alignment horizontal="center"/>
    </xf>
    <xf numFmtId="0" fontId="3" fillId="5" borderId="0" xfId="2" applyNumberFormat="1" applyFont="1" applyFill="1" applyAlignment="1">
      <alignment horizontal="center"/>
    </xf>
    <xf numFmtId="9" fontId="11" fillId="2" borderId="0" xfId="3" applyFont="1" applyFill="1" applyAlignment="1">
      <alignment horizontal="center"/>
    </xf>
    <xf numFmtId="44" fontId="11" fillId="2" borderId="0" xfId="1" applyFont="1" applyFill="1" applyAlignment="1">
      <alignment horizontal="center"/>
    </xf>
    <xf numFmtId="44" fontId="8" fillId="0" borderId="0" xfId="1" applyFont="1"/>
    <xf numFmtId="44" fontId="8" fillId="0" borderId="0" xfId="0" applyNumberFormat="1" applyFont="1"/>
    <xf numFmtId="0" fontId="6" fillId="2" borderId="0" xfId="0" applyFont="1" applyFill="1" applyAlignment="1">
      <alignment horizontal="center"/>
    </xf>
    <xf numFmtId="0" fontId="6" fillId="2" borderId="0" xfId="0" applyFont="1" applyFill="1"/>
    <xf numFmtId="44" fontId="7" fillId="5" borderId="0" xfId="1" applyFont="1" applyFill="1"/>
    <xf numFmtId="44" fontId="67" fillId="0" borderId="0" xfId="1" applyFont="1"/>
    <xf numFmtId="44" fontId="67" fillId="0" borderId="0" xfId="0" applyNumberFormat="1" applyFont="1"/>
    <xf numFmtId="44" fontId="67" fillId="0" borderId="0" xfId="0" applyNumberFormat="1" applyFont="1" applyAlignment="1">
      <alignment horizontal="center"/>
    </xf>
    <xf numFmtId="0" fontId="7" fillId="5" borderId="0" xfId="2" applyNumberFormat="1" applyFont="1" applyFill="1" applyAlignment="1">
      <alignment horizontal="center"/>
    </xf>
    <xf numFmtId="0" fontId="67" fillId="0" borderId="0" xfId="0" applyFont="1" applyAlignment="1">
      <alignment vertical="center"/>
    </xf>
    <xf numFmtId="0" fontId="6" fillId="2" borderId="0" xfId="0" applyFont="1" applyFill="1" applyAlignment="1">
      <alignment horizontal="left"/>
    </xf>
    <xf numFmtId="9" fontId="67" fillId="0" borderId="0" xfId="3" applyFont="1"/>
    <xf numFmtId="9" fontId="67" fillId="0" borderId="0" xfId="0" applyNumberFormat="1" applyFont="1"/>
    <xf numFmtId="0" fontId="5" fillId="2" borderId="0" xfId="0" applyFont="1" applyFill="1"/>
    <xf numFmtId="0" fontId="7" fillId="5" borderId="0" xfId="0" applyFont="1" applyFill="1"/>
    <xf numFmtId="10" fontId="7" fillId="5" borderId="0" xfId="3" applyNumberFormat="1" applyFont="1" applyFill="1"/>
    <xf numFmtId="166" fontId="7" fillId="5" borderId="0" xfId="1" applyNumberFormat="1" applyFont="1" applyFill="1"/>
    <xf numFmtId="0" fontId="3" fillId="4" borderId="13" xfId="0" applyFont="1" applyFill="1" applyBorder="1" applyAlignment="1">
      <alignment horizontal="center"/>
    </xf>
    <xf numFmtId="0" fontId="12" fillId="4" borderId="0" xfId="0" applyFont="1" applyFill="1" applyAlignment="1">
      <alignment horizontal="left"/>
    </xf>
    <xf numFmtId="44" fontId="12" fillId="4" borderId="0" xfId="1" applyFont="1" applyFill="1" applyAlignment="1">
      <alignment horizontal="left"/>
    </xf>
    <xf numFmtId="0" fontId="8" fillId="10" borderId="0" xfId="0" applyFont="1" applyFill="1"/>
    <xf numFmtId="9" fontId="4" fillId="4" borderId="0" xfId="3" applyFont="1" applyFill="1" applyBorder="1" applyAlignment="1"/>
    <xf numFmtId="0" fontId="4" fillId="4" borderId="0" xfId="2" applyNumberFormat="1" applyFont="1" applyFill="1" applyBorder="1" applyAlignment="1">
      <alignment horizontal="center"/>
    </xf>
    <xf numFmtId="0" fontId="4" fillId="4" borderId="0" xfId="3" applyNumberFormat="1" applyFont="1" applyFill="1" applyBorder="1" applyAlignment="1">
      <alignment horizontal="center"/>
    </xf>
    <xf numFmtId="0" fontId="73" fillId="0" borderId="0" xfId="0" applyFont="1"/>
    <xf numFmtId="1" fontId="7" fillId="5" borderId="0" xfId="2" applyNumberFormat="1" applyFont="1" applyFill="1" applyAlignment="1">
      <alignment horizontal="center"/>
    </xf>
    <xf numFmtId="182" fontId="9" fillId="2" borderId="0" xfId="0" applyNumberFormat="1" applyFont="1" applyFill="1" applyAlignment="1">
      <alignment horizontal="center"/>
    </xf>
    <xf numFmtId="0" fontId="9" fillId="2" borderId="10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right"/>
    </xf>
    <xf numFmtId="0" fontId="7" fillId="4" borderId="17" xfId="0" applyFont="1" applyFill="1" applyBorder="1" applyAlignment="1">
      <alignment horizontal="left"/>
    </xf>
    <xf numFmtId="0" fontId="66" fillId="7" borderId="49" xfId="0" applyFont="1" applyFill="1" applyBorder="1" applyAlignment="1">
      <alignment horizontal="left" vertical="center" wrapText="1"/>
    </xf>
    <xf numFmtId="0" fontId="66" fillId="7" borderId="49" xfId="0" applyFont="1" applyFill="1" applyBorder="1" applyAlignment="1">
      <alignment horizontal="justify" vertical="center" wrapText="1"/>
    </xf>
    <xf numFmtId="10" fontId="66" fillId="7" borderId="49" xfId="3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indent="2"/>
    </xf>
    <xf numFmtId="0" fontId="2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179" fontId="75" fillId="3" borderId="0" xfId="0" applyNumberFormat="1" applyFont="1" applyFill="1" applyAlignment="1">
      <alignment horizontal="center"/>
    </xf>
    <xf numFmtId="182" fontId="9" fillId="2" borderId="0" xfId="0" applyNumberFormat="1" applyFont="1" applyFill="1" applyAlignment="1">
      <alignment horizontal="left"/>
    </xf>
    <xf numFmtId="166" fontId="0" fillId="0" borderId="0" xfId="0" applyNumberFormat="1"/>
    <xf numFmtId="166" fontId="0" fillId="0" borderId="0" xfId="0" applyNumberFormat="1" applyAlignment="1">
      <alignment horizontal="center" vertical="center"/>
    </xf>
    <xf numFmtId="0" fontId="0" fillId="0" borderId="24" xfId="0" applyBorder="1" applyAlignment="1">
      <alignment vertical="center"/>
    </xf>
    <xf numFmtId="166" fontId="0" fillId="0" borderId="24" xfId="0" applyNumberFormat="1" applyBorder="1"/>
    <xf numFmtId="10" fontId="9" fillId="2" borderId="0" xfId="3" applyNumberFormat="1" applyFont="1" applyFill="1" applyAlignment="1">
      <alignment horizontal="center"/>
    </xf>
    <xf numFmtId="8" fontId="67" fillId="0" borderId="0" xfId="0" applyNumberFormat="1" applyFont="1"/>
    <xf numFmtId="10" fontId="67" fillId="0" borderId="0" xfId="0" applyNumberFormat="1" applyFont="1"/>
    <xf numFmtId="181" fontId="67" fillId="0" borderId="0" xfId="0" applyNumberFormat="1" applyFont="1"/>
    <xf numFmtId="0" fontId="8" fillId="6" borderId="0" xfId="0" applyFont="1" applyFill="1"/>
    <xf numFmtId="181" fontId="63" fillId="44" borderId="65" xfId="0" applyNumberFormat="1" applyFont="1" applyFill="1" applyBorder="1" applyAlignment="1">
      <alignment vertical="center" wrapText="1"/>
    </xf>
    <xf numFmtId="44" fontId="9" fillId="2" borderId="0" xfId="1" applyFont="1" applyFill="1" applyAlignment="1">
      <alignment horizontal="center"/>
    </xf>
    <xf numFmtId="0" fontId="3" fillId="5" borderId="13" xfId="0" applyFont="1" applyFill="1" applyBorder="1"/>
    <xf numFmtId="0" fontId="3" fillId="5" borderId="13" xfId="0" applyFont="1" applyFill="1" applyBorder="1" applyAlignment="1">
      <alignment horizontal="center"/>
    </xf>
    <xf numFmtId="0" fontId="3" fillId="5" borderId="24" xfId="0" applyFont="1" applyFill="1" applyBorder="1"/>
    <xf numFmtId="10" fontId="3" fillId="5" borderId="24" xfId="3" applyNumberFormat="1" applyFont="1" applyFill="1" applyBorder="1" applyAlignment="1">
      <alignment horizontal="center"/>
    </xf>
    <xf numFmtId="0" fontId="3" fillId="5" borderId="24" xfId="0" applyFont="1" applyFill="1" applyBorder="1" applyAlignment="1">
      <alignment horizontal="center"/>
    </xf>
    <xf numFmtId="0" fontId="3" fillId="5" borderId="0" xfId="0" applyFont="1" applyFill="1" applyAlignment="1">
      <alignment horizontal="left" indent="1"/>
    </xf>
    <xf numFmtId="0" fontId="3" fillId="48" borderId="0" xfId="0" applyFont="1" applyFill="1"/>
    <xf numFmtId="9" fontId="0" fillId="49" borderId="0" xfId="3" applyFont="1" applyFill="1"/>
    <xf numFmtId="10" fontId="67" fillId="0" borderId="0" xfId="0" applyNumberFormat="1" applyFont="1" applyAlignment="1">
      <alignment horizontal="center"/>
    </xf>
    <xf numFmtId="0" fontId="78" fillId="50" borderId="0" xfId="0" applyFont="1" applyFill="1"/>
    <xf numFmtId="181" fontId="0" fillId="0" borderId="0" xfId="0" applyNumberFormat="1" applyAlignment="1">
      <alignment wrapText="1"/>
    </xf>
    <xf numFmtId="43" fontId="8" fillId="0" borderId="0" xfId="0" applyNumberFormat="1" applyFont="1"/>
    <xf numFmtId="0" fontId="9" fillId="2" borderId="15" xfId="1" applyNumberFormat="1" applyFont="1" applyFill="1" applyBorder="1" applyAlignment="1">
      <alignment horizontal="center"/>
    </xf>
    <xf numFmtId="0" fontId="9" fillId="2" borderId="15" xfId="2" applyNumberFormat="1" applyFont="1" applyFill="1" applyBorder="1" applyAlignment="1">
      <alignment horizontal="center"/>
    </xf>
    <xf numFmtId="0" fontId="14" fillId="2" borderId="10" xfId="0" applyFont="1" applyFill="1" applyBorder="1" applyAlignment="1">
      <alignment vertical="center"/>
    </xf>
    <xf numFmtId="0" fontId="14" fillId="2" borderId="50" xfId="0" applyFont="1" applyFill="1" applyBorder="1" applyAlignment="1">
      <alignment vertical="center"/>
    </xf>
    <xf numFmtId="0" fontId="79" fillId="0" borderId="0" xfId="0" applyFont="1"/>
    <xf numFmtId="44" fontId="79" fillId="0" borderId="0" xfId="0" applyNumberFormat="1" applyFont="1"/>
    <xf numFmtId="164" fontId="11" fillId="7" borderId="0" xfId="2" applyNumberFormat="1" applyFont="1" applyFill="1"/>
    <xf numFmtId="10" fontId="7" fillId="4" borderId="36" xfId="3" applyNumberFormat="1" applyFont="1" applyFill="1" applyBorder="1" applyAlignment="1">
      <alignment horizontal="center"/>
    </xf>
    <xf numFmtId="183" fontId="80" fillId="0" borderId="0" xfId="0" applyNumberFormat="1" applyFont="1" applyAlignment="1">
      <alignment horizontal="right"/>
    </xf>
    <xf numFmtId="10" fontId="2" fillId="0" borderId="0" xfId="3" applyNumberFormat="1" applyFont="1"/>
    <xf numFmtId="0" fontId="79" fillId="7" borderId="0" xfId="0" applyFont="1" applyFill="1"/>
    <xf numFmtId="166" fontId="12" fillId="7" borderId="10" xfId="1" applyNumberFormat="1" applyFont="1" applyFill="1" applyBorder="1"/>
    <xf numFmtId="0" fontId="12" fillId="7" borderId="15" xfId="0" applyFont="1" applyFill="1" applyBorder="1"/>
    <xf numFmtId="0" fontId="12" fillId="7" borderId="18" xfId="0" applyFont="1" applyFill="1" applyBorder="1"/>
    <xf numFmtId="166" fontId="12" fillId="7" borderId="19" xfId="1" applyNumberFormat="1" applyFont="1" applyFill="1" applyBorder="1"/>
    <xf numFmtId="0" fontId="12" fillId="5" borderId="36" xfId="0" applyFont="1" applyFill="1" applyBorder="1"/>
    <xf numFmtId="0" fontId="21" fillId="0" borderId="36" xfId="0" applyFont="1" applyBorder="1"/>
    <xf numFmtId="0" fontId="3" fillId="0" borderId="36" xfId="0" applyFont="1" applyBorder="1" applyAlignment="1">
      <alignment horizontal="center"/>
    </xf>
    <xf numFmtId="10" fontId="3" fillId="0" borderId="36" xfId="0" applyNumberFormat="1" applyFont="1" applyBorder="1" applyAlignment="1">
      <alignment horizontal="center"/>
    </xf>
    <xf numFmtId="10" fontId="21" fillId="0" borderId="36" xfId="3" applyNumberFormat="1" applyFont="1" applyBorder="1" applyAlignment="1">
      <alignment horizontal="center"/>
    </xf>
    <xf numFmtId="9" fontId="21" fillId="0" borderId="36" xfId="3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167" fontId="3" fillId="0" borderId="36" xfId="2" applyNumberFormat="1" applyFont="1" applyBorder="1" applyAlignment="1">
      <alignment horizontal="center"/>
    </xf>
    <xf numFmtId="0" fontId="7" fillId="4" borderId="36" xfId="0" applyFont="1" applyFill="1" applyBorder="1" applyAlignment="1">
      <alignment horizontal="left"/>
    </xf>
    <xf numFmtId="0" fontId="5" fillId="2" borderId="83" xfId="0" applyFont="1" applyFill="1" applyBorder="1" applyAlignment="1">
      <alignment horizontal="center"/>
    </xf>
    <xf numFmtId="0" fontId="78" fillId="50" borderId="0" xfId="0" applyFont="1" applyFill="1" applyAlignment="1">
      <alignment horizontal="center"/>
    </xf>
    <xf numFmtId="181" fontId="78" fillId="50" borderId="0" xfId="0" applyNumberFormat="1" applyFont="1" applyFill="1" applyAlignment="1">
      <alignment horizontal="center"/>
    </xf>
    <xf numFmtId="0" fontId="7" fillId="4" borderId="87" xfId="0" applyFont="1" applyFill="1" applyBorder="1"/>
    <xf numFmtId="0" fontId="7" fillId="4" borderId="88" xfId="0" applyFont="1" applyFill="1" applyBorder="1"/>
    <xf numFmtId="181" fontId="7" fillId="4" borderId="89" xfId="0" applyNumberFormat="1" applyFont="1" applyFill="1" applyBorder="1" applyAlignment="1">
      <alignment horizontal="left"/>
    </xf>
    <xf numFmtId="0" fontId="7" fillId="4" borderId="89" xfId="0" applyFont="1" applyFill="1" applyBorder="1"/>
    <xf numFmtId="0" fontId="78" fillId="50" borderId="0" xfId="0" applyFont="1" applyFill="1" applyAlignment="1">
      <alignment vertical="center"/>
    </xf>
    <xf numFmtId="0" fontId="81" fillId="50" borderId="0" xfId="0" applyFont="1" applyFill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0" fontId="12" fillId="5" borderId="19" xfId="0" applyFont="1" applyFill="1" applyBorder="1" applyAlignment="1">
      <alignment horizontal="center"/>
    </xf>
    <xf numFmtId="0" fontId="9" fillId="2" borderId="15" xfId="0" applyFont="1" applyFill="1" applyBorder="1"/>
    <xf numFmtId="0" fontId="9" fillId="2" borderId="18" xfId="0" applyFont="1" applyFill="1" applyBorder="1"/>
    <xf numFmtId="1" fontId="3" fillId="5" borderId="0" xfId="2" applyNumberFormat="1" applyFont="1" applyFill="1" applyAlignment="1">
      <alignment horizontal="center"/>
    </xf>
    <xf numFmtId="0" fontId="7" fillId="4" borderId="36" xfId="1" applyNumberFormat="1" applyFont="1" applyFill="1" applyBorder="1" applyAlignment="1">
      <alignment horizontal="center"/>
    </xf>
    <xf numFmtId="9" fontId="3" fillId="0" borderId="0" xfId="0" applyNumberFormat="1" applyFont="1" applyAlignment="1">
      <alignment horizontal="center"/>
    </xf>
    <xf numFmtId="9" fontId="3" fillId="0" borderId="0" xfId="3" applyFont="1" applyAlignment="1">
      <alignment horizontal="center"/>
    </xf>
    <xf numFmtId="164" fontId="3" fillId="5" borderId="0" xfId="2" applyNumberFormat="1" applyFont="1" applyFill="1" applyAlignment="1"/>
    <xf numFmtId="164" fontId="3" fillId="5" borderId="0" xfId="2" applyNumberFormat="1" applyFont="1" applyFill="1" applyAlignment="1">
      <alignment horizontal="center" wrapText="1"/>
    </xf>
    <xf numFmtId="0" fontId="82" fillId="0" borderId="0" xfId="418" applyFont="1"/>
    <xf numFmtId="10" fontId="83" fillId="0" borderId="0" xfId="0" applyNumberFormat="1" applyFont="1"/>
    <xf numFmtId="0" fontId="8" fillId="0" borderId="13" xfId="0" applyFont="1" applyBorder="1"/>
    <xf numFmtId="3" fontId="4" fillId="4" borderId="6" xfId="2" applyNumberFormat="1" applyFont="1" applyFill="1" applyBorder="1" applyAlignment="1">
      <alignment horizontal="center"/>
    </xf>
    <xf numFmtId="3" fontId="84" fillId="48" borderId="29" xfId="0" applyNumberFormat="1" applyFont="1" applyFill="1" applyBorder="1" applyAlignment="1">
      <alignment horizontal="center"/>
    </xf>
    <xf numFmtId="1" fontId="4" fillId="4" borderId="29" xfId="0" applyNumberFormat="1" applyFont="1" applyFill="1" applyBorder="1" applyAlignment="1">
      <alignment horizontal="center"/>
    </xf>
    <xf numFmtId="1" fontId="4" fillId="4" borderId="25" xfId="0" applyNumberFormat="1" applyFont="1" applyFill="1" applyBorder="1" applyAlignment="1">
      <alignment horizontal="center"/>
    </xf>
    <xf numFmtId="0" fontId="12" fillId="44" borderId="66" xfId="0" applyFont="1" applyFill="1" applyBorder="1" applyAlignment="1">
      <alignment horizontal="center"/>
    </xf>
    <xf numFmtId="0" fontId="12" fillId="44" borderId="35" xfId="0" applyFont="1" applyFill="1" applyBorder="1" applyAlignment="1">
      <alignment horizontal="center"/>
    </xf>
    <xf numFmtId="0" fontId="85" fillId="44" borderId="3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1" fontId="7" fillId="5" borderId="13" xfId="0" applyNumberFormat="1" applyFont="1" applyFill="1" applyBorder="1" applyAlignment="1">
      <alignment horizontal="center"/>
    </xf>
    <xf numFmtId="44" fontId="7" fillId="5" borderId="13" xfId="1" applyFont="1" applyFill="1" applyBorder="1" applyAlignment="1">
      <alignment horizontal="center"/>
    </xf>
    <xf numFmtId="4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84" fontId="3" fillId="5" borderId="2" xfId="1" applyNumberFormat="1" applyFont="1" applyFill="1" applyBorder="1" applyAlignment="1">
      <alignment horizontal="center"/>
    </xf>
    <xf numFmtId="0" fontId="6" fillId="2" borderId="2" xfId="0" applyFont="1" applyFill="1" applyBorder="1"/>
    <xf numFmtId="9" fontId="7" fillId="5" borderId="2" xfId="3" applyFont="1" applyFill="1" applyBorder="1" applyAlignment="1">
      <alignment horizontal="center"/>
    </xf>
    <xf numFmtId="184" fontId="3" fillId="5" borderId="2" xfId="1" applyNumberFormat="1" applyFont="1" applyFill="1" applyBorder="1" applyAlignment="1">
      <alignment vertical="center"/>
    </xf>
    <xf numFmtId="184" fontId="3" fillId="5" borderId="2" xfId="1" applyNumberFormat="1" applyFont="1" applyFill="1" applyBorder="1" applyAlignment="1"/>
    <xf numFmtId="164" fontId="3" fillId="5" borderId="0" xfId="2" applyNumberFormat="1" applyFont="1" applyFill="1" applyBorder="1" applyAlignment="1">
      <alignment horizontal="center"/>
    </xf>
    <xf numFmtId="184" fontId="3" fillId="5" borderId="0" xfId="2" applyNumberFormat="1" applyFont="1" applyFill="1" applyBorder="1" applyAlignment="1">
      <alignment horizontal="center"/>
    </xf>
    <xf numFmtId="164" fontId="9" fillId="2" borderId="2" xfId="2" applyNumberFormat="1" applyFont="1" applyFill="1" applyBorder="1" applyAlignment="1">
      <alignment horizontal="center"/>
    </xf>
    <xf numFmtId="184" fontId="9" fillId="2" borderId="2" xfId="2" applyNumberFormat="1" applyFont="1" applyFill="1" applyBorder="1" applyAlignment="1">
      <alignment horizontal="center"/>
    </xf>
    <xf numFmtId="184" fontId="9" fillId="2" borderId="2" xfId="0" applyNumberFormat="1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184" fontId="12" fillId="4" borderId="0" xfId="1" applyNumberFormat="1" applyFont="1" applyFill="1" applyAlignment="1">
      <alignment horizontal="center"/>
    </xf>
    <xf numFmtId="184" fontId="3" fillId="4" borderId="0" xfId="1" applyNumberFormat="1" applyFont="1" applyFill="1" applyAlignment="1">
      <alignment horizontal="center"/>
    </xf>
    <xf numFmtId="184" fontId="3" fillId="4" borderId="0" xfId="1" applyNumberFormat="1" applyFont="1" applyFill="1" applyAlignment="1"/>
    <xf numFmtId="0" fontId="12" fillId="4" borderId="13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24" fillId="4" borderId="92" xfId="419" applyFill="1" applyBorder="1" applyAlignment="1">
      <alignment horizontal="left"/>
    </xf>
    <xf numFmtId="0" fontId="4" fillId="4" borderId="92" xfId="0" applyFont="1" applyFill="1" applyBorder="1" applyAlignment="1">
      <alignment horizontal="left"/>
    </xf>
    <xf numFmtId="0" fontId="4" fillId="4" borderId="69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44" fontId="3" fillId="5" borderId="0" xfId="1" applyFont="1" applyFill="1" applyAlignment="1">
      <alignment horizontal="center" vertical="center"/>
    </xf>
    <xf numFmtId="18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186" fontId="0" fillId="0" borderId="0" xfId="2" applyNumberFormat="1" applyFont="1"/>
    <xf numFmtId="0" fontId="16" fillId="51" borderId="0" xfId="0" applyFont="1" applyFill="1" applyAlignment="1">
      <alignment horizontal="center"/>
    </xf>
    <xf numFmtId="0" fontId="16" fillId="52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186" fontId="0" fillId="0" borderId="0" xfId="2" applyNumberFormat="1" applyFont="1" applyAlignment="1">
      <alignment horizontal="center"/>
    </xf>
    <xf numFmtId="0" fontId="0" fillId="0" borderId="13" xfId="0" applyBorder="1"/>
    <xf numFmtId="9" fontId="0" fillId="0" borderId="13" xfId="0" applyNumberFormat="1" applyBorder="1" applyAlignment="1">
      <alignment horizontal="center"/>
    </xf>
    <xf numFmtId="186" fontId="0" fillId="0" borderId="13" xfId="2" applyNumberFormat="1" applyFont="1" applyBorder="1" applyAlignment="1">
      <alignment horizontal="center"/>
    </xf>
    <xf numFmtId="186" fontId="79" fillId="0" borderId="0" xfId="0" applyNumberFormat="1" applyFont="1"/>
    <xf numFmtId="0" fontId="13" fillId="44" borderId="3" xfId="0" applyFont="1" applyFill="1" applyBorder="1" applyAlignment="1">
      <alignment horizontal="center"/>
    </xf>
    <xf numFmtId="0" fontId="87" fillId="0" borderId="0" xfId="0" applyFont="1"/>
    <xf numFmtId="0" fontId="13" fillId="4" borderId="3" xfId="0" applyFont="1" applyFill="1" applyBorder="1" applyAlignment="1">
      <alignment horizontal="center"/>
    </xf>
    <xf numFmtId="187" fontId="13" fillId="4" borderId="3" xfId="0" applyNumberFormat="1" applyFont="1" applyFill="1" applyBorder="1" applyAlignment="1">
      <alignment horizontal="center"/>
    </xf>
    <xf numFmtId="1" fontId="13" fillId="4" borderId="3" xfId="0" applyNumberFormat="1" applyFont="1" applyFill="1" applyBorder="1" applyAlignment="1">
      <alignment horizontal="center"/>
    </xf>
    <xf numFmtId="0" fontId="88" fillId="0" borderId="0" xfId="0" applyFont="1" applyAlignment="1">
      <alignment horizontal="center" vertical="center"/>
    </xf>
    <xf numFmtId="10" fontId="13" fillId="4" borderId="3" xfId="3" applyNumberFormat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3" xfId="0" applyBorder="1" applyAlignment="1">
      <alignment horizontal="left"/>
    </xf>
    <xf numFmtId="9" fontId="3" fillId="0" borderId="13" xfId="3" applyFont="1" applyBorder="1" applyAlignment="1">
      <alignment horizontal="center"/>
    </xf>
    <xf numFmtId="188" fontId="0" fillId="0" borderId="0" xfId="0" applyNumberFormat="1"/>
    <xf numFmtId="0" fontId="8" fillId="0" borderId="0" xfId="0" applyFont="1" applyAlignment="1">
      <alignment horizontal="center" vertical="center"/>
    </xf>
    <xf numFmtId="0" fontId="54" fillId="0" borderId="0" xfId="0" applyFont="1" applyAlignment="1">
      <alignment horizontal="center"/>
    </xf>
    <xf numFmtId="187" fontId="8" fillId="0" borderId="0" xfId="0" applyNumberFormat="1" applyFont="1" applyAlignment="1">
      <alignment horizontal="center" vertical="center"/>
    </xf>
    <xf numFmtId="18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/>
    </xf>
    <xf numFmtId="189" fontId="8" fillId="0" borderId="13" xfId="0" applyNumberFormat="1" applyFont="1" applyBorder="1" applyAlignment="1">
      <alignment horizontal="center" vertical="center"/>
    </xf>
    <xf numFmtId="187" fontId="8" fillId="0" borderId="13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9" fontId="8" fillId="0" borderId="0" xfId="3" applyFont="1" applyAlignment="1">
      <alignment horizontal="center" vertical="center"/>
    </xf>
    <xf numFmtId="9" fontId="8" fillId="0" borderId="13" xfId="3" applyFont="1" applyBorder="1" applyAlignment="1">
      <alignment horizontal="center" vertical="center"/>
    </xf>
    <xf numFmtId="0" fontId="87" fillId="0" borderId="0" xfId="0" applyFont="1" applyAlignment="1">
      <alignment horizontal="center"/>
    </xf>
    <xf numFmtId="10" fontId="13" fillId="4" borderId="66" xfId="3" applyNumberFormat="1" applyFont="1" applyFill="1" applyBorder="1" applyAlignment="1">
      <alignment horizontal="center"/>
    </xf>
    <xf numFmtId="10" fontId="13" fillId="4" borderId="93" xfId="3" applyNumberFormat="1" applyFont="1" applyFill="1" applyBorder="1" applyAlignment="1">
      <alignment horizontal="center"/>
    </xf>
    <xf numFmtId="0" fontId="18" fillId="52" borderId="0" xfId="0" applyFont="1" applyFill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8" fillId="0" borderId="13" xfId="0" applyNumberFormat="1" applyFont="1" applyBorder="1" applyAlignment="1">
      <alignment horizontal="center" vertical="center"/>
    </xf>
    <xf numFmtId="190" fontId="8" fillId="0" borderId="0" xfId="0" applyNumberFormat="1" applyFont="1" applyAlignment="1">
      <alignment horizontal="center" vertical="center"/>
    </xf>
    <xf numFmtId="0" fontId="89" fillId="52" borderId="0" xfId="0" applyFont="1" applyFill="1" applyAlignment="1">
      <alignment horizontal="center" vertical="center"/>
    </xf>
    <xf numFmtId="0" fontId="89" fillId="53" borderId="0" xfId="0" applyFont="1" applyFill="1"/>
    <xf numFmtId="0" fontId="90" fillId="0" borderId="0" xfId="0" applyFont="1"/>
    <xf numFmtId="0" fontId="90" fillId="0" borderId="0" xfId="0" applyFont="1" applyAlignment="1">
      <alignment horizontal="center" vertical="center"/>
    </xf>
    <xf numFmtId="1" fontId="90" fillId="0" borderId="0" xfId="0" applyNumberFormat="1" applyFont="1" applyAlignment="1">
      <alignment horizontal="center" vertical="center"/>
    </xf>
    <xf numFmtId="2" fontId="90" fillId="0" borderId="0" xfId="0" applyNumberFormat="1" applyFont="1" applyAlignment="1">
      <alignment horizontal="center" vertical="center"/>
    </xf>
    <xf numFmtId="0" fontId="90" fillId="0" borderId="1" xfId="0" applyFont="1" applyBorder="1"/>
    <xf numFmtId="0" fontId="90" fillId="0" borderId="1" xfId="0" applyFont="1" applyBorder="1" applyAlignment="1">
      <alignment horizontal="center" vertical="center"/>
    </xf>
    <xf numFmtId="0" fontId="90" fillId="44" borderId="0" xfId="0" applyFont="1" applyFill="1"/>
    <xf numFmtId="10" fontId="90" fillId="44" borderId="0" xfId="3" applyNumberFormat="1" applyFont="1" applyFill="1" applyAlignment="1">
      <alignment horizontal="center" vertical="center"/>
    </xf>
    <xf numFmtId="10" fontId="90" fillId="0" borderId="0" xfId="0" applyNumberFormat="1" applyFont="1" applyAlignment="1">
      <alignment horizontal="center" vertical="center"/>
    </xf>
    <xf numFmtId="0" fontId="91" fillId="0" borderId="0" xfId="0" applyFont="1"/>
    <xf numFmtId="1" fontId="90" fillId="0" borderId="0" xfId="0" applyNumberFormat="1" applyFont="1" applyAlignment="1">
      <alignment horizontal="center"/>
    </xf>
    <xf numFmtId="0" fontId="90" fillId="0" borderId="1" xfId="0" applyFont="1" applyBorder="1" applyAlignment="1">
      <alignment horizontal="center"/>
    </xf>
    <xf numFmtId="2" fontId="90" fillId="0" borderId="0" xfId="0" applyNumberFormat="1" applyFont="1" applyAlignment="1">
      <alignment horizontal="center"/>
    </xf>
    <xf numFmtId="0" fontId="90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10" fontId="0" fillId="0" borderId="0" xfId="3" applyNumberFormat="1" applyFont="1" applyAlignment="1">
      <alignment horizontal="center"/>
    </xf>
    <xf numFmtId="0" fontId="5" fillId="2" borderId="1" xfId="0" applyFont="1" applyFill="1" applyBorder="1"/>
    <xf numFmtId="1" fontId="0" fillId="0" borderId="0" xfId="2" applyNumberFormat="1" applyFont="1" applyAlignment="1">
      <alignment horizontal="center" vertical="center"/>
    </xf>
    <xf numFmtId="0" fontId="13" fillId="5" borderId="0" xfId="0" applyFont="1" applyFill="1" applyAlignment="1">
      <alignment vertical="center"/>
    </xf>
    <xf numFmtId="0" fontId="24" fillId="0" borderId="0" xfId="419" applyAlignment="1">
      <alignment horizontal="center" vertical="center"/>
    </xf>
    <xf numFmtId="44" fontId="0" fillId="0" borderId="0" xfId="1" applyFont="1" applyAlignment="1">
      <alignment horizontal="center" vertical="center"/>
    </xf>
    <xf numFmtId="191" fontId="0" fillId="0" borderId="0" xfId="0" applyNumberFormat="1" applyAlignment="1">
      <alignment horizontal="center" vertical="center"/>
    </xf>
    <xf numFmtId="0" fontId="9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4" fillId="0" borderId="0" xfId="419" applyAlignment="1">
      <alignment vertical="center"/>
    </xf>
    <xf numFmtId="44" fontId="0" fillId="0" borderId="0" xfId="1" applyFont="1" applyAlignment="1">
      <alignment vertical="center"/>
    </xf>
    <xf numFmtId="0" fontId="0" fillId="0" borderId="0" xfId="0" applyAlignment="1">
      <alignment horizontal="center" vertical="top" wrapText="1"/>
    </xf>
    <xf numFmtId="166" fontId="0" fillId="0" borderId="0" xfId="1" applyNumberFormat="1" applyFont="1" applyAlignment="1">
      <alignment horizontal="center" vertical="center"/>
    </xf>
    <xf numFmtId="192" fontId="0" fillId="0" borderId="0" xfId="0" applyNumberFormat="1" applyAlignment="1">
      <alignment horizontal="center" vertical="center"/>
    </xf>
    <xf numFmtId="0" fontId="16" fillId="44" borderId="0" xfId="0" applyFont="1" applyFill="1"/>
    <xf numFmtId="44" fontId="16" fillId="44" borderId="0" xfId="1" applyFont="1" applyFill="1" applyAlignment="1">
      <alignment horizontal="center" vertical="center"/>
    </xf>
    <xf numFmtId="44" fontId="3" fillId="54" borderId="0" xfId="1" applyFont="1" applyFill="1" applyAlignment="1">
      <alignment horizontal="center"/>
    </xf>
    <xf numFmtId="9" fontId="3" fillId="54" borderId="0" xfId="3" applyFont="1" applyFill="1" applyAlignment="1">
      <alignment horizontal="center"/>
    </xf>
    <xf numFmtId="0" fontId="0" fillId="0" borderId="0" xfId="0" applyAlignment="1">
      <alignment horizontal="left" vertical="center"/>
    </xf>
    <xf numFmtId="0" fontId="0" fillId="0" borderId="13" xfId="0" applyBorder="1" applyAlignment="1">
      <alignment horizontal="left" vertical="center"/>
    </xf>
    <xf numFmtId="1" fontId="4" fillId="4" borderId="6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left" indent="2"/>
    </xf>
    <xf numFmtId="0" fontId="5" fillId="2" borderId="0" xfId="0" applyFont="1" applyFill="1" applyAlignment="1">
      <alignment horizontal="left" indent="4"/>
    </xf>
    <xf numFmtId="43" fontId="7" fillId="5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93" fillId="37" borderId="0" xfId="0" applyFont="1" applyFill="1"/>
    <xf numFmtId="0" fontId="2" fillId="37" borderId="0" xfId="0" applyFont="1" applyFill="1" applyAlignment="1">
      <alignment horizontal="center"/>
    </xf>
    <xf numFmtId="181" fontId="3" fillId="54" borderId="0" xfId="1" applyNumberFormat="1" applyFont="1" applyFill="1" applyAlignment="1">
      <alignment horizontal="center"/>
    </xf>
    <xf numFmtId="10" fontId="3" fillId="54" borderId="0" xfId="3" applyNumberFormat="1" applyFont="1" applyFill="1" applyAlignment="1">
      <alignment horizontal="center"/>
    </xf>
    <xf numFmtId="0" fontId="3" fillId="5" borderId="52" xfId="2" applyNumberFormat="1" applyFont="1" applyFill="1" applyBorder="1" applyAlignment="1">
      <alignment horizontal="center" vertical="center"/>
    </xf>
    <xf numFmtId="181" fontId="0" fillId="0" borderId="0" xfId="0" applyNumberFormat="1"/>
    <xf numFmtId="44" fontId="3" fillId="55" borderId="52" xfId="1" applyFont="1" applyFill="1" applyBorder="1" applyAlignment="1">
      <alignment horizontal="center"/>
    </xf>
    <xf numFmtId="181" fontId="9" fillId="2" borderId="0" xfId="0" applyNumberFormat="1" applyFont="1" applyFill="1" applyAlignment="1">
      <alignment horizontal="center"/>
    </xf>
    <xf numFmtId="9" fontId="0" fillId="5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94" fillId="0" borderId="0" xfId="0" applyFont="1" applyAlignment="1">
      <alignment horizontal="center"/>
    </xf>
    <xf numFmtId="3" fontId="94" fillId="0" borderId="0" xfId="0" applyNumberFormat="1" applyFont="1" applyAlignment="1">
      <alignment horizontal="center"/>
    </xf>
    <xf numFmtId="193" fontId="94" fillId="0" borderId="0" xfId="0" applyNumberFormat="1" applyFont="1" applyAlignment="1">
      <alignment horizontal="center"/>
    </xf>
    <xf numFmtId="165" fontId="4" fillId="4" borderId="0" xfId="3" applyNumberFormat="1" applyFont="1" applyFill="1" applyBorder="1" applyAlignment="1">
      <alignment horizontal="center"/>
    </xf>
    <xf numFmtId="0" fontId="4" fillId="4" borderId="0" xfId="0" applyFont="1" applyFill="1" applyAlignment="1">
      <alignment horizontal="left" indent="6"/>
    </xf>
    <xf numFmtId="0" fontId="7" fillId="4" borderId="0" xfId="0" applyFont="1" applyFill="1"/>
    <xf numFmtId="0" fontId="7" fillId="4" borderId="0" xfId="0" applyFont="1" applyFill="1" applyAlignment="1">
      <alignment horizontal="left" indent="2"/>
    </xf>
    <xf numFmtId="0" fontId="5" fillId="2" borderId="0" xfId="0" applyFont="1" applyFill="1" applyAlignment="1">
      <alignment horizontal="left" indent="13"/>
    </xf>
    <xf numFmtId="0" fontId="12" fillId="5" borderId="34" xfId="0" applyFont="1" applyFill="1" applyBorder="1" applyAlignment="1">
      <alignment horizontal="center"/>
    </xf>
    <xf numFmtId="0" fontId="12" fillId="5" borderId="82" xfId="0" applyFont="1" applyFill="1" applyBorder="1" applyAlignment="1">
      <alignment horizontal="center"/>
    </xf>
    <xf numFmtId="0" fontId="21" fillId="5" borderId="0" xfId="2" applyNumberFormat="1" applyFont="1" applyFill="1" applyAlignment="1">
      <alignment horizontal="center" vertical="center"/>
    </xf>
    <xf numFmtId="9" fontId="21" fillId="5" borderId="0" xfId="3" applyFont="1" applyFill="1" applyAlignment="1">
      <alignment horizontal="center" vertical="center"/>
    </xf>
    <xf numFmtId="0" fontId="9" fillId="2" borderId="0" xfId="0" applyFont="1" applyFill="1" applyAlignment="1">
      <alignment horizontal="left" indent="24"/>
    </xf>
    <xf numFmtId="165" fontId="4" fillId="4" borderId="0" xfId="3" applyNumberFormat="1" applyFont="1" applyFill="1" applyBorder="1" applyAlignment="1"/>
    <xf numFmtId="165" fontId="4" fillId="4" borderId="13" xfId="3" applyNumberFormat="1" applyFont="1" applyFill="1" applyBorder="1" applyAlignment="1"/>
    <xf numFmtId="165" fontId="4" fillId="4" borderId="8" xfId="3" applyNumberFormat="1" applyFont="1" applyFill="1" applyBorder="1" applyAlignment="1"/>
    <xf numFmtId="165" fontId="4" fillId="4" borderId="8" xfId="3" applyNumberFormat="1" applyFont="1" applyFill="1" applyBorder="1" applyAlignment="1">
      <alignment horizontal="left" indent="19"/>
    </xf>
    <xf numFmtId="165" fontId="4" fillId="4" borderId="0" xfId="3" applyNumberFormat="1" applyFont="1" applyFill="1" applyBorder="1" applyAlignment="1">
      <alignment horizontal="left" indent="19"/>
    </xf>
    <xf numFmtId="165" fontId="4" fillId="4" borderId="13" xfId="3" applyNumberFormat="1" applyFont="1" applyFill="1" applyBorder="1" applyAlignment="1">
      <alignment horizontal="left" indent="19"/>
    </xf>
    <xf numFmtId="1" fontId="4" fillId="4" borderId="0" xfId="2" applyNumberFormat="1" applyFont="1" applyFill="1" applyAlignment="1">
      <alignment horizontal="center" vertical="center"/>
    </xf>
    <xf numFmtId="1" fontId="4" fillId="4" borderId="24" xfId="2" applyNumberFormat="1" applyFont="1" applyFill="1" applyBorder="1" applyAlignment="1">
      <alignment horizontal="center" vertical="center"/>
    </xf>
    <xf numFmtId="0" fontId="3" fillId="54" borderId="0" xfId="1" applyNumberFormat="1" applyFont="1" applyFill="1" applyAlignment="1">
      <alignment horizontal="center"/>
    </xf>
    <xf numFmtId="9" fontId="4" fillId="54" borderId="10" xfId="3" applyFont="1" applyFill="1" applyBorder="1" applyAlignment="1">
      <alignment horizontal="center"/>
    </xf>
    <xf numFmtId="181" fontId="7" fillId="54" borderId="0" xfId="1" applyNumberFormat="1" applyFont="1" applyFill="1" applyAlignment="1">
      <alignment horizontal="center"/>
    </xf>
    <xf numFmtId="9" fontId="0" fillId="0" borderId="0" xfId="0" applyNumberFormat="1"/>
    <xf numFmtId="0" fontId="4" fillId="4" borderId="10" xfId="0" applyFont="1" applyFill="1" applyBorder="1" applyAlignment="1">
      <alignment horizontal="left"/>
    </xf>
    <xf numFmtId="0" fontId="4" fillId="4" borderId="19" xfId="0" applyFont="1" applyFill="1" applyBorder="1" applyAlignment="1">
      <alignment horizontal="left"/>
    </xf>
    <xf numFmtId="0" fontId="4" fillId="4" borderId="70" xfId="0" applyFont="1" applyFill="1" applyBorder="1" applyAlignment="1">
      <alignment horizontal="left"/>
    </xf>
    <xf numFmtId="165" fontId="4" fillId="4" borderId="0" xfId="3" applyNumberFormat="1" applyFont="1" applyFill="1" applyBorder="1" applyAlignment="1">
      <alignment horizontal="left" vertical="center"/>
    </xf>
    <xf numFmtId="10" fontId="16" fillId="53" borderId="0" xfId="0" applyNumberFormat="1" applyFont="1" applyFill="1" applyAlignment="1">
      <alignment horizontal="center" vertical="center"/>
    </xf>
    <xf numFmtId="0" fontId="16" fillId="53" borderId="0" xfId="0" applyFont="1" applyFill="1"/>
    <xf numFmtId="10" fontId="77" fillId="0" borderId="0" xfId="0" applyNumberFormat="1" applyFont="1" applyAlignment="1">
      <alignment wrapText="1"/>
    </xf>
    <xf numFmtId="0" fontId="16" fillId="53" borderId="0" xfId="0" applyFont="1" applyFill="1" applyAlignment="1">
      <alignment vertical="center"/>
    </xf>
    <xf numFmtId="10" fontId="16" fillId="53" borderId="0" xfId="0" applyNumberFormat="1" applyFont="1" applyFill="1" applyAlignment="1">
      <alignment vertical="center"/>
    </xf>
    <xf numFmtId="10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81" fontId="16" fillId="53" borderId="0" xfId="1" applyNumberFormat="1" applyFont="1" applyFill="1" applyAlignment="1">
      <alignment horizontal="center" vertical="center"/>
    </xf>
    <xf numFmtId="181" fontId="16" fillId="39" borderId="0" xfId="0" applyNumberFormat="1" applyFont="1" applyFill="1" applyAlignment="1">
      <alignment vertical="center"/>
    </xf>
    <xf numFmtId="181" fontId="16" fillId="53" borderId="0" xfId="1" applyNumberFormat="1" applyFont="1" applyFill="1" applyAlignment="1">
      <alignment vertical="center"/>
    </xf>
    <xf numFmtId="10" fontId="16" fillId="37" borderId="0" xfId="0" applyNumberFormat="1" applyFont="1" applyFill="1" applyAlignment="1">
      <alignment horizontal="center" vertical="center"/>
    </xf>
    <xf numFmtId="44" fontId="16" fillId="37" borderId="0" xfId="0" applyNumberFormat="1" applyFont="1" applyFill="1" applyAlignment="1">
      <alignment horizontal="center" vertical="center"/>
    </xf>
    <xf numFmtId="181" fontId="16" fillId="39" borderId="0" xfId="0" applyNumberFormat="1" applyFont="1" applyFill="1" applyAlignment="1">
      <alignment horizontal="center" vertical="center"/>
    </xf>
    <xf numFmtId="0" fontId="0" fillId="0" borderId="13" xfId="0" applyBorder="1" applyAlignment="1">
      <alignment vertical="center"/>
    </xf>
    <xf numFmtId="194" fontId="0" fillId="0" borderId="13" xfId="1" applyNumberFormat="1" applyFont="1" applyBorder="1" applyAlignment="1">
      <alignment vertical="center"/>
    </xf>
    <xf numFmtId="194" fontId="0" fillId="0" borderId="0" xfId="1" applyNumberFormat="1" applyFont="1" applyBorder="1" applyAlignment="1">
      <alignment vertical="center"/>
    </xf>
    <xf numFmtId="2" fontId="4" fillId="4" borderId="24" xfId="2" applyNumberFormat="1" applyFont="1" applyFill="1" applyBorder="1" applyAlignment="1">
      <alignment horizontal="center" vertical="center"/>
    </xf>
    <xf numFmtId="0" fontId="86" fillId="4" borderId="70" xfId="0" applyFont="1" applyFill="1" applyBorder="1" applyAlignment="1">
      <alignment horizontal="left" indent="3"/>
    </xf>
    <xf numFmtId="1" fontId="7" fillId="5" borderId="0" xfId="2" applyNumberFormat="1" applyFont="1" applyFill="1" applyAlignment="1">
      <alignment horizontal="center" vertical="center"/>
    </xf>
    <xf numFmtId="181" fontId="7" fillId="5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indent="22"/>
    </xf>
    <xf numFmtId="165" fontId="86" fillId="4" borderId="0" xfId="3" applyNumberFormat="1" applyFont="1" applyFill="1" applyBorder="1" applyAlignment="1">
      <alignment horizontal="left" indent="19"/>
    </xf>
    <xf numFmtId="1" fontId="4" fillId="4" borderId="0" xfId="2" applyNumberFormat="1" applyFont="1" applyFill="1" applyBorder="1" applyAlignment="1">
      <alignment horizontal="center"/>
    </xf>
    <xf numFmtId="181" fontId="0" fillId="0" borderId="0" xfId="0" applyNumberFormat="1" applyAlignment="1">
      <alignment horizontal="center" vertical="center"/>
    </xf>
    <xf numFmtId="1" fontId="4" fillId="4" borderId="10" xfId="2" applyNumberFormat="1" applyFont="1" applyFill="1" applyBorder="1" applyAlignment="1">
      <alignment horizontal="center"/>
    </xf>
    <xf numFmtId="0" fontId="7" fillId="54" borderId="0" xfId="3" applyNumberFormat="1" applyFont="1" applyFill="1" applyAlignment="1">
      <alignment horizontal="center"/>
    </xf>
    <xf numFmtId="0" fontId="4" fillId="54" borderId="10" xfId="0" applyFont="1" applyFill="1" applyBorder="1" applyAlignment="1">
      <alignment horizontal="center"/>
    </xf>
    <xf numFmtId="181" fontId="4" fillId="4" borderId="19" xfId="1" applyNumberFormat="1" applyFont="1" applyFill="1" applyBorder="1" applyAlignment="1">
      <alignment horizontal="center"/>
    </xf>
    <xf numFmtId="0" fontId="4" fillId="4" borderId="0" xfId="2" applyNumberFormat="1" applyFont="1" applyFill="1" applyBorder="1" applyAlignment="1">
      <alignment horizontal="center" vertical="center"/>
    </xf>
    <xf numFmtId="0" fontId="7" fillId="5" borderId="0" xfId="2" applyNumberFormat="1" applyFont="1" applyFill="1" applyAlignment="1">
      <alignment horizontal="center" vertical="center"/>
    </xf>
    <xf numFmtId="0" fontId="7" fillId="54" borderId="0" xfId="2" applyNumberFormat="1" applyFont="1" applyFill="1" applyAlignment="1">
      <alignment horizontal="center"/>
    </xf>
    <xf numFmtId="9" fontId="4" fillId="4" borderId="13" xfId="0" applyNumberFormat="1" applyFont="1" applyFill="1" applyBorder="1" applyAlignment="1">
      <alignment horizontal="center"/>
    </xf>
    <xf numFmtId="0" fontId="4" fillId="4" borderId="13" xfId="2" applyNumberFormat="1" applyFont="1" applyFill="1" applyBorder="1" applyAlignment="1">
      <alignment horizontal="center" vertical="center"/>
    </xf>
    <xf numFmtId="9" fontId="4" fillId="4" borderId="0" xfId="0" applyNumberFormat="1" applyFont="1" applyFill="1" applyAlignment="1">
      <alignment horizontal="left" indent="24"/>
    </xf>
    <xf numFmtId="0" fontId="11" fillId="2" borderId="2" xfId="0" applyFont="1" applyFill="1" applyBorder="1" applyAlignment="1">
      <alignment horizontal="center"/>
    </xf>
    <xf numFmtId="9" fontId="4" fillId="4" borderId="13" xfId="0" applyNumberFormat="1" applyFont="1" applyFill="1" applyBorder="1" applyAlignment="1">
      <alignment horizontal="left" indent="24"/>
    </xf>
    <xf numFmtId="10" fontId="84" fillId="54" borderId="6" xfId="3" applyNumberFormat="1" applyFont="1" applyFill="1" applyBorder="1" applyAlignment="1">
      <alignment horizontal="center"/>
    </xf>
    <xf numFmtId="9" fontId="86" fillId="54" borderId="15" xfId="3" applyFont="1" applyFill="1" applyBorder="1" applyAlignment="1">
      <alignment horizontal="center"/>
    </xf>
    <xf numFmtId="9" fontId="4" fillId="54" borderId="0" xfId="3" applyFont="1" applyFill="1" applyBorder="1" applyAlignment="1">
      <alignment horizontal="center" vertical="center"/>
    </xf>
    <xf numFmtId="0" fontId="4" fillId="54" borderId="0" xfId="2" applyNumberFormat="1" applyFont="1" applyFill="1" applyBorder="1" applyAlignment="1">
      <alignment horizontal="center" vertical="center"/>
    </xf>
    <xf numFmtId="181" fontId="7" fillId="54" borderId="13" xfId="1" applyNumberFormat="1" applyFont="1" applyFill="1" applyBorder="1" applyAlignment="1">
      <alignment horizontal="center"/>
    </xf>
    <xf numFmtId="181" fontId="7" fillId="5" borderId="0" xfId="1" applyNumberFormat="1" applyFont="1" applyFill="1" applyAlignment="1">
      <alignment horizontal="center"/>
    </xf>
    <xf numFmtId="181" fontId="4" fillId="54" borderId="0" xfId="1" applyNumberFormat="1" applyFont="1" applyFill="1" applyAlignment="1">
      <alignment horizontal="center"/>
    </xf>
    <xf numFmtId="9" fontId="4" fillId="54" borderId="0" xfId="1" applyNumberFormat="1" applyFont="1" applyFill="1" applyAlignment="1">
      <alignment horizontal="center"/>
    </xf>
    <xf numFmtId="194" fontId="3" fillId="5" borderId="24" xfId="1" applyNumberFormat="1" applyFont="1" applyFill="1" applyBorder="1" applyAlignment="1">
      <alignment horizontal="center"/>
    </xf>
    <xf numFmtId="194" fontId="3" fillId="5" borderId="0" xfId="1" applyNumberFormat="1" applyFont="1" applyFill="1" applyAlignment="1">
      <alignment horizontal="center"/>
    </xf>
    <xf numFmtId="0" fontId="4" fillId="54" borderId="0" xfId="0" applyFont="1" applyFill="1" applyAlignment="1">
      <alignment horizontal="center"/>
    </xf>
    <xf numFmtId="10" fontId="4" fillId="54" borderId="0" xfId="3" applyNumberFormat="1" applyFont="1" applyFill="1" applyAlignment="1">
      <alignment horizontal="center"/>
    </xf>
    <xf numFmtId="166" fontId="7" fillId="54" borderId="0" xfId="1" applyNumberFormat="1" applyFont="1" applyFill="1" applyAlignment="1">
      <alignment horizontal="center"/>
    </xf>
    <xf numFmtId="0" fontId="4" fillId="4" borderId="0" xfId="0" applyFont="1" applyFill="1" applyAlignment="1">
      <alignment horizontal="left" indent="30"/>
    </xf>
    <xf numFmtId="0" fontId="9" fillId="2" borderId="52" xfId="0" applyFont="1" applyFill="1" applyBorder="1"/>
    <xf numFmtId="166" fontId="3" fillId="5" borderId="0" xfId="1" applyNumberFormat="1" applyFont="1" applyFill="1" applyAlignment="1">
      <alignment horizontal="center"/>
    </xf>
    <xf numFmtId="0" fontId="77" fillId="0" borderId="0" xfId="0" applyFont="1" applyAlignment="1">
      <alignment wrapText="1"/>
    </xf>
    <xf numFmtId="0" fontId="95" fillId="57" borderId="94" xfId="0" applyFont="1" applyFill="1" applyBorder="1"/>
    <xf numFmtId="0" fontId="77" fillId="58" borderId="95" xfId="0" applyFont="1" applyFill="1" applyBorder="1"/>
    <xf numFmtId="0" fontId="95" fillId="57" borderId="96" xfId="0" applyFont="1" applyFill="1" applyBorder="1" applyAlignment="1">
      <alignment wrapText="1"/>
    </xf>
    <xf numFmtId="0" fontId="77" fillId="58" borderId="97" xfId="0" applyFont="1" applyFill="1" applyBorder="1"/>
    <xf numFmtId="0" fontId="95" fillId="57" borderId="98" xfId="0" applyFont="1" applyFill="1" applyBorder="1"/>
    <xf numFmtId="0" fontId="77" fillId="58" borderId="99" xfId="0" applyFont="1" applyFill="1" applyBorder="1"/>
    <xf numFmtId="0" fontId="95" fillId="57" borderId="95" xfId="0" applyFont="1" applyFill="1" applyBorder="1"/>
    <xf numFmtId="0" fontId="96" fillId="58" borderId="104" xfId="0" applyFont="1" applyFill="1" applyBorder="1"/>
    <xf numFmtId="0" fontId="96" fillId="58" borderId="0" xfId="0" applyFont="1" applyFill="1"/>
    <xf numFmtId="0" fontId="96" fillId="58" borderId="97" xfId="0" applyFont="1" applyFill="1" applyBorder="1"/>
    <xf numFmtId="10" fontId="95" fillId="57" borderId="97" xfId="0" applyNumberFormat="1" applyFont="1" applyFill="1" applyBorder="1"/>
    <xf numFmtId="0" fontId="77" fillId="58" borderId="104" xfId="0" applyFont="1" applyFill="1" applyBorder="1"/>
    <xf numFmtId="0" fontId="77" fillId="58" borderId="0" xfId="0" applyFont="1" applyFill="1"/>
    <xf numFmtId="10" fontId="77" fillId="58" borderId="0" xfId="0" applyNumberFormat="1" applyFont="1" applyFill="1"/>
    <xf numFmtId="10" fontId="77" fillId="58" borderId="97" xfId="0" applyNumberFormat="1" applyFont="1" applyFill="1" applyBorder="1"/>
    <xf numFmtId="10" fontId="77" fillId="58" borderId="103" xfId="0" applyNumberFormat="1" applyFont="1" applyFill="1" applyBorder="1"/>
    <xf numFmtId="10" fontId="77" fillId="58" borderId="95" xfId="0" applyNumberFormat="1" applyFont="1" applyFill="1" applyBorder="1"/>
    <xf numFmtId="10" fontId="77" fillId="58" borderId="104" xfId="0" applyNumberFormat="1" applyFont="1" applyFill="1" applyBorder="1"/>
    <xf numFmtId="0" fontId="77" fillId="58" borderId="105" xfId="0" applyFont="1" applyFill="1" applyBorder="1"/>
    <xf numFmtId="0" fontId="77" fillId="58" borderId="106" xfId="0" applyFont="1" applyFill="1" applyBorder="1"/>
    <xf numFmtId="10" fontId="77" fillId="58" borderId="106" xfId="0" applyNumberFormat="1" applyFont="1" applyFill="1" applyBorder="1"/>
    <xf numFmtId="10" fontId="77" fillId="58" borderId="99" xfId="0" applyNumberFormat="1" applyFont="1" applyFill="1" applyBorder="1"/>
    <xf numFmtId="10" fontId="77" fillId="58" borderId="105" xfId="0" applyNumberFormat="1" applyFont="1" applyFill="1" applyBorder="1"/>
    <xf numFmtId="0" fontId="96" fillId="58" borderId="103" xfId="0" applyFont="1" applyFill="1" applyBorder="1"/>
    <xf numFmtId="0" fontId="96" fillId="58" borderId="107" xfId="0" applyFont="1" applyFill="1" applyBorder="1"/>
    <xf numFmtId="10" fontId="96" fillId="58" borderId="107" xfId="0" applyNumberFormat="1" applyFont="1" applyFill="1" applyBorder="1"/>
    <xf numFmtId="10" fontId="96" fillId="58" borderId="95" xfId="0" applyNumberFormat="1" applyFont="1" applyFill="1" applyBorder="1"/>
    <xf numFmtId="10" fontId="96" fillId="58" borderId="0" xfId="0" applyNumberFormat="1" applyFont="1" applyFill="1"/>
    <xf numFmtId="10" fontId="96" fillId="58" borderId="97" xfId="0" applyNumberFormat="1" applyFont="1" applyFill="1" applyBorder="1"/>
    <xf numFmtId="10" fontId="96" fillId="58" borderId="0" xfId="0" applyNumberFormat="1" applyFont="1" applyFill="1" applyAlignment="1">
      <alignment wrapText="1"/>
    </xf>
    <xf numFmtId="10" fontId="96" fillId="58" borderId="97" xfId="0" applyNumberFormat="1" applyFont="1" applyFill="1" applyBorder="1" applyAlignment="1">
      <alignment wrapText="1"/>
    </xf>
    <xf numFmtId="0" fontId="97" fillId="58" borderId="103" xfId="0" applyFont="1" applyFill="1" applyBorder="1"/>
    <xf numFmtId="0" fontId="77" fillId="58" borderId="107" xfId="0" applyFont="1" applyFill="1" applyBorder="1"/>
    <xf numFmtId="0" fontId="96" fillId="0" borderId="0" xfId="0" applyFont="1"/>
    <xf numFmtId="0" fontId="77" fillId="58" borderId="97" xfId="0" quotePrefix="1" applyFont="1" applyFill="1" applyBorder="1" applyAlignment="1">
      <alignment horizontal="center"/>
    </xf>
    <xf numFmtId="44" fontId="7" fillId="5" borderId="0" xfId="1" applyFont="1" applyFill="1" applyAlignment="1">
      <alignment wrapText="1"/>
    </xf>
    <xf numFmtId="0" fontId="7" fillId="4" borderId="10" xfId="0" applyFont="1" applyFill="1" applyBorder="1" applyAlignment="1">
      <alignment horizontal="left" wrapText="1"/>
    </xf>
    <xf numFmtId="44" fontId="7" fillId="54" borderId="36" xfId="1" applyFont="1" applyFill="1" applyBorder="1" applyAlignment="1">
      <alignment horizontal="center"/>
    </xf>
    <xf numFmtId="10" fontId="0" fillId="54" borderId="0" xfId="0" applyNumberFormat="1" applyFill="1"/>
    <xf numFmtId="8" fontId="7" fillId="0" borderId="0" xfId="0" applyNumberFormat="1" applyFont="1" applyAlignment="1">
      <alignment horizontal="center"/>
    </xf>
    <xf numFmtId="0" fontId="98" fillId="0" borderId="0" xfId="0" applyFont="1" applyAlignment="1">
      <alignment horizontal="center" vertical="center"/>
    </xf>
    <xf numFmtId="166" fontId="3" fillId="5" borderId="13" xfId="1" applyNumberFormat="1" applyFont="1" applyFill="1" applyBorder="1" applyAlignment="1">
      <alignment horizontal="center"/>
    </xf>
    <xf numFmtId="44" fontId="3" fillId="5" borderId="13" xfId="1" applyFont="1" applyFill="1" applyBorder="1" applyAlignment="1">
      <alignment horizontal="center"/>
    </xf>
    <xf numFmtId="0" fontId="99" fillId="0" borderId="0" xfId="0" applyFont="1"/>
    <xf numFmtId="195" fontId="4" fillId="4" borderId="0" xfId="1" applyNumberFormat="1" applyFont="1" applyFill="1" applyBorder="1" applyAlignment="1">
      <alignment horizontal="center"/>
    </xf>
    <xf numFmtId="0" fontId="4" fillId="0" borderId="12" xfId="0" applyFont="1" applyBorder="1"/>
    <xf numFmtId="2" fontId="7" fillId="54" borderId="36" xfId="0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194" fontId="3" fillId="5" borderId="0" xfId="1" applyNumberFormat="1" applyFont="1" applyFill="1" applyAlignment="1">
      <alignment horizontal="center" vertical="center"/>
    </xf>
    <xf numFmtId="166" fontId="12" fillId="5" borderId="0" xfId="1" applyNumberFormat="1" applyFont="1" applyFill="1" applyAlignment="1">
      <alignment horizontal="center"/>
    </xf>
    <xf numFmtId="166" fontId="3" fillId="5" borderId="52" xfId="1" applyNumberFormat="1" applyFont="1" applyFill="1" applyBorder="1" applyAlignment="1">
      <alignment horizontal="center"/>
    </xf>
    <xf numFmtId="10" fontId="0" fillId="0" borderId="0" xfId="3" applyNumberFormat="1" applyFont="1" applyAlignment="1">
      <alignment wrapText="1"/>
    </xf>
    <xf numFmtId="196" fontId="12" fillId="4" borderId="0" xfId="1" applyNumberFormat="1" applyFont="1" applyFill="1" applyAlignment="1">
      <alignment horizontal="center"/>
    </xf>
    <xf numFmtId="9" fontId="7" fillId="5" borderId="2" xfId="3" applyFont="1" applyFill="1" applyBorder="1" applyAlignment="1">
      <alignment horizontal="center" vertical="center"/>
    </xf>
    <xf numFmtId="10" fontId="3" fillId="0" borderId="0" xfId="0" applyNumberFormat="1" applyFont="1"/>
    <xf numFmtId="43" fontId="3" fillId="0" borderId="0" xfId="0" applyNumberFormat="1" applyFont="1"/>
    <xf numFmtId="184" fontId="8" fillId="0" borderId="0" xfId="0" applyNumberFormat="1" applyFont="1"/>
    <xf numFmtId="194" fontId="0" fillId="0" borderId="0" xfId="0" applyNumberFormat="1"/>
    <xf numFmtId="10" fontId="7" fillId="54" borderId="0" xfId="3" applyNumberFormat="1" applyFont="1" applyFill="1" applyAlignment="1">
      <alignment horizontal="center"/>
    </xf>
    <xf numFmtId="0" fontId="7" fillId="54" borderId="0" xfId="0" applyFont="1" applyFill="1" applyAlignment="1">
      <alignment horizontal="center"/>
    </xf>
    <xf numFmtId="166" fontId="7" fillId="4" borderId="68" xfId="1" applyNumberFormat="1" applyFont="1" applyFill="1" applyBorder="1" applyAlignment="1">
      <alignment horizontal="center"/>
    </xf>
    <xf numFmtId="10" fontId="7" fillId="4" borderId="22" xfId="3" applyNumberFormat="1" applyFont="1" applyFill="1" applyBorder="1" applyAlignment="1">
      <alignment horizontal="center"/>
    </xf>
    <xf numFmtId="166" fontId="7" fillId="4" borderId="22" xfId="1" applyNumberFormat="1" applyFont="1" applyFill="1" applyBorder="1" applyAlignment="1">
      <alignment horizontal="center"/>
    </xf>
    <xf numFmtId="9" fontId="0" fillId="0" borderId="0" xfId="0" applyNumberFormat="1" applyAlignment="1">
      <alignment horizontal="center" vertical="center"/>
    </xf>
    <xf numFmtId="194" fontId="0" fillId="0" borderId="0" xfId="0" applyNumberFormat="1" applyAlignment="1">
      <alignment horizontal="center"/>
    </xf>
    <xf numFmtId="10" fontId="9" fillId="2" borderId="0" xfId="0" applyNumberFormat="1" applyFont="1" applyFill="1" applyAlignment="1">
      <alignment horizontal="center"/>
    </xf>
    <xf numFmtId="0" fontId="24" fillId="0" borderId="0" xfId="418"/>
    <xf numFmtId="0" fontId="7" fillId="5" borderId="0" xfId="1" applyNumberFormat="1" applyFont="1" applyFill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9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left" vertical="center" indent="6"/>
    </xf>
    <xf numFmtId="9" fontId="102" fillId="54" borderId="18" xfId="3" applyFont="1" applyFill="1" applyBorder="1" applyAlignment="1">
      <alignment horizontal="center"/>
    </xf>
    <xf numFmtId="9" fontId="102" fillId="5" borderId="18" xfId="3" applyFont="1" applyFill="1" applyBorder="1" applyAlignment="1">
      <alignment horizontal="center"/>
    </xf>
    <xf numFmtId="0" fontId="16" fillId="0" borderId="0" xfId="0" applyFont="1"/>
    <xf numFmtId="10" fontId="16" fillId="60" borderId="0" xfId="0" applyNumberFormat="1" applyFont="1" applyFill="1" applyAlignment="1">
      <alignment horizontal="center" vertical="center"/>
    </xf>
    <xf numFmtId="182" fontId="85" fillId="4" borderId="0" xfId="0" applyNumberFormat="1" applyFont="1" applyFill="1" applyAlignment="1">
      <alignment horizontal="center" vertical="center"/>
    </xf>
    <xf numFmtId="0" fontId="12" fillId="5" borderId="0" xfId="0" applyFont="1" applyFill="1"/>
    <xf numFmtId="194" fontId="16" fillId="60" borderId="0" xfId="0" applyNumberFormat="1" applyFont="1" applyFill="1" applyAlignment="1">
      <alignment horizontal="center" vertical="center"/>
    </xf>
    <xf numFmtId="0" fontId="16" fillId="53" borderId="13" xfId="0" applyFont="1" applyFill="1" applyBorder="1"/>
    <xf numFmtId="194" fontId="16" fillId="60" borderId="13" xfId="0" applyNumberFormat="1" applyFont="1" applyFill="1" applyBorder="1" applyAlignment="1">
      <alignment horizontal="center" vertical="center"/>
    </xf>
    <xf numFmtId="0" fontId="0" fillId="53" borderId="0" xfId="0" applyFill="1"/>
    <xf numFmtId="10" fontId="0" fillId="0" borderId="0" xfId="0" applyNumberFormat="1" applyAlignment="1">
      <alignment horizontal="center"/>
    </xf>
    <xf numFmtId="194" fontId="0" fillId="10" borderId="0" xfId="0" applyNumberFormat="1" applyFill="1" applyAlignment="1">
      <alignment horizontal="center" vertical="center"/>
    </xf>
    <xf numFmtId="0" fontId="103" fillId="0" borderId="0" xfId="0" applyFont="1"/>
    <xf numFmtId="177" fontId="91" fillId="0" borderId="0" xfId="0" applyNumberFormat="1" applyFont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7" fillId="54" borderId="13" xfId="0" applyFont="1" applyFill="1" applyBorder="1" applyAlignment="1">
      <alignment horizontal="center"/>
    </xf>
    <xf numFmtId="10" fontId="7" fillId="5" borderId="13" xfId="3" applyNumberFormat="1" applyFont="1" applyFill="1" applyBorder="1" applyAlignment="1">
      <alignment horizontal="center"/>
    </xf>
    <xf numFmtId="0" fontId="104" fillId="5" borderId="0" xfId="0" applyFont="1" applyFill="1"/>
    <xf numFmtId="0" fontId="105" fillId="0" borderId="0" xfId="0" applyFont="1"/>
    <xf numFmtId="0" fontId="16" fillId="10" borderId="13" xfId="0" applyFont="1" applyFill="1" applyBorder="1" applyAlignment="1">
      <alignment horizontal="center" vertical="center"/>
    </xf>
    <xf numFmtId="192" fontId="0" fillId="0" borderId="13" xfId="0" applyNumberFormat="1" applyBorder="1" applyAlignment="1">
      <alignment horizontal="center" vertical="center"/>
    </xf>
    <xf numFmtId="44" fontId="0" fillId="0" borderId="13" xfId="1" applyFont="1" applyBorder="1" applyAlignment="1">
      <alignment horizontal="center" vertical="center"/>
    </xf>
    <xf numFmtId="8" fontId="0" fillId="0" borderId="0" xfId="0" applyNumberFormat="1"/>
    <xf numFmtId="0" fontId="16" fillId="39" borderId="0" xfId="0" applyFont="1" applyFill="1" applyAlignment="1">
      <alignment vertical="center"/>
    </xf>
    <xf numFmtId="0" fontId="16" fillId="56" borderId="0" xfId="0" applyFont="1" applyFill="1" applyAlignment="1">
      <alignment vertical="center" textRotation="90"/>
    </xf>
    <xf numFmtId="0" fontId="24" fillId="0" borderId="0" xfId="419" applyAlignment="1">
      <alignment horizontal="justify" vertical="center"/>
    </xf>
    <xf numFmtId="0" fontId="0" fillId="59" borderId="0" xfId="0" applyFill="1" applyAlignment="1">
      <alignment horizontal="left" indent="16"/>
    </xf>
    <xf numFmtId="0" fontId="24" fillId="0" borderId="0" xfId="419" applyAlignment="1">
      <alignment horizontal="left" vertical="center"/>
    </xf>
    <xf numFmtId="40" fontId="8" fillId="0" borderId="0" xfId="0" applyNumberFormat="1" applyFont="1" applyAlignment="1">
      <alignment horizontal="center" vertical="center"/>
    </xf>
    <xf numFmtId="197" fontId="0" fillId="0" borderId="0" xfId="0" applyNumberFormat="1"/>
    <xf numFmtId="198" fontId="0" fillId="0" borderId="0" xfId="0" applyNumberFormat="1"/>
    <xf numFmtId="166" fontId="0" fillId="44" borderId="13" xfId="0" applyNumberFormat="1" applyFill="1" applyBorder="1"/>
    <xf numFmtId="166" fontId="0" fillId="44" borderId="13" xfId="0" applyNumberFormat="1" applyFill="1" applyBorder="1" applyAlignment="1">
      <alignment horizontal="center" vertical="center"/>
    </xf>
    <xf numFmtId="9" fontId="76" fillId="47" borderId="0" xfId="421" applyNumberFormat="1" applyAlignment="1">
      <alignment horizontal="center" vertical="center"/>
    </xf>
    <xf numFmtId="10" fontId="76" fillId="47" borderId="0" xfId="421" applyNumberFormat="1" applyAlignment="1">
      <alignment horizontal="center" vertical="center"/>
    </xf>
    <xf numFmtId="194" fontId="0" fillId="0" borderId="0" xfId="0" applyNumberFormat="1" applyAlignment="1">
      <alignment horizontal="center" vertical="center"/>
    </xf>
    <xf numFmtId="194" fontId="0" fillId="0" borderId="13" xfId="0" applyNumberFormat="1" applyBorder="1" applyAlignment="1">
      <alignment horizontal="center" vertical="center"/>
    </xf>
    <xf numFmtId="182" fontId="106" fillId="2" borderId="0" xfId="0" applyNumberFormat="1" applyFont="1" applyFill="1" applyAlignment="1">
      <alignment horizontal="center"/>
    </xf>
    <xf numFmtId="0" fontId="58" fillId="0" borderId="0" xfId="0" applyFont="1" applyAlignment="1">
      <alignment horizontal="center" vertical="center"/>
    </xf>
    <xf numFmtId="10" fontId="0" fillId="0" borderId="0" xfId="3" applyNumberFormat="1" applyFont="1" applyAlignment="1">
      <alignment horizontal="center" vertical="center"/>
    </xf>
    <xf numFmtId="10" fontId="0" fillId="0" borderId="13" xfId="3" applyNumberFormat="1" applyFont="1" applyBorder="1" applyAlignment="1">
      <alignment horizontal="center" vertical="center"/>
    </xf>
    <xf numFmtId="9" fontId="0" fillId="0" borderId="0" xfId="3" applyFont="1" applyAlignment="1">
      <alignment horizontal="center"/>
    </xf>
    <xf numFmtId="0" fontId="0" fillId="0" borderId="13" xfId="0" applyBorder="1" applyAlignment="1">
      <alignment horizontal="center"/>
    </xf>
    <xf numFmtId="9" fontId="0" fillId="0" borderId="13" xfId="3" applyFont="1" applyBorder="1" applyAlignment="1">
      <alignment horizontal="center"/>
    </xf>
    <xf numFmtId="0" fontId="9" fillId="2" borderId="0" xfId="0" applyFont="1" applyFill="1" applyAlignment="1">
      <alignment horizontal="left" vertical="center" indent="15"/>
    </xf>
    <xf numFmtId="184" fontId="107" fillId="0" borderId="0" xfId="0" applyNumberFormat="1" applyFont="1"/>
    <xf numFmtId="0" fontId="12" fillId="5" borderId="36" xfId="0" applyFont="1" applyFill="1" applyBorder="1" applyAlignment="1">
      <alignment horizontal="center"/>
    </xf>
    <xf numFmtId="0" fontId="12" fillId="5" borderId="36" xfId="0" applyFont="1" applyFill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181" fontId="21" fillId="0" borderId="36" xfId="2" applyNumberFormat="1" applyFont="1" applyBorder="1" applyAlignment="1">
      <alignment horizontal="center" vertical="center"/>
    </xf>
    <xf numFmtId="0" fontId="108" fillId="2" borderId="0" xfId="0" applyFont="1" applyFill="1" applyAlignment="1">
      <alignment horizontal="center"/>
    </xf>
    <xf numFmtId="194" fontId="9" fillId="2" borderId="15" xfId="1" applyNumberFormat="1" applyFont="1" applyFill="1" applyBorder="1" applyAlignment="1">
      <alignment horizontal="center"/>
    </xf>
    <xf numFmtId="196" fontId="9" fillId="2" borderId="15" xfId="1" applyNumberFormat="1" applyFont="1" applyFill="1" applyBorder="1" applyAlignment="1"/>
    <xf numFmtId="0" fontId="109" fillId="0" borderId="0" xfId="0" applyFont="1"/>
    <xf numFmtId="0" fontId="102" fillId="0" borderId="0" xfId="0" applyFont="1" applyAlignment="1">
      <alignment horizontal="center" vertical="center" readingOrder="1"/>
    </xf>
    <xf numFmtId="0" fontId="110" fillId="0" borderId="0" xfId="0" applyFont="1"/>
    <xf numFmtId="0" fontId="111" fillId="0" borderId="0" xfId="0" applyFont="1"/>
    <xf numFmtId="0" fontId="112" fillId="0" borderId="0" xfId="0" applyFont="1" applyAlignment="1">
      <alignment horizontal="center" vertical="center" readingOrder="1"/>
    </xf>
    <xf numFmtId="0" fontId="7" fillId="0" borderId="0" xfId="0" applyFont="1" applyAlignment="1">
      <alignment horizontal="right"/>
    </xf>
    <xf numFmtId="181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 wrapText="1"/>
    </xf>
    <xf numFmtId="0" fontId="7" fillId="10" borderId="0" xfId="0" applyFont="1" applyFill="1" applyAlignment="1">
      <alignment horizontal="center"/>
    </xf>
    <xf numFmtId="3" fontId="7" fillId="10" borderId="0" xfId="0" applyNumberFormat="1" applyFont="1" applyFill="1" applyAlignment="1">
      <alignment horizontal="center"/>
    </xf>
    <xf numFmtId="3" fontId="7" fillId="0" borderId="0" xfId="0" applyNumberFormat="1" applyFont="1" applyAlignment="1">
      <alignment horizontal="center" vertical="center"/>
    </xf>
    <xf numFmtId="43" fontId="7" fillId="0" borderId="0" xfId="0" applyNumberFormat="1" applyFont="1" applyAlignment="1">
      <alignment horizontal="center" vertical="center"/>
    </xf>
    <xf numFmtId="43" fontId="7" fillId="0" borderId="0" xfId="0" applyNumberFormat="1" applyFont="1" applyAlignment="1">
      <alignment vertical="center"/>
    </xf>
    <xf numFmtId="0" fontId="82" fillId="0" borderId="0" xfId="419" applyFont="1"/>
    <xf numFmtId="0" fontId="77" fillId="0" borderId="0" xfId="0" applyFont="1"/>
    <xf numFmtId="0" fontId="95" fillId="57" borderId="103" xfId="0" applyFont="1" applyFill="1" applyBorder="1"/>
    <xf numFmtId="0" fontId="95" fillId="57" borderId="104" xfId="0" applyFont="1" applyFill="1" applyBorder="1"/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52" xfId="0" applyFont="1" applyFill="1" applyBorder="1" applyAlignment="1">
      <alignment horizontal="center"/>
    </xf>
    <xf numFmtId="0" fontId="7" fillId="4" borderId="86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50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/>
    </xf>
    <xf numFmtId="0" fontId="7" fillId="4" borderId="10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36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/>
    </xf>
    <xf numFmtId="0" fontId="14" fillId="2" borderId="0" xfId="0" applyFont="1" applyFill="1" applyAlignment="1">
      <alignment horizontal="center" vertical="center"/>
    </xf>
    <xf numFmtId="0" fontId="53" fillId="0" borderId="69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7" fillId="4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0" xfId="0" applyFont="1" applyFill="1" applyBorder="1" applyAlignment="1">
      <alignment horizontal="center"/>
    </xf>
    <xf numFmtId="0" fontId="9" fillId="2" borderId="91" xfId="0" applyFont="1" applyFill="1" applyBorder="1" applyAlignment="1">
      <alignment horizontal="center"/>
    </xf>
    <xf numFmtId="0" fontId="101" fillId="0" borderId="0" xfId="0" applyFont="1" applyAlignment="1">
      <alignment horizontal="center" wrapText="1"/>
    </xf>
    <xf numFmtId="0" fontId="58" fillId="0" borderId="0" xfId="0" applyFont="1" applyAlignment="1">
      <alignment horizontal="center"/>
    </xf>
    <xf numFmtId="0" fontId="23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8" borderId="1" xfId="0" applyFont="1" applyFill="1" applyBorder="1" applyAlignment="1">
      <alignment horizontal="center"/>
    </xf>
    <xf numFmtId="0" fontId="13" fillId="5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86" fillId="4" borderId="0" xfId="0" applyFont="1" applyFill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88" fillId="44" borderId="1" xfId="0" applyFont="1" applyFill="1" applyBorder="1" applyAlignment="1">
      <alignment horizontal="center" vertical="center"/>
    </xf>
    <xf numFmtId="0" fontId="88" fillId="44" borderId="50" xfId="0" applyFont="1" applyFill="1" applyBorder="1" applyAlignment="1">
      <alignment horizontal="center" vertical="center"/>
    </xf>
    <xf numFmtId="0" fontId="88" fillId="44" borderId="77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/>
    </xf>
    <xf numFmtId="0" fontId="4" fillId="4" borderId="27" xfId="0" applyFont="1" applyFill="1" applyBorder="1" applyAlignment="1">
      <alignment horizontal="center"/>
    </xf>
    <xf numFmtId="0" fontId="4" fillId="4" borderId="70" xfId="0" applyFont="1" applyFill="1" applyBorder="1" applyAlignment="1">
      <alignment horizontal="center"/>
    </xf>
    <xf numFmtId="0" fontId="16" fillId="37" borderId="13" xfId="0" applyFont="1" applyFill="1" applyBorder="1" applyAlignment="1">
      <alignment horizontal="center"/>
    </xf>
    <xf numFmtId="0" fontId="9" fillId="2" borderId="52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 vertical="center"/>
    </xf>
    <xf numFmtId="0" fontId="7" fillId="4" borderId="50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9" fillId="2" borderId="84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0" fontId="7" fillId="4" borderId="10" xfId="0" applyFont="1" applyFill="1" applyBorder="1" applyAlignment="1">
      <alignment horizontal="left"/>
    </xf>
    <xf numFmtId="172" fontId="52" fillId="0" borderId="0" xfId="401" applyNumberFormat="1" applyFont="1" applyAlignment="1">
      <alignment horizontal="center"/>
    </xf>
    <xf numFmtId="0" fontId="7" fillId="4" borderId="85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86" xfId="0" applyFont="1" applyFill="1" applyBorder="1" applyAlignment="1">
      <alignment horizontal="center" vertical="center"/>
    </xf>
    <xf numFmtId="0" fontId="9" fillId="2" borderId="83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18" fillId="11" borderId="21" xfId="0" applyFont="1" applyFill="1" applyBorder="1" applyAlignment="1">
      <alignment horizontal="center"/>
    </xf>
    <xf numFmtId="0" fontId="18" fillId="11" borderId="22" xfId="0" applyFont="1" applyFill="1" applyBorder="1" applyAlignment="1">
      <alignment horizontal="center"/>
    </xf>
    <xf numFmtId="0" fontId="18" fillId="11" borderId="35" xfId="0" applyFont="1" applyFill="1" applyBorder="1" applyAlignment="1">
      <alignment horizontal="center"/>
    </xf>
    <xf numFmtId="4" fontId="16" fillId="12" borderId="21" xfId="0" applyNumberFormat="1" applyFont="1" applyFill="1" applyBorder="1" applyAlignment="1">
      <alignment horizontal="center"/>
    </xf>
    <xf numFmtId="4" fontId="16" fillId="12" borderId="22" xfId="0" applyNumberFormat="1" applyFont="1" applyFill="1" applyBorder="1" applyAlignment="1">
      <alignment horizontal="center"/>
    </xf>
    <xf numFmtId="4" fontId="16" fillId="12" borderId="35" xfId="0" applyNumberFormat="1" applyFont="1" applyFill="1" applyBorder="1" applyAlignment="1">
      <alignment horizontal="center"/>
    </xf>
    <xf numFmtId="4" fontId="17" fillId="0" borderId="23" xfId="0" applyNumberFormat="1" applyFont="1" applyBorder="1" applyAlignment="1">
      <alignment horizontal="left" wrapText="1"/>
    </xf>
    <xf numFmtId="4" fontId="17" fillId="0" borderId="24" xfId="0" applyNumberFormat="1" applyFont="1" applyBorder="1" applyAlignment="1">
      <alignment horizontal="left" wrapText="1"/>
    </xf>
    <xf numFmtId="4" fontId="17" fillId="0" borderId="25" xfId="0" applyNumberFormat="1" applyFont="1" applyBorder="1" applyAlignment="1">
      <alignment horizontal="left" wrapText="1"/>
    </xf>
    <xf numFmtId="0" fontId="14" fillId="2" borderId="0" xfId="0" applyFont="1" applyFill="1" applyAlignment="1">
      <alignment horizontal="center" vertic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63" fillId="44" borderId="80" xfId="0" applyFont="1" applyFill="1" applyBorder="1" applyAlignment="1">
      <alignment horizontal="right" vertical="center" wrapText="1"/>
    </xf>
    <xf numFmtId="0" fontId="63" fillId="44" borderId="65" xfId="0" applyFont="1" applyFill="1" applyBorder="1" applyAlignment="1">
      <alignment horizontal="right" vertical="center" wrapText="1"/>
    </xf>
    <xf numFmtId="181" fontId="63" fillId="44" borderId="65" xfId="0" applyNumberFormat="1" applyFont="1" applyFill="1" applyBorder="1" applyAlignment="1">
      <alignment horizontal="right" vertical="center" wrapText="1"/>
    </xf>
    <xf numFmtId="181" fontId="63" fillId="44" borderId="81" xfId="0" applyNumberFormat="1" applyFont="1" applyFill="1" applyBorder="1" applyAlignment="1">
      <alignment horizontal="right" vertical="center" wrapText="1"/>
    </xf>
    <xf numFmtId="0" fontId="65" fillId="0" borderId="0" xfId="4" applyFont="1" applyAlignment="1">
      <alignment horizontal="center" vertical="center"/>
    </xf>
    <xf numFmtId="0" fontId="53" fillId="0" borderId="36" xfId="0" applyFont="1" applyBorder="1" applyAlignment="1">
      <alignment horizontal="left" vertical="center" wrapText="1"/>
    </xf>
    <xf numFmtId="4" fontId="53" fillId="0" borderId="36" xfId="0" applyNumberFormat="1" applyFont="1" applyBorder="1" applyAlignment="1">
      <alignment horizontal="right" vertical="center" wrapText="1"/>
    </xf>
    <xf numFmtId="4" fontId="53" fillId="0" borderId="71" xfId="0" applyNumberFormat="1" applyFont="1" applyBorder="1" applyAlignment="1">
      <alignment horizontal="right" vertical="center" wrapText="1"/>
    </xf>
    <xf numFmtId="0" fontId="55" fillId="44" borderId="23" xfId="0" applyFont="1" applyFill="1" applyBorder="1" applyAlignment="1">
      <alignment horizontal="right" vertical="center" wrapText="1"/>
    </xf>
    <xf numFmtId="0" fontId="55" fillId="44" borderId="24" xfId="0" applyFont="1" applyFill="1" applyBorder="1" applyAlignment="1">
      <alignment horizontal="right" vertical="center" wrapText="1"/>
    </xf>
    <xf numFmtId="0" fontId="55" fillId="44" borderId="70" xfId="0" applyFont="1" applyFill="1" applyBorder="1" applyAlignment="1">
      <alignment horizontal="right" vertical="center" wrapText="1"/>
    </xf>
    <xf numFmtId="181" fontId="55" fillId="44" borderId="27" xfId="0" applyNumberFormat="1" applyFont="1" applyFill="1" applyBorder="1" applyAlignment="1">
      <alignment horizontal="right" vertical="center" wrapText="1"/>
    </xf>
    <xf numFmtId="181" fontId="55" fillId="44" borderId="70" xfId="0" applyNumberFormat="1" applyFont="1" applyFill="1" applyBorder="1" applyAlignment="1">
      <alignment horizontal="right" vertical="center" wrapText="1"/>
    </xf>
    <xf numFmtId="181" fontId="55" fillId="44" borderId="25" xfId="0" applyNumberFormat="1" applyFont="1" applyFill="1" applyBorder="1" applyAlignment="1">
      <alignment horizontal="right" vertical="center" wrapText="1"/>
    </xf>
    <xf numFmtId="181" fontId="53" fillId="0" borderId="36" xfId="1" applyNumberFormat="1" applyFont="1" applyBorder="1" applyAlignment="1">
      <alignment horizontal="right" vertical="center" wrapText="1"/>
    </xf>
    <xf numFmtId="0" fontId="100" fillId="0" borderId="36" xfId="0" applyFont="1" applyBorder="1" applyAlignment="1">
      <alignment horizontal="left" vertical="center" wrapText="1"/>
    </xf>
    <xf numFmtId="0" fontId="0" fillId="0" borderId="7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79" xfId="0" applyBorder="1" applyAlignment="1">
      <alignment horizontal="center"/>
    </xf>
    <xf numFmtId="0" fontId="63" fillId="9" borderId="36" xfId="0" applyFont="1" applyFill="1" applyBorder="1" applyAlignment="1">
      <alignment horizontal="center" vertical="center" wrapText="1"/>
    </xf>
    <xf numFmtId="0" fontId="63" fillId="9" borderId="71" xfId="0" applyFont="1" applyFill="1" applyBorder="1" applyAlignment="1">
      <alignment horizontal="center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4" xfId="0" applyFont="1" applyBorder="1" applyAlignment="1">
      <alignment horizontal="left" vertical="center" wrapText="1"/>
    </xf>
    <xf numFmtId="0" fontId="53" fillId="0" borderId="70" xfId="0" applyFont="1" applyBorder="1" applyAlignment="1">
      <alignment horizontal="left" vertical="center" wrapText="1"/>
    </xf>
    <xf numFmtId="4" fontId="53" fillId="0" borderId="27" xfId="0" applyNumberFormat="1" applyFont="1" applyBorder="1" applyAlignment="1">
      <alignment horizontal="right" vertical="center" wrapText="1"/>
    </xf>
    <xf numFmtId="4" fontId="53" fillId="0" borderId="70" xfId="0" applyNumberFormat="1" applyFont="1" applyBorder="1" applyAlignment="1">
      <alignment horizontal="right" vertical="center" wrapText="1"/>
    </xf>
    <xf numFmtId="0" fontId="53" fillId="0" borderId="66" xfId="0" applyFont="1" applyBorder="1" applyAlignment="1">
      <alignment horizontal="center" vertical="center" wrapText="1"/>
    </xf>
    <xf numFmtId="0" fontId="53" fillId="0" borderId="67" xfId="0" applyFont="1" applyBorder="1" applyAlignment="1">
      <alignment horizontal="center" vertical="center" wrapText="1"/>
    </xf>
    <xf numFmtId="0" fontId="53" fillId="0" borderId="69" xfId="0" applyFont="1" applyBorder="1" applyAlignment="1">
      <alignment horizontal="center" vertical="center" wrapText="1"/>
    </xf>
    <xf numFmtId="0" fontId="53" fillId="0" borderId="36" xfId="0" applyFont="1" applyBorder="1" applyAlignment="1">
      <alignment horizontal="center" vertical="center" wrapText="1"/>
    </xf>
    <xf numFmtId="0" fontId="64" fillId="43" borderId="68" xfId="0" applyFont="1" applyFill="1" applyBorder="1" applyAlignment="1">
      <alignment horizontal="center" vertical="center" wrapText="1"/>
    </xf>
    <xf numFmtId="0" fontId="64" fillId="43" borderId="22" xfId="0" applyFont="1" applyFill="1" applyBorder="1" applyAlignment="1">
      <alignment horizontal="center" vertical="center" wrapText="1"/>
    </xf>
    <xf numFmtId="44" fontId="53" fillId="43" borderId="11" xfId="1" applyFont="1" applyFill="1" applyBorder="1" applyAlignment="1">
      <alignment horizontal="center" vertical="center" wrapText="1"/>
    </xf>
    <xf numFmtId="44" fontId="53" fillId="43" borderId="4" xfId="1" applyFont="1" applyFill="1" applyBorder="1" applyAlignment="1">
      <alignment horizontal="center" vertical="center" wrapText="1"/>
    </xf>
    <xf numFmtId="44" fontId="53" fillId="43" borderId="12" xfId="1" applyFont="1" applyFill="1" applyBorder="1" applyAlignment="1">
      <alignment horizontal="center" vertical="center" wrapText="1"/>
    </xf>
    <xf numFmtId="44" fontId="53" fillId="43" borderId="6" xfId="1" applyFont="1" applyFill="1" applyBorder="1" applyAlignment="1">
      <alignment horizontal="center" vertical="center" wrapText="1"/>
    </xf>
    <xf numFmtId="0" fontId="65" fillId="0" borderId="27" xfId="0" applyFont="1" applyBorder="1" applyAlignment="1">
      <alignment horizontal="left" vertical="center" wrapText="1"/>
    </xf>
    <xf numFmtId="0" fontId="65" fillId="0" borderId="24" xfId="0" applyFont="1" applyBorder="1" applyAlignment="1">
      <alignment horizontal="left" vertical="center" wrapText="1"/>
    </xf>
    <xf numFmtId="0" fontId="65" fillId="0" borderId="70" xfId="0" applyFont="1" applyBorder="1" applyAlignment="1">
      <alignment horizontal="left" vertical="center" wrapText="1"/>
    </xf>
    <xf numFmtId="0" fontId="55" fillId="9" borderId="66" xfId="0" applyFont="1" applyFill="1" applyBorder="1" applyAlignment="1">
      <alignment horizontal="center" vertical="center" wrapText="1"/>
    </xf>
    <xf numFmtId="0" fontId="55" fillId="9" borderId="76" xfId="0" applyFont="1" applyFill="1" applyBorder="1" applyAlignment="1">
      <alignment horizontal="center" vertical="center" wrapText="1"/>
    </xf>
    <xf numFmtId="0" fontId="55" fillId="9" borderId="11" xfId="0" applyFont="1" applyFill="1" applyBorder="1" applyAlignment="1">
      <alignment horizontal="center" vertical="center" wrapText="1"/>
    </xf>
    <xf numFmtId="0" fontId="55" fillId="9" borderId="8" xfId="0" applyFont="1" applyFill="1" applyBorder="1" applyAlignment="1">
      <alignment horizontal="center" vertical="center" wrapText="1"/>
    </xf>
    <xf numFmtId="0" fontId="55" fillId="9" borderId="9" xfId="0" applyFont="1" applyFill="1" applyBorder="1" applyAlignment="1">
      <alignment horizontal="center" vertical="center" wrapText="1"/>
    </xf>
    <xf numFmtId="0" fontId="55" fillId="9" borderId="77" xfId="0" applyFont="1" applyFill="1" applyBorder="1" applyAlignment="1">
      <alignment horizontal="center" vertical="center" wrapText="1"/>
    </xf>
    <xf numFmtId="0" fontId="55" fillId="9" borderId="1" xfId="0" applyFont="1" applyFill="1" applyBorder="1" applyAlignment="1">
      <alignment horizontal="center" vertical="center" wrapText="1"/>
    </xf>
    <xf numFmtId="0" fontId="55" fillId="9" borderId="50" xfId="0" applyFont="1" applyFill="1" applyBorder="1" applyAlignment="1">
      <alignment horizontal="center" vertical="center" wrapText="1"/>
    </xf>
    <xf numFmtId="10" fontId="55" fillId="9" borderId="75" xfId="3" applyNumberFormat="1" applyFont="1" applyFill="1" applyBorder="1" applyAlignment="1">
      <alignment horizontal="center" vertical="center" wrapText="1"/>
    </xf>
    <xf numFmtId="10" fontId="55" fillId="9" borderId="78" xfId="3" applyNumberFormat="1" applyFont="1" applyFill="1" applyBorder="1" applyAlignment="1">
      <alignment horizontal="center" vertical="center" wrapText="1"/>
    </xf>
    <xf numFmtId="44" fontId="55" fillId="9" borderId="11" xfId="0" applyNumberFormat="1" applyFont="1" applyFill="1" applyBorder="1" applyAlignment="1">
      <alignment horizontal="center" vertical="center" wrapText="1"/>
    </xf>
    <xf numFmtId="44" fontId="55" fillId="9" borderId="9" xfId="0" applyNumberFormat="1" applyFont="1" applyFill="1" applyBorder="1" applyAlignment="1">
      <alignment horizontal="center" vertical="center" wrapText="1"/>
    </xf>
    <xf numFmtId="44" fontId="55" fillId="9" borderId="77" xfId="0" applyNumberFormat="1" applyFont="1" applyFill="1" applyBorder="1" applyAlignment="1">
      <alignment horizontal="center" vertical="center" wrapText="1"/>
    </xf>
    <xf numFmtId="44" fontId="55" fillId="9" borderId="50" xfId="0" applyNumberFormat="1" applyFont="1" applyFill="1" applyBorder="1" applyAlignment="1">
      <alignment horizontal="center" vertical="center" wrapText="1"/>
    </xf>
    <xf numFmtId="44" fontId="55" fillId="9" borderId="4" xfId="0" applyNumberFormat="1" applyFont="1" applyFill="1" applyBorder="1" applyAlignment="1">
      <alignment horizontal="center" vertical="center" wrapText="1"/>
    </xf>
    <xf numFmtId="44" fontId="55" fillId="9" borderId="7" xfId="0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0" fillId="0" borderId="70" xfId="0" applyBorder="1" applyAlignment="1">
      <alignment horizontal="left" vertical="center" wrapText="1"/>
    </xf>
    <xf numFmtId="0" fontId="53" fillId="43" borderId="36" xfId="0" applyFont="1" applyFill="1" applyBorder="1" applyAlignment="1">
      <alignment horizontal="center" vertical="center" wrapText="1"/>
    </xf>
    <xf numFmtId="0" fontId="53" fillId="0" borderId="73" xfId="0" applyFont="1" applyBorder="1" applyAlignment="1">
      <alignment horizontal="center" vertical="center" wrapText="1"/>
    </xf>
    <xf numFmtId="0" fontId="53" fillId="0" borderId="49" xfId="0" applyFont="1" applyBorder="1" applyAlignment="1">
      <alignment horizontal="center" vertical="center" wrapText="1"/>
    </xf>
    <xf numFmtId="0" fontId="53" fillId="0" borderId="74" xfId="0" applyFont="1" applyBorder="1" applyAlignment="1">
      <alignment horizontal="center" vertical="center" wrapText="1"/>
    </xf>
    <xf numFmtId="0" fontId="53" fillId="0" borderId="26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3" fillId="0" borderId="33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0" fontId="53" fillId="0" borderId="7" xfId="0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indent="10"/>
    </xf>
    <xf numFmtId="0" fontId="77" fillId="0" borderId="0" xfId="0" applyFont="1" applyAlignment="1"/>
    <xf numFmtId="0" fontId="97" fillId="58" borderId="105" xfId="0" applyFont="1" applyFill="1" applyBorder="1" applyAlignment="1">
      <alignment wrapText="1"/>
    </xf>
    <xf numFmtId="0" fontId="97" fillId="58" borderId="106" xfId="0" applyFont="1" applyFill="1" applyBorder="1" applyAlignment="1">
      <alignment wrapText="1"/>
    </xf>
    <xf numFmtId="0" fontId="97" fillId="58" borderId="99" xfId="0" applyFont="1" applyFill="1" applyBorder="1" applyAlignment="1">
      <alignment wrapText="1"/>
    </xf>
    <xf numFmtId="0" fontId="95" fillId="57" borderId="100" xfId="0" applyFont="1" applyFill="1" applyBorder="1" applyAlignment="1"/>
    <xf numFmtId="0" fontId="95" fillId="57" borderId="101" xfId="0" applyFont="1" applyFill="1" applyBorder="1" applyAlignment="1"/>
    <xf numFmtId="0" fontId="95" fillId="57" borderId="102" xfId="0" applyFont="1" applyFill="1" applyBorder="1" applyAlignment="1"/>
    <xf numFmtId="0" fontId="95" fillId="57" borderId="103" xfId="0" applyFont="1" applyFill="1" applyBorder="1" applyAlignment="1"/>
    <xf numFmtId="0" fontId="95" fillId="57" borderId="104" xfId="0" applyFont="1" applyFill="1" applyBorder="1" applyAlignment="1"/>
    <xf numFmtId="0" fontId="95" fillId="57" borderId="107" xfId="0" applyFont="1" applyFill="1" applyBorder="1" applyAlignment="1"/>
    <xf numFmtId="0" fontId="95" fillId="57" borderId="0" xfId="0" applyFont="1" applyFill="1" applyAlignment="1"/>
    <xf numFmtId="0" fontId="95" fillId="57" borderId="107" xfId="0" applyFont="1" applyFill="1" applyBorder="1" applyAlignment="1">
      <alignment wrapText="1"/>
    </xf>
    <xf numFmtId="0" fontId="95" fillId="57" borderId="0" xfId="0" applyFont="1" applyFill="1" applyAlignment="1">
      <alignment wrapText="1"/>
    </xf>
    <xf numFmtId="0" fontId="95" fillId="57" borderId="95" xfId="0" applyFont="1" applyFill="1" applyBorder="1" applyAlignment="1">
      <alignment wrapText="1"/>
    </xf>
    <xf numFmtId="0" fontId="95" fillId="57" borderId="97" xfId="0" applyFont="1" applyFill="1" applyBorder="1" applyAlignment="1">
      <alignment wrapText="1"/>
    </xf>
    <xf numFmtId="0" fontId="16" fillId="6" borderId="0" xfId="0" applyFont="1" applyFill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2" borderId="2" xfId="1" applyNumberFormat="1" applyFont="1" applyFill="1" applyBorder="1" applyAlignment="1">
      <alignment horizontal="center"/>
    </xf>
    <xf numFmtId="0" fontId="5" fillId="2" borderId="1" xfId="1" applyNumberFormat="1" applyFont="1" applyFill="1" applyBorder="1" applyAlignment="1">
      <alignment horizontal="center"/>
    </xf>
    <xf numFmtId="0" fontId="6" fillId="2" borderId="1" xfId="1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16" fillId="56" borderId="0" xfId="0" applyFont="1" applyFill="1" applyAlignment="1">
      <alignment horizontal="center" vertical="center" textRotation="90"/>
    </xf>
  </cellXfs>
  <cellStyles count="422">
    <cellStyle name="20% - Ênfase1 2" xfId="16" xr:uid="{00000000-0005-0000-0000-000000000000}"/>
    <cellStyle name="20% - Ênfase1 3" xfId="17" xr:uid="{00000000-0005-0000-0000-000001000000}"/>
    <cellStyle name="20% - Ênfase1 4" xfId="18" xr:uid="{00000000-0005-0000-0000-000002000000}"/>
    <cellStyle name="20% - Ênfase1 5" xfId="19" xr:uid="{00000000-0005-0000-0000-000003000000}"/>
    <cellStyle name="20% - Ênfase1 6" xfId="20" xr:uid="{00000000-0005-0000-0000-000004000000}"/>
    <cellStyle name="20% - Ênfase1 7" xfId="21" xr:uid="{00000000-0005-0000-0000-000005000000}"/>
    <cellStyle name="20% - Ênfase1 8" xfId="22" xr:uid="{00000000-0005-0000-0000-000006000000}"/>
    <cellStyle name="20% - Ênfase1 9" xfId="23" xr:uid="{00000000-0005-0000-0000-000007000000}"/>
    <cellStyle name="20% - Ênfase2 2" xfId="24" xr:uid="{00000000-0005-0000-0000-000008000000}"/>
    <cellStyle name="20% - Ênfase2 3" xfId="25" xr:uid="{00000000-0005-0000-0000-000009000000}"/>
    <cellStyle name="20% - Ênfase2 4" xfId="26" xr:uid="{00000000-0005-0000-0000-00000A000000}"/>
    <cellStyle name="20% - Ênfase2 5" xfId="27" xr:uid="{00000000-0005-0000-0000-00000B000000}"/>
    <cellStyle name="20% - Ênfase2 6" xfId="28" xr:uid="{00000000-0005-0000-0000-00000C000000}"/>
    <cellStyle name="20% - Ênfase2 7" xfId="29" xr:uid="{00000000-0005-0000-0000-00000D000000}"/>
    <cellStyle name="20% - Ênfase2 8" xfId="30" xr:uid="{00000000-0005-0000-0000-00000E000000}"/>
    <cellStyle name="20% - Ênfase2 9" xfId="31" xr:uid="{00000000-0005-0000-0000-00000F000000}"/>
    <cellStyle name="20% - Ênfase3 2" xfId="32" xr:uid="{00000000-0005-0000-0000-000010000000}"/>
    <cellStyle name="20% - Ênfase3 3" xfId="33" xr:uid="{00000000-0005-0000-0000-000011000000}"/>
    <cellStyle name="20% - Ênfase3 4" xfId="34" xr:uid="{00000000-0005-0000-0000-000012000000}"/>
    <cellStyle name="20% - Ênfase3 5" xfId="35" xr:uid="{00000000-0005-0000-0000-000013000000}"/>
    <cellStyle name="20% - Ênfase3 6" xfId="36" xr:uid="{00000000-0005-0000-0000-000014000000}"/>
    <cellStyle name="20% - Ênfase3 7" xfId="37" xr:uid="{00000000-0005-0000-0000-000015000000}"/>
    <cellStyle name="20% - Ênfase3 8" xfId="38" xr:uid="{00000000-0005-0000-0000-000016000000}"/>
    <cellStyle name="20% - Ênfase3 9" xfId="39" xr:uid="{00000000-0005-0000-0000-000017000000}"/>
    <cellStyle name="20% - Ênfase4 2" xfId="40" xr:uid="{00000000-0005-0000-0000-000018000000}"/>
    <cellStyle name="20% - Ênfase4 3" xfId="41" xr:uid="{00000000-0005-0000-0000-000019000000}"/>
    <cellStyle name="20% - Ênfase4 4" xfId="42" xr:uid="{00000000-0005-0000-0000-00001A000000}"/>
    <cellStyle name="20% - Ênfase4 5" xfId="43" xr:uid="{00000000-0005-0000-0000-00001B000000}"/>
    <cellStyle name="20% - Ênfase4 6" xfId="44" xr:uid="{00000000-0005-0000-0000-00001C000000}"/>
    <cellStyle name="20% - Ênfase4 7" xfId="45" xr:uid="{00000000-0005-0000-0000-00001D000000}"/>
    <cellStyle name="20% - Ênfase4 8" xfId="46" xr:uid="{00000000-0005-0000-0000-00001E000000}"/>
    <cellStyle name="20% - Ênfase4 9" xfId="47" xr:uid="{00000000-0005-0000-0000-00001F000000}"/>
    <cellStyle name="20% - Ênfase5 2" xfId="48" xr:uid="{00000000-0005-0000-0000-000020000000}"/>
    <cellStyle name="20% - Ênfase5 3" xfId="49" xr:uid="{00000000-0005-0000-0000-000021000000}"/>
    <cellStyle name="20% - Ênfase5 4" xfId="50" xr:uid="{00000000-0005-0000-0000-000022000000}"/>
    <cellStyle name="20% - Ênfase5 5" xfId="51" xr:uid="{00000000-0005-0000-0000-000023000000}"/>
    <cellStyle name="20% - Ênfase5 6" xfId="52" xr:uid="{00000000-0005-0000-0000-000024000000}"/>
    <cellStyle name="20% - Ênfase5 7" xfId="53" xr:uid="{00000000-0005-0000-0000-000025000000}"/>
    <cellStyle name="20% - Ênfase5 8" xfId="54" xr:uid="{00000000-0005-0000-0000-000026000000}"/>
    <cellStyle name="20% - Ênfase5 9" xfId="55" xr:uid="{00000000-0005-0000-0000-000027000000}"/>
    <cellStyle name="20% - Ênfase6 2" xfId="56" xr:uid="{00000000-0005-0000-0000-000028000000}"/>
    <cellStyle name="20% - Ênfase6 3" xfId="57" xr:uid="{00000000-0005-0000-0000-000029000000}"/>
    <cellStyle name="20% - Ênfase6 4" xfId="58" xr:uid="{00000000-0005-0000-0000-00002A000000}"/>
    <cellStyle name="20% - Ênfase6 5" xfId="59" xr:uid="{00000000-0005-0000-0000-00002B000000}"/>
    <cellStyle name="20% - Ênfase6 6" xfId="60" xr:uid="{00000000-0005-0000-0000-00002C000000}"/>
    <cellStyle name="20% - Ênfase6 7" xfId="61" xr:uid="{00000000-0005-0000-0000-00002D000000}"/>
    <cellStyle name="20% - Ênfase6 8" xfId="62" xr:uid="{00000000-0005-0000-0000-00002E000000}"/>
    <cellStyle name="20% - Ênfase6 9" xfId="63" xr:uid="{00000000-0005-0000-0000-00002F000000}"/>
    <cellStyle name="40% - Ênfase1 2" xfId="64" xr:uid="{00000000-0005-0000-0000-000030000000}"/>
    <cellStyle name="40% - Ênfase1 3" xfId="65" xr:uid="{00000000-0005-0000-0000-000031000000}"/>
    <cellStyle name="40% - Ênfase1 4" xfId="66" xr:uid="{00000000-0005-0000-0000-000032000000}"/>
    <cellStyle name="40% - Ênfase1 5" xfId="67" xr:uid="{00000000-0005-0000-0000-000033000000}"/>
    <cellStyle name="40% - Ênfase1 6" xfId="68" xr:uid="{00000000-0005-0000-0000-000034000000}"/>
    <cellStyle name="40% - Ênfase1 7" xfId="69" xr:uid="{00000000-0005-0000-0000-000035000000}"/>
    <cellStyle name="40% - Ênfase1 8" xfId="70" xr:uid="{00000000-0005-0000-0000-000036000000}"/>
    <cellStyle name="40% - Ênfase1 9" xfId="71" xr:uid="{00000000-0005-0000-0000-000037000000}"/>
    <cellStyle name="40% - Ênfase2 2" xfId="72" xr:uid="{00000000-0005-0000-0000-000038000000}"/>
    <cellStyle name="40% - Ênfase2 3" xfId="73" xr:uid="{00000000-0005-0000-0000-000039000000}"/>
    <cellStyle name="40% - Ênfase2 4" xfId="74" xr:uid="{00000000-0005-0000-0000-00003A000000}"/>
    <cellStyle name="40% - Ênfase2 5" xfId="75" xr:uid="{00000000-0005-0000-0000-00003B000000}"/>
    <cellStyle name="40% - Ênfase2 6" xfId="76" xr:uid="{00000000-0005-0000-0000-00003C000000}"/>
    <cellStyle name="40% - Ênfase2 7" xfId="77" xr:uid="{00000000-0005-0000-0000-00003D000000}"/>
    <cellStyle name="40% - Ênfase2 8" xfId="78" xr:uid="{00000000-0005-0000-0000-00003E000000}"/>
    <cellStyle name="40% - Ênfase2 9" xfId="79" xr:uid="{00000000-0005-0000-0000-00003F000000}"/>
    <cellStyle name="40% - Ênfase3 2" xfId="80" xr:uid="{00000000-0005-0000-0000-000040000000}"/>
    <cellStyle name="40% - Ênfase3 3" xfId="81" xr:uid="{00000000-0005-0000-0000-000041000000}"/>
    <cellStyle name="40% - Ênfase3 4" xfId="82" xr:uid="{00000000-0005-0000-0000-000042000000}"/>
    <cellStyle name="40% - Ênfase3 5" xfId="83" xr:uid="{00000000-0005-0000-0000-000043000000}"/>
    <cellStyle name="40% - Ênfase3 6" xfId="84" xr:uid="{00000000-0005-0000-0000-000044000000}"/>
    <cellStyle name="40% - Ênfase3 7" xfId="85" xr:uid="{00000000-0005-0000-0000-000045000000}"/>
    <cellStyle name="40% - Ênfase3 8" xfId="86" xr:uid="{00000000-0005-0000-0000-000046000000}"/>
    <cellStyle name="40% - Ênfase3 9" xfId="87" xr:uid="{00000000-0005-0000-0000-000047000000}"/>
    <cellStyle name="40% - Ênfase4 2" xfId="88" xr:uid="{00000000-0005-0000-0000-000048000000}"/>
    <cellStyle name="40% - Ênfase4 3" xfId="89" xr:uid="{00000000-0005-0000-0000-000049000000}"/>
    <cellStyle name="40% - Ênfase4 4" xfId="90" xr:uid="{00000000-0005-0000-0000-00004A000000}"/>
    <cellStyle name="40% - Ênfase4 5" xfId="91" xr:uid="{00000000-0005-0000-0000-00004B000000}"/>
    <cellStyle name="40% - Ênfase4 6" xfId="92" xr:uid="{00000000-0005-0000-0000-00004C000000}"/>
    <cellStyle name="40% - Ênfase4 7" xfId="93" xr:uid="{00000000-0005-0000-0000-00004D000000}"/>
    <cellStyle name="40% - Ênfase4 8" xfId="94" xr:uid="{00000000-0005-0000-0000-00004E000000}"/>
    <cellStyle name="40% - Ênfase4 9" xfId="95" xr:uid="{00000000-0005-0000-0000-00004F000000}"/>
    <cellStyle name="40% - Ênfase5 2" xfId="96" xr:uid="{00000000-0005-0000-0000-000050000000}"/>
    <cellStyle name="40% - Ênfase5 3" xfId="97" xr:uid="{00000000-0005-0000-0000-000051000000}"/>
    <cellStyle name="40% - Ênfase5 4" xfId="98" xr:uid="{00000000-0005-0000-0000-000052000000}"/>
    <cellStyle name="40% - Ênfase5 5" xfId="99" xr:uid="{00000000-0005-0000-0000-000053000000}"/>
    <cellStyle name="40% - Ênfase5 6" xfId="100" xr:uid="{00000000-0005-0000-0000-000054000000}"/>
    <cellStyle name="40% - Ênfase5 7" xfId="101" xr:uid="{00000000-0005-0000-0000-000055000000}"/>
    <cellStyle name="40% - Ênfase5 8" xfId="102" xr:uid="{00000000-0005-0000-0000-000056000000}"/>
    <cellStyle name="40% - Ênfase5 9" xfId="103" xr:uid="{00000000-0005-0000-0000-000057000000}"/>
    <cellStyle name="40% - Ênfase6 2" xfId="104" xr:uid="{00000000-0005-0000-0000-000058000000}"/>
    <cellStyle name="40% - Ênfase6 3" xfId="105" xr:uid="{00000000-0005-0000-0000-000059000000}"/>
    <cellStyle name="40% - Ênfase6 4" xfId="106" xr:uid="{00000000-0005-0000-0000-00005A000000}"/>
    <cellStyle name="40% - Ênfase6 5" xfId="107" xr:uid="{00000000-0005-0000-0000-00005B000000}"/>
    <cellStyle name="40% - Ênfase6 6" xfId="108" xr:uid="{00000000-0005-0000-0000-00005C000000}"/>
    <cellStyle name="40% - Ênfase6 7" xfId="109" xr:uid="{00000000-0005-0000-0000-00005D000000}"/>
    <cellStyle name="40% - Ênfase6 8" xfId="110" xr:uid="{00000000-0005-0000-0000-00005E000000}"/>
    <cellStyle name="40% - Ênfase6 9" xfId="111" xr:uid="{00000000-0005-0000-0000-00005F000000}"/>
    <cellStyle name="60% - Ênfase1 2" xfId="112" xr:uid="{00000000-0005-0000-0000-000060000000}"/>
    <cellStyle name="60% - Ênfase1 3" xfId="113" xr:uid="{00000000-0005-0000-0000-000061000000}"/>
    <cellStyle name="60% - Ênfase1 4" xfId="114" xr:uid="{00000000-0005-0000-0000-000062000000}"/>
    <cellStyle name="60% - Ênfase1 5" xfId="115" xr:uid="{00000000-0005-0000-0000-000063000000}"/>
    <cellStyle name="60% - Ênfase1 6" xfId="116" xr:uid="{00000000-0005-0000-0000-000064000000}"/>
    <cellStyle name="60% - Ênfase1 7" xfId="117" xr:uid="{00000000-0005-0000-0000-000065000000}"/>
    <cellStyle name="60% - Ênfase1 8" xfId="118" xr:uid="{00000000-0005-0000-0000-000066000000}"/>
    <cellStyle name="60% - Ênfase1 9" xfId="119" xr:uid="{00000000-0005-0000-0000-000067000000}"/>
    <cellStyle name="60% - Ênfase2 2" xfId="120" xr:uid="{00000000-0005-0000-0000-000068000000}"/>
    <cellStyle name="60% - Ênfase2 3" xfId="121" xr:uid="{00000000-0005-0000-0000-000069000000}"/>
    <cellStyle name="60% - Ênfase2 4" xfId="122" xr:uid="{00000000-0005-0000-0000-00006A000000}"/>
    <cellStyle name="60% - Ênfase2 5" xfId="123" xr:uid="{00000000-0005-0000-0000-00006B000000}"/>
    <cellStyle name="60% - Ênfase2 6" xfId="124" xr:uid="{00000000-0005-0000-0000-00006C000000}"/>
    <cellStyle name="60% - Ênfase2 7" xfId="125" xr:uid="{00000000-0005-0000-0000-00006D000000}"/>
    <cellStyle name="60% - Ênfase2 8" xfId="126" xr:uid="{00000000-0005-0000-0000-00006E000000}"/>
    <cellStyle name="60% - Ênfase2 9" xfId="127" xr:uid="{00000000-0005-0000-0000-00006F000000}"/>
    <cellStyle name="60% - Ênfase3 2" xfId="128" xr:uid="{00000000-0005-0000-0000-000070000000}"/>
    <cellStyle name="60% - Ênfase3 3" xfId="129" xr:uid="{00000000-0005-0000-0000-000071000000}"/>
    <cellStyle name="60% - Ênfase3 4" xfId="130" xr:uid="{00000000-0005-0000-0000-000072000000}"/>
    <cellStyle name="60% - Ênfase3 5" xfId="131" xr:uid="{00000000-0005-0000-0000-000073000000}"/>
    <cellStyle name="60% - Ênfase3 6" xfId="132" xr:uid="{00000000-0005-0000-0000-000074000000}"/>
    <cellStyle name="60% - Ênfase3 7" xfId="133" xr:uid="{00000000-0005-0000-0000-000075000000}"/>
    <cellStyle name="60% - Ênfase3 8" xfId="134" xr:uid="{00000000-0005-0000-0000-000076000000}"/>
    <cellStyle name="60% - Ênfase3 9" xfId="135" xr:uid="{00000000-0005-0000-0000-000077000000}"/>
    <cellStyle name="60% - Ênfase4 2" xfId="136" xr:uid="{00000000-0005-0000-0000-000078000000}"/>
    <cellStyle name="60% - Ênfase4 3" xfId="137" xr:uid="{00000000-0005-0000-0000-000079000000}"/>
    <cellStyle name="60% - Ênfase4 4" xfId="138" xr:uid="{00000000-0005-0000-0000-00007A000000}"/>
    <cellStyle name="60% - Ênfase4 5" xfId="139" xr:uid="{00000000-0005-0000-0000-00007B000000}"/>
    <cellStyle name="60% - Ênfase4 6" xfId="140" xr:uid="{00000000-0005-0000-0000-00007C000000}"/>
    <cellStyle name="60% - Ênfase4 7" xfId="141" xr:uid="{00000000-0005-0000-0000-00007D000000}"/>
    <cellStyle name="60% - Ênfase4 8" xfId="142" xr:uid="{00000000-0005-0000-0000-00007E000000}"/>
    <cellStyle name="60% - Ênfase4 9" xfId="143" xr:uid="{00000000-0005-0000-0000-00007F000000}"/>
    <cellStyle name="60% - Ênfase5 2" xfId="144" xr:uid="{00000000-0005-0000-0000-000080000000}"/>
    <cellStyle name="60% - Ênfase5 3" xfId="145" xr:uid="{00000000-0005-0000-0000-000081000000}"/>
    <cellStyle name="60% - Ênfase5 4" xfId="146" xr:uid="{00000000-0005-0000-0000-000082000000}"/>
    <cellStyle name="60% - Ênfase5 5" xfId="147" xr:uid="{00000000-0005-0000-0000-000083000000}"/>
    <cellStyle name="60% - Ênfase5 6" xfId="148" xr:uid="{00000000-0005-0000-0000-000084000000}"/>
    <cellStyle name="60% - Ênfase5 7" xfId="149" xr:uid="{00000000-0005-0000-0000-000085000000}"/>
    <cellStyle name="60% - Ênfase5 8" xfId="150" xr:uid="{00000000-0005-0000-0000-000086000000}"/>
    <cellStyle name="60% - Ênfase5 9" xfId="151" xr:uid="{00000000-0005-0000-0000-000087000000}"/>
    <cellStyle name="60% - Ênfase6 2" xfId="152" xr:uid="{00000000-0005-0000-0000-000088000000}"/>
    <cellStyle name="60% - Ênfase6 3" xfId="153" xr:uid="{00000000-0005-0000-0000-000089000000}"/>
    <cellStyle name="60% - Ênfase6 4" xfId="154" xr:uid="{00000000-0005-0000-0000-00008A000000}"/>
    <cellStyle name="60% - Ênfase6 5" xfId="155" xr:uid="{00000000-0005-0000-0000-00008B000000}"/>
    <cellStyle name="60% - Ênfase6 6" xfId="156" xr:uid="{00000000-0005-0000-0000-00008C000000}"/>
    <cellStyle name="60% - Ênfase6 7" xfId="157" xr:uid="{00000000-0005-0000-0000-00008D000000}"/>
    <cellStyle name="60% - Ênfase6 8" xfId="158" xr:uid="{00000000-0005-0000-0000-00008E000000}"/>
    <cellStyle name="60% - Ênfase6 9" xfId="159" xr:uid="{00000000-0005-0000-0000-00008F000000}"/>
    <cellStyle name="Bom 2" xfId="160" xr:uid="{00000000-0005-0000-0000-000090000000}"/>
    <cellStyle name="Bom 3" xfId="161" xr:uid="{00000000-0005-0000-0000-000091000000}"/>
    <cellStyle name="Bom 4" xfId="162" xr:uid="{00000000-0005-0000-0000-000092000000}"/>
    <cellStyle name="Bom 5" xfId="163" xr:uid="{00000000-0005-0000-0000-000093000000}"/>
    <cellStyle name="Bom 6" xfId="164" xr:uid="{00000000-0005-0000-0000-000094000000}"/>
    <cellStyle name="Bom 7" xfId="165" xr:uid="{00000000-0005-0000-0000-000095000000}"/>
    <cellStyle name="Bom 8" xfId="166" xr:uid="{00000000-0005-0000-0000-000096000000}"/>
    <cellStyle name="Bom 9" xfId="167" xr:uid="{00000000-0005-0000-0000-000097000000}"/>
    <cellStyle name="Cálculo 2" xfId="168" xr:uid="{00000000-0005-0000-0000-000098000000}"/>
    <cellStyle name="Cálculo 3" xfId="169" xr:uid="{00000000-0005-0000-0000-000099000000}"/>
    <cellStyle name="Cálculo 4" xfId="170" xr:uid="{00000000-0005-0000-0000-00009A000000}"/>
    <cellStyle name="Cálculo 5" xfId="171" xr:uid="{00000000-0005-0000-0000-00009B000000}"/>
    <cellStyle name="Cálculo 6" xfId="172" xr:uid="{00000000-0005-0000-0000-00009C000000}"/>
    <cellStyle name="Cálculo 7" xfId="173" xr:uid="{00000000-0005-0000-0000-00009D000000}"/>
    <cellStyle name="Cálculo 8" xfId="174" xr:uid="{00000000-0005-0000-0000-00009E000000}"/>
    <cellStyle name="Cálculo 9" xfId="175" xr:uid="{00000000-0005-0000-0000-00009F000000}"/>
    <cellStyle name="Célula de Verificação 2" xfId="176" xr:uid="{00000000-0005-0000-0000-0000A0000000}"/>
    <cellStyle name="Célula de Verificação 3" xfId="177" xr:uid="{00000000-0005-0000-0000-0000A1000000}"/>
    <cellStyle name="Célula de Verificação 4" xfId="178" xr:uid="{00000000-0005-0000-0000-0000A2000000}"/>
    <cellStyle name="Célula de Verificação 5" xfId="179" xr:uid="{00000000-0005-0000-0000-0000A3000000}"/>
    <cellStyle name="Célula de Verificação 6" xfId="180" xr:uid="{00000000-0005-0000-0000-0000A4000000}"/>
    <cellStyle name="Célula de Verificação 7" xfId="181" xr:uid="{00000000-0005-0000-0000-0000A5000000}"/>
    <cellStyle name="Célula de Verificação 8" xfId="182" xr:uid="{00000000-0005-0000-0000-0000A6000000}"/>
    <cellStyle name="Célula de Verificação 9" xfId="183" xr:uid="{00000000-0005-0000-0000-0000A7000000}"/>
    <cellStyle name="Célula Vinculada 2" xfId="184" xr:uid="{00000000-0005-0000-0000-0000A8000000}"/>
    <cellStyle name="Célula Vinculada 3" xfId="185" xr:uid="{00000000-0005-0000-0000-0000A9000000}"/>
    <cellStyle name="Célula Vinculada 4" xfId="186" xr:uid="{00000000-0005-0000-0000-0000AA000000}"/>
    <cellStyle name="Célula Vinculada 5" xfId="187" xr:uid="{00000000-0005-0000-0000-0000AB000000}"/>
    <cellStyle name="Célula Vinculada 6" xfId="188" xr:uid="{00000000-0005-0000-0000-0000AC000000}"/>
    <cellStyle name="Célula Vinculada 7" xfId="189" xr:uid="{00000000-0005-0000-0000-0000AD000000}"/>
    <cellStyle name="Célula Vinculada 8" xfId="190" xr:uid="{00000000-0005-0000-0000-0000AE000000}"/>
    <cellStyle name="Célula Vinculada 9" xfId="191" xr:uid="{00000000-0005-0000-0000-0000AF000000}"/>
    <cellStyle name="Ênfase1 2" xfId="192" xr:uid="{00000000-0005-0000-0000-0000B0000000}"/>
    <cellStyle name="Ênfase1 3" xfId="193" xr:uid="{00000000-0005-0000-0000-0000B1000000}"/>
    <cellStyle name="Ênfase1 4" xfId="194" xr:uid="{00000000-0005-0000-0000-0000B2000000}"/>
    <cellStyle name="Ênfase1 5" xfId="195" xr:uid="{00000000-0005-0000-0000-0000B3000000}"/>
    <cellStyle name="Ênfase1 6" xfId="196" xr:uid="{00000000-0005-0000-0000-0000B4000000}"/>
    <cellStyle name="Ênfase1 7" xfId="197" xr:uid="{00000000-0005-0000-0000-0000B5000000}"/>
    <cellStyle name="Ênfase1 8" xfId="198" xr:uid="{00000000-0005-0000-0000-0000B6000000}"/>
    <cellStyle name="Ênfase1 9" xfId="199" xr:uid="{00000000-0005-0000-0000-0000B7000000}"/>
    <cellStyle name="Ênfase2 2" xfId="200" xr:uid="{00000000-0005-0000-0000-0000B8000000}"/>
    <cellStyle name="Ênfase2 3" xfId="201" xr:uid="{00000000-0005-0000-0000-0000B9000000}"/>
    <cellStyle name="Ênfase2 4" xfId="202" xr:uid="{00000000-0005-0000-0000-0000BA000000}"/>
    <cellStyle name="Ênfase2 5" xfId="203" xr:uid="{00000000-0005-0000-0000-0000BB000000}"/>
    <cellStyle name="Ênfase2 6" xfId="204" xr:uid="{00000000-0005-0000-0000-0000BC000000}"/>
    <cellStyle name="Ênfase2 7" xfId="205" xr:uid="{00000000-0005-0000-0000-0000BD000000}"/>
    <cellStyle name="Ênfase2 8" xfId="206" xr:uid="{00000000-0005-0000-0000-0000BE000000}"/>
    <cellStyle name="Ênfase2 9" xfId="207" xr:uid="{00000000-0005-0000-0000-0000BF000000}"/>
    <cellStyle name="Ênfase3 2" xfId="208" xr:uid="{00000000-0005-0000-0000-0000C0000000}"/>
    <cellStyle name="Ênfase3 3" xfId="209" xr:uid="{00000000-0005-0000-0000-0000C1000000}"/>
    <cellStyle name="Ênfase3 4" xfId="210" xr:uid="{00000000-0005-0000-0000-0000C2000000}"/>
    <cellStyle name="Ênfase3 5" xfId="211" xr:uid="{00000000-0005-0000-0000-0000C3000000}"/>
    <cellStyle name="Ênfase3 6" xfId="212" xr:uid="{00000000-0005-0000-0000-0000C4000000}"/>
    <cellStyle name="Ênfase3 7" xfId="213" xr:uid="{00000000-0005-0000-0000-0000C5000000}"/>
    <cellStyle name="Ênfase3 8" xfId="214" xr:uid="{00000000-0005-0000-0000-0000C6000000}"/>
    <cellStyle name="Ênfase3 9" xfId="215" xr:uid="{00000000-0005-0000-0000-0000C7000000}"/>
    <cellStyle name="Ênfase4 2" xfId="216" xr:uid="{00000000-0005-0000-0000-0000C8000000}"/>
    <cellStyle name="Ênfase4 3" xfId="217" xr:uid="{00000000-0005-0000-0000-0000C9000000}"/>
    <cellStyle name="Ênfase4 4" xfId="218" xr:uid="{00000000-0005-0000-0000-0000CA000000}"/>
    <cellStyle name="Ênfase4 5" xfId="219" xr:uid="{00000000-0005-0000-0000-0000CB000000}"/>
    <cellStyle name="Ênfase4 6" xfId="220" xr:uid="{00000000-0005-0000-0000-0000CC000000}"/>
    <cellStyle name="Ênfase4 7" xfId="221" xr:uid="{00000000-0005-0000-0000-0000CD000000}"/>
    <cellStyle name="Ênfase4 8" xfId="222" xr:uid="{00000000-0005-0000-0000-0000CE000000}"/>
    <cellStyle name="Ênfase4 9" xfId="223" xr:uid="{00000000-0005-0000-0000-0000CF000000}"/>
    <cellStyle name="Ênfase5 2" xfId="224" xr:uid="{00000000-0005-0000-0000-0000D0000000}"/>
    <cellStyle name="Ênfase5 3" xfId="225" xr:uid="{00000000-0005-0000-0000-0000D1000000}"/>
    <cellStyle name="Ênfase5 4" xfId="226" xr:uid="{00000000-0005-0000-0000-0000D2000000}"/>
    <cellStyle name="Ênfase5 5" xfId="227" xr:uid="{00000000-0005-0000-0000-0000D3000000}"/>
    <cellStyle name="Ênfase5 6" xfId="228" xr:uid="{00000000-0005-0000-0000-0000D4000000}"/>
    <cellStyle name="Ênfase5 7" xfId="229" xr:uid="{00000000-0005-0000-0000-0000D5000000}"/>
    <cellStyle name="Ênfase5 8" xfId="230" xr:uid="{00000000-0005-0000-0000-0000D6000000}"/>
    <cellStyle name="Ênfase5 9" xfId="231" xr:uid="{00000000-0005-0000-0000-0000D7000000}"/>
    <cellStyle name="Ênfase6 2" xfId="232" xr:uid="{00000000-0005-0000-0000-0000D8000000}"/>
    <cellStyle name="Ênfase6 3" xfId="233" xr:uid="{00000000-0005-0000-0000-0000D9000000}"/>
    <cellStyle name="Ênfase6 4" xfId="234" xr:uid="{00000000-0005-0000-0000-0000DA000000}"/>
    <cellStyle name="Ênfase6 5" xfId="235" xr:uid="{00000000-0005-0000-0000-0000DB000000}"/>
    <cellStyle name="Ênfase6 6" xfId="236" xr:uid="{00000000-0005-0000-0000-0000DC000000}"/>
    <cellStyle name="Ênfase6 7" xfId="237" xr:uid="{00000000-0005-0000-0000-0000DD000000}"/>
    <cellStyle name="Ênfase6 8" xfId="238" xr:uid="{00000000-0005-0000-0000-0000DE000000}"/>
    <cellStyle name="Ênfase6 9" xfId="239" xr:uid="{00000000-0005-0000-0000-0000DF000000}"/>
    <cellStyle name="Entrada 2" xfId="240" xr:uid="{00000000-0005-0000-0000-0000E0000000}"/>
    <cellStyle name="Entrada 3" xfId="241" xr:uid="{00000000-0005-0000-0000-0000E1000000}"/>
    <cellStyle name="Entrada 4" xfId="242" xr:uid="{00000000-0005-0000-0000-0000E2000000}"/>
    <cellStyle name="Entrada 5" xfId="243" xr:uid="{00000000-0005-0000-0000-0000E3000000}"/>
    <cellStyle name="Entrada 6" xfId="244" xr:uid="{00000000-0005-0000-0000-0000E4000000}"/>
    <cellStyle name="Entrada 7" xfId="245" xr:uid="{00000000-0005-0000-0000-0000E5000000}"/>
    <cellStyle name="Entrada 8" xfId="246" xr:uid="{00000000-0005-0000-0000-0000E6000000}"/>
    <cellStyle name="Entrada 9" xfId="247" xr:uid="{00000000-0005-0000-0000-0000E7000000}"/>
    <cellStyle name="Estilo 1" xfId="248" xr:uid="{00000000-0005-0000-0000-0000E8000000}"/>
    <cellStyle name="Excel Built-in Normal" xfId="249" xr:uid="{00000000-0005-0000-0000-0000E9000000}"/>
    <cellStyle name="Hiperlink" xfId="419" builtinId="8"/>
    <cellStyle name="Hiperlink 2" xfId="13" xr:uid="{00000000-0005-0000-0000-0000EB000000}"/>
    <cellStyle name="Hyperlink" xfId="418" xr:uid="{00000000-0005-0000-0000-0000EC000000}"/>
    <cellStyle name="Incorreto 2" xfId="250" xr:uid="{00000000-0005-0000-0000-0000ED000000}"/>
    <cellStyle name="Incorreto 3" xfId="251" xr:uid="{00000000-0005-0000-0000-0000EE000000}"/>
    <cellStyle name="Incorreto 4" xfId="252" xr:uid="{00000000-0005-0000-0000-0000EF000000}"/>
    <cellStyle name="Incorreto 5" xfId="253" xr:uid="{00000000-0005-0000-0000-0000F0000000}"/>
    <cellStyle name="Incorreto 6" xfId="254" xr:uid="{00000000-0005-0000-0000-0000F1000000}"/>
    <cellStyle name="Incorreto 7" xfId="255" xr:uid="{00000000-0005-0000-0000-0000F2000000}"/>
    <cellStyle name="Incorreto 8" xfId="256" xr:uid="{00000000-0005-0000-0000-0000F3000000}"/>
    <cellStyle name="Incorreto 9" xfId="257" xr:uid="{00000000-0005-0000-0000-0000F4000000}"/>
    <cellStyle name="Input (estilo)" xfId="421" xr:uid="{00000000-0005-0000-0000-0000F5000000}"/>
    <cellStyle name="Moeda" xfId="1" builtinId="4"/>
    <cellStyle name="Moeda 2" xfId="259" xr:uid="{00000000-0005-0000-0000-0000F7000000}"/>
    <cellStyle name="Moeda 3" xfId="260" xr:uid="{00000000-0005-0000-0000-0000F8000000}"/>
    <cellStyle name="Moeda 4" xfId="258" xr:uid="{00000000-0005-0000-0000-0000F9000000}"/>
    <cellStyle name="Moeda 4 2" xfId="410" xr:uid="{00000000-0005-0000-0000-0000FA000000}"/>
    <cellStyle name="Moeda 5" xfId="407" xr:uid="{00000000-0005-0000-0000-0000FB000000}"/>
    <cellStyle name="Moeda 6" xfId="7" xr:uid="{00000000-0005-0000-0000-0000FC000000}"/>
    <cellStyle name="Neutra 2" xfId="261" xr:uid="{00000000-0005-0000-0000-0000FD000000}"/>
    <cellStyle name="Neutra 3" xfId="262" xr:uid="{00000000-0005-0000-0000-0000FE000000}"/>
    <cellStyle name="Neutra 4" xfId="263" xr:uid="{00000000-0005-0000-0000-0000FF000000}"/>
    <cellStyle name="Neutra 5" xfId="264" xr:uid="{00000000-0005-0000-0000-000000010000}"/>
    <cellStyle name="Neutra 6" xfId="265" xr:uid="{00000000-0005-0000-0000-000001010000}"/>
    <cellStyle name="Neutra 7" xfId="266" xr:uid="{00000000-0005-0000-0000-000002010000}"/>
    <cellStyle name="Neutra 8" xfId="267" xr:uid="{00000000-0005-0000-0000-000003010000}"/>
    <cellStyle name="Neutra 9" xfId="268" xr:uid="{00000000-0005-0000-0000-000004010000}"/>
    <cellStyle name="Normal" xfId="0" builtinId="0"/>
    <cellStyle name="Normal 10" xfId="269" xr:uid="{00000000-0005-0000-0000-000006010000}"/>
    <cellStyle name="Normal 11" xfId="270" xr:uid="{00000000-0005-0000-0000-000007010000}"/>
    <cellStyle name="Normal 12" xfId="271" xr:uid="{00000000-0005-0000-0000-000008010000}"/>
    <cellStyle name="Normal 13" xfId="272" xr:uid="{00000000-0005-0000-0000-000009010000}"/>
    <cellStyle name="Normal 14" xfId="401" xr:uid="{00000000-0005-0000-0000-00000A010000}"/>
    <cellStyle name="Normal 15" xfId="403" xr:uid="{00000000-0005-0000-0000-00000B010000}"/>
    <cellStyle name="Normal 2" xfId="4" xr:uid="{00000000-0005-0000-0000-00000C010000}"/>
    <cellStyle name="Normal 2 10" xfId="404" xr:uid="{00000000-0005-0000-0000-00000D010000}"/>
    <cellStyle name="Normal 2 2" xfId="12" xr:uid="{00000000-0005-0000-0000-00000E010000}"/>
    <cellStyle name="Normal 2 2 2" xfId="273" xr:uid="{00000000-0005-0000-0000-00000F010000}"/>
    <cellStyle name="Normal 2 3" xfId="274" xr:uid="{00000000-0005-0000-0000-000010010000}"/>
    <cellStyle name="Normal 2 4" xfId="275" xr:uid="{00000000-0005-0000-0000-000011010000}"/>
    <cellStyle name="Normal 2 5" xfId="276" xr:uid="{00000000-0005-0000-0000-000012010000}"/>
    <cellStyle name="Normal 2 6" xfId="277" xr:uid="{00000000-0005-0000-0000-000013010000}"/>
    <cellStyle name="Normal 2 7" xfId="278" xr:uid="{00000000-0005-0000-0000-000014010000}"/>
    <cellStyle name="Normal 2 8" xfId="279" xr:uid="{00000000-0005-0000-0000-000015010000}"/>
    <cellStyle name="Normal 2 9" xfId="280" xr:uid="{00000000-0005-0000-0000-000016010000}"/>
    <cellStyle name="Normal 3" xfId="5" xr:uid="{00000000-0005-0000-0000-000017010000}"/>
    <cellStyle name="Normal 3 10" xfId="282" xr:uid="{00000000-0005-0000-0000-000018010000}"/>
    <cellStyle name="Normal 3 10 2" xfId="283" xr:uid="{00000000-0005-0000-0000-000019010000}"/>
    <cellStyle name="Normal 3 11" xfId="284" xr:uid="{00000000-0005-0000-0000-00001A010000}"/>
    <cellStyle name="Normal 3 11 2" xfId="285" xr:uid="{00000000-0005-0000-0000-00001B010000}"/>
    <cellStyle name="Normal 3 12" xfId="286" xr:uid="{00000000-0005-0000-0000-00001C010000}"/>
    <cellStyle name="Normal 3 12 2" xfId="287" xr:uid="{00000000-0005-0000-0000-00001D010000}"/>
    <cellStyle name="Normal 3 13" xfId="288" xr:uid="{00000000-0005-0000-0000-00001E010000}"/>
    <cellStyle name="Normal 3 14" xfId="281" xr:uid="{00000000-0005-0000-0000-00001F010000}"/>
    <cellStyle name="Normal 3 2" xfId="10" xr:uid="{00000000-0005-0000-0000-000020010000}"/>
    <cellStyle name="Normal 3 2 2" xfId="290" xr:uid="{00000000-0005-0000-0000-000021010000}"/>
    <cellStyle name="Normal 3 2 2 2" xfId="291" xr:uid="{00000000-0005-0000-0000-000022010000}"/>
    <cellStyle name="Normal 3 2 3" xfId="289" xr:uid="{00000000-0005-0000-0000-000023010000}"/>
    <cellStyle name="Normal 3 3" xfId="292" xr:uid="{00000000-0005-0000-0000-000024010000}"/>
    <cellStyle name="Normal 3 4" xfId="293" xr:uid="{00000000-0005-0000-0000-000025010000}"/>
    <cellStyle name="Normal 3 5" xfId="294" xr:uid="{00000000-0005-0000-0000-000026010000}"/>
    <cellStyle name="Normal 3 6" xfId="295" xr:uid="{00000000-0005-0000-0000-000027010000}"/>
    <cellStyle name="Normal 3 7" xfId="296" xr:uid="{00000000-0005-0000-0000-000028010000}"/>
    <cellStyle name="Normal 3 7 2" xfId="297" xr:uid="{00000000-0005-0000-0000-000029010000}"/>
    <cellStyle name="Normal 3 8" xfId="298" xr:uid="{00000000-0005-0000-0000-00002A010000}"/>
    <cellStyle name="Normal 3 8 2" xfId="299" xr:uid="{00000000-0005-0000-0000-00002B010000}"/>
    <cellStyle name="Normal 3 9" xfId="300" xr:uid="{00000000-0005-0000-0000-00002C010000}"/>
    <cellStyle name="Normal 4" xfId="6" xr:uid="{00000000-0005-0000-0000-00002D010000}"/>
    <cellStyle name="Normal 4 2" xfId="302" xr:uid="{00000000-0005-0000-0000-00002E010000}"/>
    <cellStyle name="Normal 4 3" xfId="301" xr:uid="{00000000-0005-0000-0000-00002F010000}"/>
    <cellStyle name="Normal 4 4" xfId="14" xr:uid="{00000000-0005-0000-0000-000030010000}"/>
    <cellStyle name="Normal 5" xfId="303" xr:uid="{00000000-0005-0000-0000-000031010000}"/>
    <cellStyle name="Normal 5 2" xfId="304" xr:uid="{00000000-0005-0000-0000-000032010000}"/>
    <cellStyle name="Normal 6" xfId="305" xr:uid="{00000000-0005-0000-0000-000033010000}"/>
    <cellStyle name="Normal 7" xfId="306" xr:uid="{00000000-0005-0000-0000-000034010000}"/>
    <cellStyle name="Normal 8" xfId="307" xr:uid="{00000000-0005-0000-0000-000035010000}"/>
    <cellStyle name="Normal 9" xfId="308" xr:uid="{00000000-0005-0000-0000-000036010000}"/>
    <cellStyle name="Nota 2" xfId="309" xr:uid="{00000000-0005-0000-0000-000037010000}"/>
    <cellStyle name="Nota 3" xfId="310" xr:uid="{00000000-0005-0000-0000-000038010000}"/>
    <cellStyle name="Nota 4" xfId="311" xr:uid="{00000000-0005-0000-0000-000039010000}"/>
    <cellStyle name="Nota 5" xfId="312" xr:uid="{00000000-0005-0000-0000-00003A010000}"/>
    <cellStyle name="Nota 6" xfId="313" xr:uid="{00000000-0005-0000-0000-00003B010000}"/>
    <cellStyle name="Nota 7" xfId="314" xr:uid="{00000000-0005-0000-0000-00003C010000}"/>
    <cellStyle name="Nota 8" xfId="315" xr:uid="{00000000-0005-0000-0000-00003D010000}"/>
    <cellStyle name="Nota 9" xfId="316" xr:uid="{00000000-0005-0000-0000-00003E010000}"/>
    <cellStyle name="Porcentagem" xfId="3" builtinId="5"/>
    <cellStyle name="Porcentagem 2" xfId="318" xr:uid="{00000000-0005-0000-0000-000040010000}"/>
    <cellStyle name="Porcentagem 2 2" xfId="319" xr:uid="{00000000-0005-0000-0000-000041010000}"/>
    <cellStyle name="Porcentagem 3" xfId="320" xr:uid="{00000000-0005-0000-0000-000042010000}"/>
    <cellStyle name="Porcentagem 4" xfId="317" xr:uid="{00000000-0005-0000-0000-000043010000}"/>
    <cellStyle name="Porcentagem 5" xfId="405" xr:uid="{00000000-0005-0000-0000-000044010000}"/>
    <cellStyle name="Saída 2" xfId="321" xr:uid="{00000000-0005-0000-0000-000045010000}"/>
    <cellStyle name="Saída 3" xfId="322" xr:uid="{00000000-0005-0000-0000-000046010000}"/>
    <cellStyle name="Saída 4" xfId="323" xr:uid="{00000000-0005-0000-0000-000047010000}"/>
    <cellStyle name="Saída 5" xfId="324" xr:uid="{00000000-0005-0000-0000-000048010000}"/>
    <cellStyle name="Saída 6" xfId="325" xr:uid="{00000000-0005-0000-0000-000049010000}"/>
    <cellStyle name="Saída 7" xfId="326" xr:uid="{00000000-0005-0000-0000-00004A010000}"/>
    <cellStyle name="Saída 8" xfId="327" xr:uid="{00000000-0005-0000-0000-00004B010000}"/>
    <cellStyle name="Saída 9" xfId="328" xr:uid="{00000000-0005-0000-0000-00004C010000}"/>
    <cellStyle name="Separador de milhares 2" xfId="8" xr:uid="{00000000-0005-0000-0000-00004D010000}"/>
    <cellStyle name="Separador de milhares 2 2" xfId="9" xr:uid="{00000000-0005-0000-0000-00004E010000}"/>
    <cellStyle name="Separador de milhares 2 2 2" xfId="330" xr:uid="{00000000-0005-0000-0000-00004F010000}"/>
    <cellStyle name="Separador de milhares 2 2 2 2" xfId="412" xr:uid="{00000000-0005-0000-0000-000050010000}"/>
    <cellStyle name="Separador de milhares 2 3" xfId="329" xr:uid="{00000000-0005-0000-0000-000051010000}"/>
    <cellStyle name="Separador de milhares 2 3 2" xfId="411" xr:uid="{00000000-0005-0000-0000-000052010000}"/>
    <cellStyle name="Separador de milhares 3" xfId="331" xr:uid="{00000000-0005-0000-0000-000053010000}"/>
    <cellStyle name="Separador de milhares 3 2" xfId="332" xr:uid="{00000000-0005-0000-0000-000054010000}"/>
    <cellStyle name="Separador de milhares 3 2 2" xfId="414" xr:uid="{00000000-0005-0000-0000-000055010000}"/>
    <cellStyle name="Separador de milhares 3 3" xfId="413" xr:uid="{00000000-0005-0000-0000-000056010000}"/>
    <cellStyle name="Separador de milhares 4" xfId="333" xr:uid="{00000000-0005-0000-0000-000057010000}"/>
    <cellStyle name="Separador de milhares 5" xfId="334" xr:uid="{00000000-0005-0000-0000-000058010000}"/>
    <cellStyle name="Separador de milhares 6" xfId="335" xr:uid="{00000000-0005-0000-0000-000059010000}"/>
    <cellStyle name="Texto de Aviso 2" xfId="336" xr:uid="{00000000-0005-0000-0000-00005A010000}"/>
    <cellStyle name="Texto de Aviso 3" xfId="337" xr:uid="{00000000-0005-0000-0000-00005B010000}"/>
    <cellStyle name="Texto de Aviso 4" xfId="338" xr:uid="{00000000-0005-0000-0000-00005C010000}"/>
    <cellStyle name="Texto de Aviso 5" xfId="339" xr:uid="{00000000-0005-0000-0000-00005D010000}"/>
    <cellStyle name="Texto de Aviso 6" xfId="340" xr:uid="{00000000-0005-0000-0000-00005E010000}"/>
    <cellStyle name="Texto de Aviso 7" xfId="341" xr:uid="{00000000-0005-0000-0000-00005F010000}"/>
    <cellStyle name="Texto de Aviso 8" xfId="342" xr:uid="{00000000-0005-0000-0000-000060010000}"/>
    <cellStyle name="Texto de Aviso 9" xfId="343" xr:uid="{00000000-0005-0000-0000-000061010000}"/>
    <cellStyle name="Texto Explicativo 2" xfId="344" xr:uid="{00000000-0005-0000-0000-000062010000}"/>
    <cellStyle name="Texto Explicativo 3" xfId="345" xr:uid="{00000000-0005-0000-0000-000063010000}"/>
    <cellStyle name="Texto Explicativo 4" xfId="346" xr:uid="{00000000-0005-0000-0000-000064010000}"/>
    <cellStyle name="Texto Explicativo 5" xfId="347" xr:uid="{00000000-0005-0000-0000-000065010000}"/>
    <cellStyle name="Texto Explicativo 6" xfId="348" xr:uid="{00000000-0005-0000-0000-000066010000}"/>
    <cellStyle name="Texto Explicativo 7" xfId="349" xr:uid="{00000000-0005-0000-0000-000067010000}"/>
    <cellStyle name="Texto Explicativo 8" xfId="350" xr:uid="{00000000-0005-0000-0000-000068010000}"/>
    <cellStyle name="Texto Explicativo 9" xfId="351" xr:uid="{00000000-0005-0000-0000-000069010000}"/>
    <cellStyle name="Título 1 2" xfId="352" xr:uid="{00000000-0005-0000-0000-00006A010000}"/>
    <cellStyle name="Título 1 3" xfId="353" xr:uid="{00000000-0005-0000-0000-00006B010000}"/>
    <cellStyle name="Título 1 4" xfId="354" xr:uid="{00000000-0005-0000-0000-00006C010000}"/>
    <cellStyle name="Título 1 5" xfId="355" xr:uid="{00000000-0005-0000-0000-00006D010000}"/>
    <cellStyle name="Título 1 6" xfId="356" xr:uid="{00000000-0005-0000-0000-00006E010000}"/>
    <cellStyle name="Título 1 7" xfId="357" xr:uid="{00000000-0005-0000-0000-00006F010000}"/>
    <cellStyle name="Título 1 8" xfId="358" xr:uid="{00000000-0005-0000-0000-000070010000}"/>
    <cellStyle name="Título 1 9" xfId="359" xr:uid="{00000000-0005-0000-0000-000071010000}"/>
    <cellStyle name="Título 10" xfId="360" xr:uid="{00000000-0005-0000-0000-000072010000}"/>
    <cellStyle name="Título 11" xfId="361" xr:uid="{00000000-0005-0000-0000-000073010000}"/>
    <cellStyle name="Título 12" xfId="362" xr:uid="{00000000-0005-0000-0000-000074010000}"/>
    <cellStyle name="Título 2 2" xfId="363" xr:uid="{00000000-0005-0000-0000-000075010000}"/>
    <cellStyle name="Título 2 3" xfId="364" xr:uid="{00000000-0005-0000-0000-000076010000}"/>
    <cellStyle name="Título 2 4" xfId="365" xr:uid="{00000000-0005-0000-0000-000077010000}"/>
    <cellStyle name="Título 2 5" xfId="366" xr:uid="{00000000-0005-0000-0000-000078010000}"/>
    <cellStyle name="Título 2 6" xfId="367" xr:uid="{00000000-0005-0000-0000-000079010000}"/>
    <cellStyle name="Título 2 7" xfId="368" xr:uid="{00000000-0005-0000-0000-00007A010000}"/>
    <cellStyle name="Título 2 8" xfId="369" xr:uid="{00000000-0005-0000-0000-00007B010000}"/>
    <cellStyle name="Título 2 9" xfId="370" xr:uid="{00000000-0005-0000-0000-00007C010000}"/>
    <cellStyle name="Título 3 2" xfId="371" xr:uid="{00000000-0005-0000-0000-00007D010000}"/>
    <cellStyle name="Título 3 3" xfId="372" xr:uid="{00000000-0005-0000-0000-00007E010000}"/>
    <cellStyle name="Título 3 4" xfId="373" xr:uid="{00000000-0005-0000-0000-00007F010000}"/>
    <cellStyle name="Título 3 5" xfId="374" xr:uid="{00000000-0005-0000-0000-000080010000}"/>
    <cellStyle name="Título 3 6" xfId="375" xr:uid="{00000000-0005-0000-0000-000081010000}"/>
    <cellStyle name="Título 3 7" xfId="376" xr:uid="{00000000-0005-0000-0000-000082010000}"/>
    <cellStyle name="Título 3 8" xfId="377" xr:uid="{00000000-0005-0000-0000-000083010000}"/>
    <cellStyle name="Título 3 9" xfId="378" xr:uid="{00000000-0005-0000-0000-000084010000}"/>
    <cellStyle name="Título 4 2" xfId="379" xr:uid="{00000000-0005-0000-0000-000085010000}"/>
    <cellStyle name="Título 4 3" xfId="380" xr:uid="{00000000-0005-0000-0000-000086010000}"/>
    <cellStyle name="Título 4 4" xfId="381" xr:uid="{00000000-0005-0000-0000-000087010000}"/>
    <cellStyle name="Título 4 5" xfId="382" xr:uid="{00000000-0005-0000-0000-000088010000}"/>
    <cellStyle name="Título 4 6" xfId="383" xr:uid="{00000000-0005-0000-0000-000089010000}"/>
    <cellStyle name="Título 4 7" xfId="384" xr:uid="{00000000-0005-0000-0000-00008A010000}"/>
    <cellStyle name="Título 4 8" xfId="385" xr:uid="{00000000-0005-0000-0000-00008B010000}"/>
    <cellStyle name="Título 4 9" xfId="386" xr:uid="{00000000-0005-0000-0000-00008C010000}"/>
    <cellStyle name="Título 5" xfId="387" xr:uid="{00000000-0005-0000-0000-00008D010000}"/>
    <cellStyle name="Título 6" xfId="388" xr:uid="{00000000-0005-0000-0000-00008E010000}"/>
    <cellStyle name="Título 7" xfId="389" xr:uid="{00000000-0005-0000-0000-00008F010000}"/>
    <cellStyle name="Título 8" xfId="390" xr:uid="{00000000-0005-0000-0000-000090010000}"/>
    <cellStyle name="Título 9" xfId="391" xr:uid="{00000000-0005-0000-0000-000091010000}"/>
    <cellStyle name="Título1" xfId="420" xr:uid="{00000000-0005-0000-0000-000092010000}"/>
    <cellStyle name="Total 2" xfId="392" xr:uid="{00000000-0005-0000-0000-000093010000}"/>
    <cellStyle name="Total 3" xfId="393" xr:uid="{00000000-0005-0000-0000-000094010000}"/>
    <cellStyle name="Total 4" xfId="394" xr:uid="{00000000-0005-0000-0000-000095010000}"/>
    <cellStyle name="Total 5" xfId="395" xr:uid="{00000000-0005-0000-0000-000096010000}"/>
    <cellStyle name="Total 6" xfId="396" xr:uid="{00000000-0005-0000-0000-000097010000}"/>
    <cellStyle name="Total 7" xfId="397" xr:uid="{00000000-0005-0000-0000-000098010000}"/>
    <cellStyle name="Total 8" xfId="398" xr:uid="{00000000-0005-0000-0000-000099010000}"/>
    <cellStyle name="Total 9" xfId="399" xr:uid="{00000000-0005-0000-0000-00009A010000}"/>
    <cellStyle name="Vírgula" xfId="2" builtinId="3"/>
    <cellStyle name="Vírgula 2" xfId="402" xr:uid="{00000000-0005-0000-0000-00009C010000}"/>
    <cellStyle name="Vírgula 2 2" xfId="416" xr:uid="{00000000-0005-0000-0000-00009D010000}"/>
    <cellStyle name="Vírgula 2 3" xfId="417" xr:uid="{00000000-0005-0000-0000-00009E010000}"/>
    <cellStyle name="Vírgula 3" xfId="400" xr:uid="{00000000-0005-0000-0000-00009F010000}"/>
    <cellStyle name="Vírgula 3 2" xfId="415" xr:uid="{00000000-0005-0000-0000-0000A0010000}"/>
    <cellStyle name="Vírgula 4" xfId="406" xr:uid="{00000000-0005-0000-0000-0000A1010000}"/>
    <cellStyle name="Vírgula 4 2" xfId="15" xr:uid="{00000000-0005-0000-0000-0000A2010000}"/>
    <cellStyle name="Vírgula 4 2 2" xfId="409" xr:uid="{00000000-0005-0000-0000-0000A3010000}"/>
    <cellStyle name="Vírgula 5" xfId="11" xr:uid="{00000000-0005-0000-0000-0000A4010000}"/>
    <cellStyle name="Vírgula 5 2" xfId="408" xr:uid="{00000000-0005-0000-0000-0000A5010000}"/>
  </cellStyles>
  <dxfs count="6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804000"/>
      </font>
      <fill>
        <patternFill>
          <bgColor rgb="FFFFE6C8"/>
        </patternFill>
      </fill>
    </dxf>
    <dxf>
      <font>
        <color rgb="FF808000"/>
      </font>
      <fill>
        <patternFill>
          <bgColor rgb="FFFFFFC8"/>
        </patternFill>
      </fill>
    </dxf>
    <dxf>
      <font>
        <color rgb="FF006400"/>
      </font>
      <fill>
        <patternFill>
          <bgColor rgb="FFC8FFC8"/>
        </patternFill>
      </fill>
    </dxf>
    <dxf>
      <font>
        <color rgb="FF000080"/>
      </font>
      <fill>
        <patternFill>
          <bgColor rgb="FFC8E6FF"/>
        </patternFill>
      </fill>
    </dxf>
    <dxf>
      <font>
        <color theme="4" tint="0.39994506668294322"/>
      </font>
    </dxf>
    <dxf>
      <fill>
        <patternFill>
          <fgColor theme="4" tint="0.59996337778862885"/>
        </patternFill>
      </fill>
    </dxf>
    <dxf>
      <font>
        <color theme="4" tint="-0.499984740745262"/>
      </font>
      <fill>
        <patternFill>
          <bgColor theme="4" tint="0.39994506668294322"/>
        </patternFill>
      </fill>
    </dxf>
    <dxf>
      <font>
        <color rgb="FF804000"/>
      </font>
      <fill>
        <patternFill>
          <bgColor rgb="FFFFE6C8"/>
        </patternFill>
      </fill>
    </dxf>
    <dxf>
      <font>
        <color rgb="FF808000"/>
      </font>
      <fill>
        <patternFill>
          <bgColor rgb="FFFFFFC8"/>
        </patternFill>
      </fill>
    </dxf>
    <dxf>
      <font>
        <color rgb="FF006400"/>
      </font>
      <fill>
        <patternFill>
          <bgColor rgb="FFC8FFC8"/>
        </patternFill>
      </fill>
    </dxf>
    <dxf>
      <font>
        <color rgb="FF000080"/>
      </font>
      <fill>
        <patternFill>
          <bgColor rgb="FFC8E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9" tint="-0.499984740745262"/>
      </font>
      <fill>
        <patternFill>
          <bgColor theme="9" tint="-0.24994659260841701"/>
        </patternFill>
      </fill>
    </dxf>
    <dxf>
      <font>
        <b/>
        <i val="0"/>
        <color theme="9" tint="-0.499984740745262"/>
      </font>
      <fill>
        <patternFill>
          <bgColor rgb="FF00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ANEXO B" pivot="0" count="0" xr9:uid="{00000000-0011-0000-FFFF-FFFF00000000}"/>
  </tableStyles>
  <colors>
    <mruColors>
      <color rgb="FF36495E"/>
      <color rgb="FF90A1B2"/>
      <color rgb="FF00FF00"/>
      <color rgb="FFE03F3F"/>
      <color rgb="FF90A1FF"/>
      <color rgb="FF54687F"/>
      <color rgb="FFCAD3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Fluxo</a:t>
            </a:r>
            <a:r>
              <a:rPr lang="en-US" sz="10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</a:t>
            </a: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nual de visitantes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DEMANDA!$D$43</c:f>
              <c:strCache>
                <c:ptCount val="1"/>
                <c:pt idx="0">
                  <c:v> Anual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DEMANDA!$E$43:$L$43</c:f>
              <c:numCache>
                <c:formatCode>_-* #,##0_-;\-* #,##0_-;_-* "-"??_-;_-@_-</c:formatCode>
                <c:ptCount val="8"/>
                <c:pt idx="0">
                  <c:v>109539.38556123174</c:v>
                </c:pt>
                <c:pt idx="1">
                  <c:v>113817.69690203374</c:v>
                </c:pt>
                <c:pt idx="2">
                  <c:v>118067.24993744242</c:v>
                </c:pt>
                <c:pt idx="3">
                  <c:v>122263.001539933</c:v>
                </c:pt>
                <c:pt idx="4">
                  <c:v>127178.56715244384</c:v>
                </c:pt>
                <c:pt idx="5">
                  <c:v>131127.41110611573</c:v>
                </c:pt>
                <c:pt idx="6">
                  <c:v>134895.42410461546</c:v>
                </c:pt>
                <c:pt idx="7">
                  <c:v>137049.03725473341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91-49C2-88EE-235D449D151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56664"/>
        <c:axId val="412363720"/>
      </c:barChart>
      <c:catAx>
        <c:axId val="41235666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63720"/>
        <c:crosses val="autoZero"/>
        <c:auto val="1"/>
        <c:lblAlgn val="ctr"/>
        <c:lblOffset val="100"/>
        <c:noMultiLvlLbl val="0"/>
      </c:catAx>
      <c:valAx>
        <c:axId val="41236372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6664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FCFE Descontado Positivo</c:v>
          </c:tx>
          <c:spPr>
            <a:solidFill>
              <a:srgbClr val="1F4E7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DFs!$E$6:$AN$6</c:f>
              <c:numCache>
                <c:formatCode>General</c:formatCode>
                <c:ptCount val="3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</c:numCache>
            </c:numRef>
          </c:cat>
          <c:val>
            <c:numRef>
              <c:f>DFs!$E$99:$AN$99</c:f>
              <c:numCache>
                <c:formatCode>_(* #,##0_);_(* \(#,##0\);_(* \-??_);_(@_)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772289.81053264544</c:v>
                </c:pt>
                <c:pt idx="4">
                  <c:v>620151.73273837462</c:v>
                </c:pt>
                <c:pt idx="5">
                  <c:v>546859.55848819029</c:v>
                </c:pt>
                <c:pt idx="6">
                  <c:v>362694.56989483163</c:v>
                </c:pt>
                <c:pt idx="7">
                  <c:v>320126.15852977207</c:v>
                </c:pt>
                <c:pt idx="8">
                  <c:v>298814.92818493961</c:v>
                </c:pt>
                <c:pt idx="9">
                  <c:v>272874.6909019592</c:v>
                </c:pt>
                <c:pt idx="10">
                  <c:v>247832.09424191451</c:v>
                </c:pt>
                <c:pt idx="11">
                  <c:v>223951.71118162447</c:v>
                </c:pt>
                <c:pt idx="12">
                  <c:v>198611.26592466817</c:v>
                </c:pt>
                <c:pt idx="13">
                  <c:v>183925.83104416257</c:v>
                </c:pt>
                <c:pt idx="14">
                  <c:v>166907.50622717815</c:v>
                </c:pt>
                <c:pt idx="15">
                  <c:v>151767.2542119124</c:v>
                </c:pt>
                <c:pt idx="16">
                  <c:v>137364.8357311913</c:v>
                </c:pt>
                <c:pt idx="17">
                  <c:v>119009.70695600439</c:v>
                </c:pt>
                <c:pt idx="18">
                  <c:v>112368.73720566288</c:v>
                </c:pt>
                <c:pt idx="19">
                  <c:v>99461.736843582577</c:v>
                </c:pt>
                <c:pt idx="20">
                  <c:v>87706.924975563219</c:v>
                </c:pt>
                <c:pt idx="21">
                  <c:v>77925.054694670602</c:v>
                </c:pt>
                <c:pt idx="22">
                  <c:v>67371.526812986835</c:v>
                </c:pt>
                <c:pt idx="23">
                  <c:v>60513.379323995345</c:v>
                </c:pt>
                <c:pt idx="24">
                  <c:v>54039.177623341537</c:v>
                </c:pt>
                <c:pt idx="25">
                  <c:v>47832.080324789364</c:v>
                </c:pt>
                <c:pt idx="26">
                  <c:v>42179.081258845858</c:v>
                </c:pt>
                <c:pt idx="27">
                  <c:v>36604.045130724226</c:v>
                </c:pt>
                <c:pt idx="28">
                  <c:v>33170.413481172836</c:v>
                </c:pt>
                <c:pt idx="29">
                  <c:v>29250.19267637439</c:v>
                </c:pt>
                <c:pt idx="30">
                  <c:v>25987.946388169352</c:v>
                </c:pt>
                <c:pt idx="31">
                  <c:v>23002.895191697226</c:v>
                </c:pt>
                <c:pt idx="32">
                  <c:v>19517.265460613045</c:v>
                </c:pt>
                <c:pt idx="33">
                  <c:v>17930.723476349369</c:v>
                </c:pt>
                <c:pt idx="34">
                  <c:v>15951.962356469803</c:v>
                </c:pt>
                <c:pt idx="35">
                  <c:v>14066.691473648614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9E-488B-A72F-05547FA10B7A}"/>
            </c:ext>
          </c:extLst>
        </c:ser>
        <c:ser>
          <c:idx val="1"/>
          <c:order val="1"/>
          <c:tx>
            <c:v>FCFE Descontado Negativo 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9.9206349206349201E-3"/>
                  <c:y val="-8.44327176781002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F1-40EC-898D-9935A88B3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DFs!$E$6:$AN$6</c:f>
              <c:numCache>
                <c:formatCode>General</c:formatCode>
                <c:ptCount val="3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</c:numCache>
            </c:numRef>
          </c:cat>
          <c:val>
            <c:numRef>
              <c:f>DFs!$E$100:$AN$100</c:f>
              <c:numCache>
                <c:formatCode>_(* #,##0_);_(* \(#,##0\);_(* \-??_);_(@_)</c:formatCode>
                <c:ptCount val="36"/>
                <c:pt idx="0">
                  <c:v>0</c:v>
                </c:pt>
                <c:pt idx="1">
                  <c:v>-3088662.1056374651</c:v>
                </c:pt>
                <c:pt idx="2">
                  <c:v>-2399399.3698298912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9E-488B-A72F-05547FA10B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408992736"/>
        <c:axId val="408993128"/>
      </c:barChart>
      <c:lineChart>
        <c:grouping val="standard"/>
        <c:varyColors val="0"/>
        <c:ser>
          <c:idx val="2"/>
          <c:order val="2"/>
          <c:tx>
            <c:v>VPL Acumulado</c:v>
          </c:tx>
          <c:spPr>
            <a:ln w="28575" cap="rnd">
              <a:solidFill>
                <a:srgbClr val="262626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DFs!$E$6:$AN$6</c:f>
              <c:numCache>
                <c:formatCode>General</c:formatCode>
                <c:ptCount val="3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</c:numCache>
            </c:numRef>
          </c:cat>
          <c:val>
            <c:numRef>
              <c:f>DFs!$E$98:$AN$98</c:f>
              <c:numCache>
                <c:formatCode>_(* #,##0_);_(* \(#,##0\);_(* \-??_);_(@_)</c:formatCode>
                <c:ptCount val="36"/>
                <c:pt idx="0">
                  <c:v>0</c:v>
                </c:pt>
                <c:pt idx="1">
                  <c:v>-3088662.1056374651</c:v>
                </c:pt>
                <c:pt idx="2">
                  <c:v>-5488061.4754673559</c:v>
                </c:pt>
                <c:pt idx="3">
                  <c:v>-4715771.6649347106</c:v>
                </c:pt>
                <c:pt idx="4">
                  <c:v>-4095619.9321963359</c:v>
                </c:pt>
                <c:pt idx="5">
                  <c:v>-3548760.3737081457</c:v>
                </c:pt>
                <c:pt idx="6">
                  <c:v>-3186065.8038133141</c:v>
                </c:pt>
                <c:pt idx="7">
                  <c:v>-2865939.6452835421</c:v>
                </c:pt>
                <c:pt idx="8">
                  <c:v>-2567124.7170986026</c:v>
                </c:pt>
                <c:pt idx="9">
                  <c:v>-2294250.0261966432</c:v>
                </c:pt>
                <c:pt idx="10">
                  <c:v>-2046417.9319547287</c:v>
                </c:pt>
                <c:pt idx="11">
                  <c:v>-1822466.2207731041</c:v>
                </c:pt>
                <c:pt idx="12">
                  <c:v>-1623854.9548484359</c:v>
                </c:pt>
                <c:pt idx="13">
                  <c:v>-1439929.1238042733</c:v>
                </c:pt>
                <c:pt idx="14">
                  <c:v>-1273021.6175770951</c:v>
                </c:pt>
                <c:pt idx="15">
                  <c:v>-1121254.3633651827</c:v>
                </c:pt>
                <c:pt idx="16">
                  <c:v>-983889.52763399133</c:v>
                </c:pt>
                <c:pt idx="17">
                  <c:v>-864879.82067798695</c:v>
                </c:pt>
                <c:pt idx="18">
                  <c:v>-752511.08347232407</c:v>
                </c:pt>
                <c:pt idx="19">
                  <c:v>-653049.34662874148</c:v>
                </c:pt>
                <c:pt idx="20">
                  <c:v>-565342.42165317829</c:v>
                </c:pt>
                <c:pt idx="21">
                  <c:v>-487417.36695850769</c:v>
                </c:pt>
                <c:pt idx="22">
                  <c:v>-420045.84014552087</c:v>
                </c:pt>
                <c:pt idx="23">
                  <c:v>-359532.46082152554</c:v>
                </c:pt>
                <c:pt idx="24">
                  <c:v>-305493.28319818398</c:v>
                </c:pt>
                <c:pt idx="25">
                  <c:v>-257661.20287339462</c:v>
                </c:pt>
                <c:pt idx="26">
                  <c:v>-215482.12161454876</c:v>
                </c:pt>
                <c:pt idx="27">
                  <c:v>-178878.07648382452</c:v>
                </c:pt>
                <c:pt idx="28">
                  <c:v>-145707.66300265168</c:v>
                </c:pt>
                <c:pt idx="29">
                  <c:v>-116457.47032627728</c:v>
                </c:pt>
                <c:pt idx="30">
                  <c:v>-90469.52393810793</c:v>
                </c:pt>
                <c:pt idx="31">
                  <c:v>-67466.628746410701</c:v>
                </c:pt>
                <c:pt idx="32">
                  <c:v>-47949.363285797655</c:v>
                </c:pt>
                <c:pt idx="33">
                  <c:v>-30018.639809448287</c:v>
                </c:pt>
                <c:pt idx="34">
                  <c:v>-14066.677452978483</c:v>
                </c:pt>
                <c:pt idx="35">
                  <c:v>1.4020670130776125E-2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E9E-488B-A72F-05547FA10B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08992736"/>
        <c:axId val="408993128"/>
      </c:lineChart>
      <c:catAx>
        <c:axId val="4089927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08993128"/>
        <c:crosses val="autoZero"/>
        <c:auto val="1"/>
        <c:lblAlgn val="ctr"/>
        <c:lblOffset val="100"/>
        <c:noMultiLvlLbl val="0"/>
      </c:catAx>
      <c:valAx>
        <c:axId val="408993128"/>
        <c:scaling>
          <c:orientation val="minMax"/>
        </c:scaling>
        <c:delete val="0"/>
        <c:axPos val="l"/>
        <c:numFmt formatCode="&quot;R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08992736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rgbClr val="FF0000"/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OPEX!$C$38:$C$50</c:f>
              <c:strCache>
                <c:ptCount val="13"/>
                <c:pt idx="0">
                  <c:v>FOPAG</c:v>
                </c:pt>
                <c:pt idx="1">
                  <c:v>AGRESPI</c:v>
                </c:pt>
                <c:pt idx="2">
                  <c:v>Água e Esgoto</c:v>
                </c:pt>
                <c:pt idx="3">
                  <c:v>Energia</c:v>
                </c:pt>
                <c:pt idx="4">
                  <c:v>Aquisição - Equipamentos esportivos </c:v>
                </c:pt>
                <c:pt idx="5">
                  <c:v>Manutenção e conservação</c:v>
                </c:pt>
                <c:pt idx="6">
                  <c:v>Impostos e taxas*</c:v>
                </c:pt>
                <c:pt idx="7">
                  <c:v>Publicidade e propaganda </c:v>
                </c:pt>
                <c:pt idx="8">
                  <c:v>Outras despesas operacionais </c:v>
                </c:pt>
                <c:pt idx="9">
                  <c:v>Serviços técnicos profissionais</c:v>
                </c:pt>
                <c:pt idx="10">
                  <c:v>Jardinagem </c:v>
                </c:pt>
                <c:pt idx="11">
                  <c:v>Seguros </c:v>
                </c:pt>
                <c:pt idx="12">
                  <c:v>Internet</c:v>
                </c:pt>
              </c:strCache>
            </c:strRef>
          </c:cat>
          <c:val>
            <c:numRef>
              <c:f>OPEX!$E$38:$E$50</c:f>
              <c:numCache>
                <c:formatCode>0.00%</c:formatCode>
                <c:ptCount val="13"/>
                <c:pt idx="0">
                  <c:v>0.32897808639861587</c:v>
                </c:pt>
                <c:pt idx="1">
                  <c:v>7.3959198778827005E-3</c:v>
                </c:pt>
                <c:pt idx="2">
                  <c:v>4.9369692454989331E-2</c:v>
                </c:pt>
                <c:pt idx="3">
                  <c:v>0.18350345767491216</c:v>
                </c:pt>
                <c:pt idx="4">
                  <c:v>3.7255823667539096E-3</c:v>
                </c:pt>
                <c:pt idx="5">
                  <c:v>5.0124222160708894E-2</c:v>
                </c:pt>
                <c:pt idx="6">
                  <c:v>3.5300340432624137E-2</c:v>
                </c:pt>
                <c:pt idx="7">
                  <c:v>5.459010397792699E-2</c:v>
                </c:pt>
                <c:pt idx="8">
                  <c:v>8.5248163737354277E-2</c:v>
                </c:pt>
                <c:pt idx="9">
                  <c:v>8.214758663909294E-2</c:v>
                </c:pt>
                <c:pt idx="10">
                  <c:v>7.9435003879087304E-3</c:v>
                </c:pt>
                <c:pt idx="11">
                  <c:v>2.2131097106588851E-2</c:v>
                </c:pt>
                <c:pt idx="12">
                  <c:v>2.0421729760701005E-2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1-451F-B0C8-65E5497E9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996656"/>
        <c:axId val="4089943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6">
                      <a:lumMod val="75000"/>
                    </a:schemeClr>
                  </a:solidFill>
                  <a:ln>
                    <a:solidFill>
                      <a:schemeClr val="accent6">
                        <a:lumMod val="75000"/>
                      </a:schemeClr>
                    </a:solidFill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2-4724-4930-B3AB-8E09644DF42F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0-4724-4930-B3AB-8E09644DF42F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6-4724-4930-B3AB-8E09644DF42F}"/>
                    </c:ext>
                  </c:extLst>
                </c:dPt>
                <c:dPt>
                  <c:idx val="5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A-4724-4930-B3AB-8E09644DF42F}"/>
                    </c:ext>
                  </c:extLst>
                </c:dPt>
                <c:dPt>
                  <c:idx val="6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C-4724-4930-B3AB-8E09644DF42F}"/>
                    </c:ext>
                  </c:extLst>
                </c:dPt>
                <c:dPt>
                  <c:idx val="7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E-4724-4930-B3AB-8E09644DF42F}"/>
                    </c:ext>
                  </c:extLst>
                </c:dPt>
                <c:dPt>
                  <c:idx val="8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10-4724-4930-B3AB-8E09644DF42F}"/>
                    </c:ext>
                  </c:extLst>
                </c:dPt>
                <c:dPt>
                  <c:idx val="9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F-B55D-4E9E-9D99-D90077788920}"/>
                    </c:ext>
                  </c:extLst>
                </c:dPt>
                <c:dLbls>
                  <c:dLbl>
                    <c:idx val="1"/>
                    <c:layout>
                      <c:manualLayout>
                        <c:x val="-4.7929729536075267E-17"/>
                        <c:y val="1.74007583031246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724-4930-B3AB-8E09644DF42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OPEX!$C$38:$C$50</c15:sqref>
                        </c15:formulaRef>
                      </c:ext>
                    </c:extLst>
                    <c:strCache>
                      <c:ptCount val="13"/>
                      <c:pt idx="0">
                        <c:v>FOPAG</c:v>
                      </c:pt>
                      <c:pt idx="1">
                        <c:v>AGRESPI</c:v>
                      </c:pt>
                      <c:pt idx="2">
                        <c:v>Água e Esgoto</c:v>
                      </c:pt>
                      <c:pt idx="3">
                        <c:v>Energia</c:v>
                      </c:pt>
                      <c:pt idx="4">
                        <c:v>Aquisição - Equipamentos esportivos </c:v>
                      </c:pt>
                      <c:pt idx="5">
                        <c:v>Manutenção e conservação</c:v>
                      </c:pt>
                      <c:pt idx="6">
                        <c:v>Impostos e taxas*</c:v>
                      </c:pt>
                      <c:pt idx="7">
                        <c:v>Publicidade e propaganda </c:v>
                      </c:pt>
                      <c:pt idx="8">
                        <c:v>Outras despesas operacionais </c:v>
                      </c:pt>
                      <c:pt idx="9">
                        <c:v>Serviços técnicos profissionais</c:v>
                      </c:pt>
                      <c:pt idx="10">
                        <c:v>Jardinagem </c:v>
                      </c:pt>
                      <c:pt idx="11">
                        <c:v>Seguros </c:v>
                      </c:pt>
                      <c:pt idx="12">
                        <c:v>Internet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0.23174083413672589</c:v>
                      </c:pt>
                      <c:pt idx="1">
                        <c:v>0.2485718163253593</c:v>
                      </c:pt>
                      <c:pt idx="2">
                        <c:v>6.3430257628304426E-2</c:v>
                      </c:pt>
                      <c:pt idx="3">
                        <c:v>1.6842645428844637E-2</c:v>
                      </c:pt>
                      <c:pt idx="4">
                        <c:v>0.23339775867658616</c:v>
                      </c:pt>
                      <c:pt idx="5">
                        <c:v>1.0011844876567156E-2</c:v>
                      </c:pt>
                      <c:pt idx="6">
                        <c:v>2.1144023937924413E-2</c:v>
                      </c:pt>
                      <c:pt idx="7">
                        <c:v>7.0323527032012154E-2</c:v>
                      </c:pt>
                      <c:pt idx="8">
                        <c:v>6.3276915453406773E-2</c:v>
                      </c:pt>
                      <c:pt idx="9">
                        <c:v>4.1260376504269183E-2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111-451F-B0C8-65E5497E9D7E}"/>
                  </c:ext>
                </c:extLst>
              </c15:ser>
            </c15:filteredBarSeries>
          </c:ext>
        </c:extLst>
      </c:barChart>
      <c:catAx>
        <c:axId val="40899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4304"/>
        <c:crosses val="autoZero"/>
        <c:auto val="1"/>
        <c:lblAlgn val="ctr"/>
        <c:lblOffset val="100"/>
        <c:noMultiLvlLbl val="0"/>
      </c:catAx>
      <c:valAx>
        <c:axId val="408994304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DEMANDA!$D$43</c:f>
              <c:strCache>
                <c:ptCount val="1"/>
                <c:pt idx="0">
                  <c:v> Anual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harsh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DEMANDA!$E$43:$L$43</c:f>
              <c:numCache>
                <c:formatCode>_-* #,##0_-;\-* #,##0_-;_-* "-"??_-;_-@_-</c:formatCode>
                <c:ptCount val="8"/>
                <c:pt idx="0">
                  <c:v>109539.38556123174</c:v>
                </c:pt>
                <c:pt idx="1">
                  <c:v>113817.69690203374</c:v>
                </c:pt>
                <c:pt idx="2">
                  <c:v>118067.24993744242</c:v>
                </c:pt>
                <c:pt idx="3">
                  <c:v>122263.001539933</c:v>
                </c:pt>
                <c:pt idx="4">
                  <c:v>127178.56715244384</c:v>
                </c:pt>
                <c:pt idx="5">
                  <c:v>131127.41110611573</c:v>
                </c:pt>
                <c:pt idx="6">
                  <c:v>134895.42410461546</c:v>
                </c:pt>
                <c:pt idx="7">
                  <c:v>137049.03725473341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39-4CA9-8A35-1EB9518B764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8991168"/>
        <c:axId val="408995480"/>
      </c:barChart>
      <c:catAx>
        <c:axId val="408991168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5480"/>
        <c:crosses val="autoZero"/>
        <c:auto val="1"/>
        <c:lblAlgn val="ctr"/>
        <c:lblOffset val="100"/>
        <c:noMultiLvlLbl val="0"/>
      </c:catAx>
      <c:valAx>
        <c:axId val="40899548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1168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DEMANDA!$D$44</c:f>
              <c:strCache>
                <c:ptCount val="1"/>
                <c:pt idx="0">
                  <c:v> Mensal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harsh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DEMANDA!$E$44:$L$44</c:f>
              <c:numCache>
                <c:formatCode>_-* #,##0_-;\-* #,##0_-;_-* "-"??_-;_-@_-</c:formatCode>
                <c:ptCount val="8"/>
                <c:pt idx="0">
                  <c:v>9128.2821301026452</c:v>
                </c:pt>
                <c:pt idx="1">
                  <c:v>9615.4969612076657</c:v>
                </c:pt>
                <c:pt idx="2">
                  <c:v>10094.511125454113</c:v>
                </c:pt>
                <c:pt idx="3">
                  <c:v>10585.337590777634</c:v>
                </c:pt>
                <c:pt idx="4">
                  <c:v>11188.471030461495</c:v>
                </c:pt>
                <c:pt idx="5">
                  <c:v>11701.274886420231</c:v>
                </c:pt>
                <c:pt idx="6">
                  <c:v>12221.89445919908</c:v>
                </c:pt>
                <c:pt idx="7">
                  <c:v>12537.376706451367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76-4662-877C-7EB63FBC7D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8996264"/>
        <c:axId val="408991560"/>
      </c:barChart>
      <c:catAx>
        <c:axId val="40899626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1560"/>
        <c:crosses val="autoZero"/>
        <c:auto val="1"/>
        <c:lblAlgn val="ctr"/>
        <c:lblOffset val="100"/>
        <c:noMultiLvlLbl val="0"/>
      </c:catAx>
      <c:valAx>
        <c:axId val="40899156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6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DEMANDA!$D$45</c:f>
              <c:strCache>
                <c:ptCount val="1"/>
                <c:pt idx="0">
                  <c:v> Diário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DEMANDA!$E$45:$L$45</c:f>
              <c:numCache>
                <c:formatCode>_-* #,##0_-;\-* #,##0_-;_-* "-"??_-;_-@_-</c:formatCode>
                <c:ptCount val="8"/>
                <c:pt idx="0">
                  <c:v>304.27607100342152</c:v>
                </c:pt>
                <c:pt idx="1">
                  <c:v>320.51656537358883</c:v>
                </c:pt>
                <c:pt idx="2">
                  <c:v>336.48370418180377</c:v>
                </c:pt>
                <c:pt idx="3">
                  <c:v>352.84458635925444</c:v>
                </c:pt>
                <c:pt idx="4">
                  <c:v>372.94903434871651</c:v>
                </c:pt>
                <c:pt idx="5">
                  <c:v>390.04249621400771</c:v>
                </c:pt>
                <c:pt idx="6">
                  <c:v>407.39648197330268</c:v>
                </c:pt>
                <c:pt idx="7">
                  <c:v>417.91255688171225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4-4C28-8BDB-CBDF351B11A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58624"/>
        <c:axId val="412359016"/>
      </c:barChart>
      <c:catAx>
        <c:axId val="41235862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9016"/>
        <c:crosses val="autoZero"/>
        <c:auto val="1"/>
        <c:lblAlgn val="ctr"/>
        <c:lblOffset val="100"/>
        <c:noMultiLvlLbl val="0"/>
      </c:catAx>
      <c:valAx>
        <c:axId val="41235901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Gráficos!$E$96</c:f>
              <c:strCache>
                <c:ptCount val="1"/>
                <c:pt idx="0">
                  <c:v> Capex aquisições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36495E"/>
              </a:solidFill>
              <a:ln>
                <a:noFill/>
              </a:ln>
              <a:effectLst>
                <a:outerShdw blurRad="50800" dist="38100" dir="10800000" algn="r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etal"/>
            </c:spPr>
            <c:extLst>
              <c:ext xmlns:c16="http://schemas.microsoft.com/office/drawing/2014/chart" uri="{C3380CC4-5D6E-409C-BE32-E72D297353CC}">
                <c16:uniqueId val="{00000024-83C9-4031-B494-934A76B4BD39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3C9-4031-B494-934A76B4BD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83C9-4031-B494-934A76B4BD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3C9-4031-B494-934A76B4BD3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3C9-4031-B494-934A76B4BD3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3C9-4031-B494-934A76B4BD3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C9-4031-B494-934A76B4BD3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3C9-4031-B494-934A76B4BD3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3C9-4031-B494-934A76B4BD3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3C9-4031-B494-934A76B4BD3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C9-4031-B494-934A76B4BD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3C9-4031-B494-934A76B4BD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3C9-4031-B494-934A76B4BD3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3C9-4031-B494-934A76B4BD3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3C9-4031-B494-934A76B4BD3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3C9-4031-B494-934A76B4BD3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C9-4031-B494-934A76B4BD3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3C9-4031-B494-934A76B4BD3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3C9-4031-B494-934A76B4BD3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C9-4031-B494-934A76B4BD3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3C9-4031-B494-934A76B4BD3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3C9-4031-B494-934A76B4BD3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3C9-4031-B494-934A76B4BD3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C9-4031-B494-934A76B4BD3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3C9-4031-B494-934A76B4BD3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3C9-4031-B494-934A76B4BD3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C9-4031-B494-934A76B4BD3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3C9-4031-B494-934A76B4BD3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3C9-4031-B494-934A76B4BD3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3C9-4031-B494-934A76B4BD3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3C9-4031-B494-934A76B4BD3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3C9-4031-B494-934A76B4BD39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3C9-4031-B494-934A76B4BD39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3C9-4031-B494-934A76B4BD39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3C9-4031-B494-934A76B4BD39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3C9-4031-B494-934A76B4BD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Gráficos!$F$95:$AO$95</c:f>
              <c:strCache>
                <c:ptCount val="3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  <c:pt idx="6">
                  <c:v>Ano 6</c:v>
                </c:pt>
                <c:pt idx="7">
                  <c:v>Ano 7</c:v>
                </c:pt>
                <c:pt idx="8">
                  <c:v>Ano 8</c:v>
                </c:pt>
                <c:pt idx="9">
                  <c:v>Ano 9</c:v>
                </c:pt>
                <c:pt idx="10">
                  <c:v>Ano 10</c:v>
                </c:pt>
                <c:pt idx="11">
                  <c:v>Ano 11</c:v>
                </c:pt>
                <c:pt idx="12">
                  <c:v>Ano 12</c:v>
                </c:pt>
                <c:pt idx="13">
                  <c:v>Ano 13</c:v>
                </c:pt>
                <c:pt idx="14">
                  <c:v>Ano 14</c:v>
                </c:pt>
                <c:pt idx="15">
                  <c:v>Ano 15</c:v>
                </c:pt>
                <c:pt idx="16">
                  <c:v>Ano 16</c:v>
                </c:pt>
                <c:pt idx="17">
                  <c:v>Ano 17</c:v>
                </c:pt>
                <c:pt idx="18">
                  <c:v>Ano 18</c:v>
                </c:pt>
                <c:pt idx="19">
                  <c:v>Ano 19</c:v>
                </c:pt>
                <c:pt idx="20">
                  <c:v>Ano 20</c:v>
                </c:pt>
                <c:pt idx="21">
                  <c:v>Ano 21</c:v>
                </c:pt>
                <c:pt idx="22">
                  <c:v>Ano 22</c:v>
                </c:pt>
                <c:pt idx="23">
                  <c:v>Ano 23</c:v>
                </c:pt>
                <c:pt idx="24">
                  <c:v>Ano 24</c:v>
                </c:pt>
                <c:pt idx="25">
                  <c:v>Ano 25</c:v>
                </c:pt>
                <c:pt idx="26">
                  <c:v>Ano 26</c:v>
                </c:pt>
                <c:pt idx="27">
                  <c:v>Ano 27</c:v>
                </c:pt>
                <c:pt idx="28">
                  <c:v>Ano 28</c:v>
                </c:pt>
                <c:pt idx="29">
                  <c:v>Ano 29</c:v>
                </c:pt>
                <c:pt idx="30">
                  <c:v>Ano 30</c:v>
                </c:pt>
                <c:pt idx="31">
                  <c:v>Ano 31</c:v>
                </c:pt>
                <c:pt idx="32">
                  <c:v>Ano 32</c:v>
                </c:pt>
                <c:pt idx="33">
                  <c:v>Ano 33</c:v>
                </c:pt>
                <c:pt idx="34">
                  <c:v>Ano 34</c:v>
                </c:pt>
                <c:pt idx="35">
                  <c:v>Ano 35</c:v>
                </c:pt>
              </c:strCache>
            </c:strRef>
          </c:cat>
          <c:val>
            <c:numRef>
              <c:f>Gráficos!$F$96:$AO$96</c:f>
              <c:numCache>
                <c:formatCode>_("R$"* #,##0.00_);_("R$"* \(#,##0.00\);_("R$"* "-"??_);_(@_)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540662.36884379364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9-4031-B494-934A76B4BD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2880832"/>
        <c:axId val="416267376"/>
      </c:barChart>
      <c:catAx>
        <c:axId val="40288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7376"/>
        <c:crosses val="autoZero"/>
        <c:auto val="1"/>
        <c:lblAlgn val="ctr"/>
        <c:lblOffset val="100"/>
        <c:noMultiLvlLbl val="0"/>
      </c:catAx>
      <c:valAx>
        <c:axId val="416267376"/>
        <c:scaling>
          <c:orientation val="minMax"/>
          <c:max val="1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2880832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 prstMaterial="metal"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4D-4C1C-B2D5-344EC32F17A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4D-4C1C-B2D5-344EC32F17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4D-4C1C-B2D5-344EC32F17A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4D-4C1C-B2D5-344EC32F17A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4D-4C1C-B2D5-344EC32F17A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4D-4C1C-B2D5-344EC32F17A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54D-4C1C-B2D5-344EC32F17A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4D-4C1C-B2D5-344EC32F17A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54D-4C1C-B2D5-344EC32F17A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4D-4C1C-B2D5-344EC32F17A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54D-4C1C-B2D5-344EC32F17A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4D-4C1C-B2D5-344EC32F17AC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54D-4C1C-B2D5-344EC32F17A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4D-4C1C-B2D5-344EC32F17A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54D-4C1C-B2D5-344EC32F17A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4D-4C1C-B2D5-344EC32F17A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54D-4C1C-B2D5-344EC32F17A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4D-4C1C-B2D5-344EC32F17A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54D-4C1C-B2D5-344EC32F17A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54D-4C1C-B2D5-344EC32F17A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54D-4C1C-B2D5-344EC32F17A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54D-4C1C-B2D5-344EC32F17A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54D-4C1C-B2D5-344EC32F17A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54D-4C1C-B2D5-344EC32F17A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54D-4C1C-B2D5-344EC32F17A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54D-4C1C-B2D5-344EC32F17A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54D-4C1C-B2D5-344EC32F17A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54D-4C1C-B2D5-344EC32F17AC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54D-4C1C-B2D5-344EC32F17AC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54D-4C1C-B2D5-344EC32F17AC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54D-4C1C-B2D5-344EC32F17AC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54D-4C1C-B2D5-344EC32F17AC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54D-4C1C-B2D5-344EC32F17AC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54D-4C1C-B2D5-344EC32F17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CAPEX!$H$27:$AQ$27</c:f>
              <c:strCache>
                <c:ptCount val="3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  <c:pt idx="6">
                  <c:v>Ano 6</c:v>
                </c:pt>
                <c:pt idx="7">
                  <c:v>Ano 7</c:v>
                </c:pt>
                <c:pt idx="8">
                  <c:v>Ano 8</c:v>
                </c:pt>
                <c:pt idx="9">
                  <c:v>Ano 9</c:v>
                </c:pt>
                <c:pt idx="10">
                  <c:v>Ano 10</c:v>
                </c:pt>
                <c:pt idx="11">
                  <c:v>Ano 11</c:v>
                </c:pt>
                <c:pt idx="12">
                  <c:v>Ano 12</c:v>
                </c:pt>
                <c:pt idx="13">
                  <c:v>Ano 13</c:v>
                </c:pt>
                <c:pt idx="14">
                  <c:v>Ano 14</c:v>
                </c:pt>
                <c:pt idx="15">
                  <c:v>Ano 15</c:v>
                </c:pt>
                <c:pt idx="16">
                  <c:v>Ano 16</c:v>
                </c:pt>
                <c:pt idx="17">
                  <c:v>Ano 17</c:v>
                </c:pt>
                <c:pt idx="18">
                  <c:v>Ano 18</c:v>
                </c:pt>
                <c:pt idx="19">
                  <c:v>Ano 19</c:v>
                </c:pt>
                <c:pt idx="20">
                  <c:v>Ano 20</c:v>
                </c:pt>
                <c:pt idx="21">
                  <c:v>Ano 21</c:v>
                </c:pt>
                <c:pt idx="22">
                  <c:v>Ano 22</c:v>
                </c:pt>
                <c:pt idx="23">
                  <c:v>Ano 23</c:v>
                </c:pt>
                <c:pt idx="24">
                  <c:v>Ano 24</c:v>
                </c:pt>
                <c:pt idx="25">
                  <c:v>Ano 25</c:v>
                </c:pt>
                <c:pt idx="26">
                  <c:v>Ano 26</c:v>
                </c:pt>
                <c:pt idx="27">
                  <c:v>Ano 27</c:v>
                </c:pt>
                <c:pt idx="28">
                  <c:v>Ano 28</c:v>
                </c:pt>
                <c:pt idx="29">
                  <c:v>Ano 29</c:v>
                </c:pt>
                <c:pt idx="30">
                  <c:v>Ano 30</c:v>
                </c:pt>
                <c:pt idx="31">
                  <c:v>Ano 31</c:v>
                </c:pt>
                <c:pt idx="32">
                  <c:v>Ano 32</c:v>
                </c:pt>
                <c:pt idx="33">
                  <c:v>Ano 33</c:v>
                </c:pt>
                <c:pt idx="34">
                  <c:v>Ano 34</c:v>
                </c:pt>
                <c:pt idx="35">
                  <c:v>Ano 35</c:v>
                </c:pt>
              </c:strCache>
            </c:strRef>
          </c:cat>
          <c:val>
            <c:numRef>
              <c:f>CAPEX!$H$29:$AQ$29</c:f>
              <c:numCache>
                <c:formatCode>_("R$"* #,##0.00_);_("R$"* \(#,##0.00\);_("R$"* "-"??_);_(@_)</c:formatCode>
                <c:ptCount val="36"/>
                <c:pt idx="0">
                  <c:v>0</c:v>
                </c:pt>
                <c:pt idx="1">
                  <c:v>3111685.88</c:v>
                </c:pt>
                <c:pt idx="2">
                  <c:v>3111685.88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54D-4C1C-B2D5-344EC32F17A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6261888"/>
        <c:axId val="416265024"/>
      </c:barChart>
      <c:catAx>
        <c:axId val="41626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5024"/>
        <c:crosses val="autoZero"/>
        <c:auto val="1"/>
        <c:lblAlgn val="ctr"/>
        <c:lblOffset val="100"/>
        <c:noMultiLvlLbl val="0"/>
      </c:catAx>
      <c:valAx>
        <c:axId val="416265024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1888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Gráficos!$M$138</c:f>
              <c:strCache>
                <c:ptCount val="1"/>
                <c:pt idx="0">
                  <c:v>Aluguel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Gráficos!$N$138:$AW$138</c15:sqref>
                  </c15:fullRef>
                </c:ext>
              </c:extLst>
              <c:f>Gráficos!$O$138:$AW$138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1597347.1226391527</c:v>
                </c:pt>
                <c:pt idx="3">
                  <c:v>1597347.1226391527</c:v>
                </c:pt>
                <c:pt idx="4">
                  <c:v>1597347.1226391527</c:v>
                </c:pt>
                <c:pt idx="5">
                  <c:v>1597347.1226391527</c:v>
                </c:pt>
                <c:pt idx="6">
                  <c:v>1597347.1226391527</c:v>
                </c:pt>
                <c:pt idx="7">
                  <c:v>1597347.1226391527</c:v>
                </c:pt>
                <c:pt idx="8">
                  <c:v>1597347.1226391527</c:v>
                </c:pt>
                <c:pt idx="9">
                  <c:v>1597347.1226391527</c:v>
                </c:pt>
                <c:pt idx="10">
                  <c:v>1597347.1226391527</c:v>
                </c:pt>
                <c:pt idx="11">
                  <c:v>1597347.1226391527</c:v>
                </c:pt>
                <c:pt idx="12">
                  <c:v>1597347.1226391527</c:v>
                </c:pt>
                <c:pt idx="13">
                  <c:v>1597347.1226391527</c:v>
                </c:pt>
                <c:pt idx="14">
                  <c:v>1597347.1226391527</c:v>
                </c:pt>
                <c:pt idx="15">
                  <c:v>1597347.1226391527</c:v>
                </c:pt>
                <c:pt idx="16">
                  <c:v>1597347.1226391527</c:v>
                </c:pt>
                <c:pt idx="17">
                  <c:v>1597347.1226391527</c:v>
                </c:pt>
                <c:pt idx="18">
                  <c:v>1597347.1226391527</c:v>
                </c:pt>
                <c:pt idx="19">
                  <c:v>1597347.1226391527</c:v>
                </c:pt>
                <c:pt idx="20">
                  <c:v>1597347.1226391527</c:v>
                </c:pt>
                <c:pt idx="21">
                  <c:v>1597347.1226391527</c:v>
                </c:pt>
                <c:pt idx="22">
                  <c:v>1597347.1226391527</c:v>
                </c:pt>
                <c:pt idx="23">
                  <c:v>1597347.1226391527</c:v>
                </c:pt>
                <c:pt idx="24">
                  <c:v>1597347.1226391527</c:v>
                </c:pt>
                <c:pt idx="25">
                  <c:v>1597347.1226391527</c:v>
                </c:pt>
                <c:pt idx="26">
                  <c:v>1597347.1226391527</c:v>
                </c:pt>
                <c:pt idx="27">
                  <c:v>1597347.1226391527</c:v>
                </c:pt>
                <c:pt idx="28">
                  <c:v>1597347.1226391527</c:v>
                </c:pt>
                <c:pt idx="29">
                  <c:v>1597347.1226391527</c:v>
                </c:pt>
                <c:pt idx="30">
                  <c:v>1597347.1226391527</c:v>
                </c:pt>
                <c:pt idx="31">
                  <c:v>1597347.1226391527</c:v>
                </c:pt>
                <c:pt idx="32">
                  <c:v>1597347.1226391527</c:v>
                </c:pt>
                <c:pt idx="33">
                  <c:v>1597347.1226391527</c:v>
                </c:pt>
                <c:pt idx="34">
                  <c:v>1597347.1226391527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7-4701-8407-6386ED157AC6}"/>
            </c:ext>
          </c:extLst>
        </c:ser>
        <c:ser>
          <c:idx val="1"/>
          <c:order val="1"/>
          <c:tx>
            <c:strRef>
              <c:f>Gráficos!$M$139</c:f>
              <c:strCache>
                <c:ptCount val="1"/>
                <c:pt idx="0">
                  <c:v>Quadras de esporte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Gráficos!$N$139:$AW$139</c15:sqref>
                  </c15:fullRef>
                </c:ext>
              </c:extLst>
              <c:f>Gráficos!$O$139:$AW$139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1713360</c:v>
                </c:pt>
                <c:pt idx="3">
                  <c:v>1713360</c:v>
                </c:pt>
                <c:pt idx="4">
                  <c:v>1713360</c:v>
                </c:pt>
                <c:pt idx="5">
                  <c:v>1713360</c:v>
                </c:pt>
                <c:pt idx="6">
                  <c:v>1713360</c:v>
                </c:pt>
                <c:pt idx="7">
                  <c:v>1713360</c:v>
                </c:pt>
                <c:pt idx="8">
                  <c:v>1713360</c:v>
                </c:pt>
                <c:pt idx="9">
                  <c:v>1713360</c:v>
                </c:pt>
                <c:pt idx="10">
                  <c:v>1713360</c:v>
                </c:pt>
                <c:pt idx="11">
                  <c:v>1713360</c:v>
                </c:pt>
                <c:pt idx="12">
                  <c:v>1713360</c:v>
                </c:pt>
                <c:pt idx="13">
                  <c:v>1713360</c:v>
                </c:pt>
                <c:pt idx="14">
                  <c:v>1713360</c:v>
                </c:pt>
                <c:pt idx="15">
                  <c:v>1713360</c:v>
                </c:pt>
                <c:pt idx="16">
                  <c:v>1713360</c:v>
                </c:pt>
                <c:pt idx="17">
                  <c:v>1713360</c:v>
                </c:pt>
                <c:pt idx="18">
                  <c:v>1713360</c:v>
                </c:pt>
                <c:pt idx="19">
                  <c:v>1713360</c:v>
                </c:pt>
                <c:pt idx="20">
                  <c:v>1713360</c:v>
                </c:pt>
                <c:pt idx="21">
                  <c:v>1713360</c:v>
                </c:pt>
                <c:pt idx="22">
                  <c:v>1713360</c:v>
                </c:pt>
                <c:pt idx="23">
                  <c:v>1713360</c:v>
                </c:pt>
                <c:pt idx="24">
                  <c:v>1713360</c:v>
                </c:pt>
                <c:pt idx="25">
                  <c:v>1713360</c:v>
                </c:pt>
                <c:pt idx="26">
                  <c:v>1713360</c:v>
                </c:pt>
                <c:pt idx="27">
                  <c:v>1713360</c:v>
                </c:pt>
                <c:pt idx="28">
                  <c:v>1713360</c:v>
                </c:pt>
                <c:pt idx="29">
                  <c:v>1713360</c:v>
                </c:pt>
                <c:pt idx="30">
                  <c:v>1713360</c:v>
                </c:pt>
                <c:pt idx="31">
                  <c:v>1713360</c:v>
                </c:pt>
                <c:pt idx="32">
                  <c:v>1713360</c:v>
                </c:pt>
                <c:pt idx="33">
                  <c:v>1713360</c:v>
                </c:pt>
                <c:pt idx="34">
                  <c:v>1713360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7-4701-8407-6386ED157AC6}"/>
            </c:ext>
          </c:extLst>
        </c:ser>
        <c:ser>
          <c:idx val="2"/>
          <c:order val="2"/>
          <c:tx>
            <c:strRef>
              <c:f>Gráficos!$M$140</c:f>
              <c:strCache>
                <c:ptCount val="1"/>
                <c:pt idx="0">
                  <c:v>Estacionamento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Gráficos!$N$140:$AW$140</c15:sqref>
                  </c15:fullRef>
                </c:ext>
              </c:extLst>
              <c:f>Gráficos!$O$140:$AW$140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437213.14755885396</c:v>
                </c:pt>
                <c:pt idx="3">
                  <c:v>437213.14755885396</c:v>
                </c:pt>
                <c:pt idx="4">
                  <c:v>437213.14755885396</c:v>
                </c:pt>
                <c:pt idx="5">
                  <c:v>437213.14755885396</c:v>
                </c:pt>
                <c:pt idx="6">
                  <c:v>437213.14755885396</c:v>
                </c:pt>
                <c:pt idx="7">
                  <c:v>437213.14755885396</c:v>
                </c:pt>
                <c:pt idx="8">
                  <c:v>437213.14755885396</c:v>
                </c:pt>
                <c:pt idx="9">
                  <c:v>437213.14755885396</c:v>
                </c:pt>
                <c:pt idx="10">
                  <c:v>437213.14755885396</c:v>
                </c:pt>
                <c:pt idx="11">
                  <c:v>437213.14755885396</c:v>
                </c:pt>
                <c:pt idx="12">
                  <c:v>437213.14755885396</c:v>
                </c:pt>
                <c:pt idx="13">
                  <c:v>437213.14755885396</c:v>
                </c:pt>
                <c:pt idx="14">
                  <c:v>437213.14755885396</c:v>
                </c:pt>
                <c:pt idx="15">
                  <c:v>437213.14755885396</c:v>
                </c:pt>
                <c:pt idx="16">
                  <c:v>437213.14755885396</c:v>
                </c:pt>
                <c:pt idx="17">
                  <c:v>437213.14755885396</c:v>
                </c:pt>
                <c:pt idx="18">
                  <c:v>437213.14755885396</c:v>
                </c:pt>
                <c:pt idx="19">
                  <c:v>437213.14755885396</c:v>
                </c:pt>
                <c:pt idx="20">
                  <c:v>437213.14755885396</c:v>
                </c:pt>
                <c:pt idx="21">
                  <c:v>437213.14755885396</c:v>
                </c:pt>
                <c:pt idx="22">
                  <c:v>437213.14755885396</c:v>
                </c:pt>
                <c:pt idx="23">
                  <c:v>437213.14755885396</c:v>
                </c:pt>
                <c:pt idx="24">
                  <c:v>437213.14755885396</c:v>
                </c:pt>
                <c:pt idx="25">
                  <c:v>437213.14755885396</c:v>
                </c:pt>
                <c:pt idx="26">
                  <c:v>437213.14755885396</c:v>
                </c:pt>
                <c:pt idx="27">
                  <c:v>437213.14755885396</c:v>
                </c:pt>
                <c:pt idx="28">
                  <c:v>437213.14755885396</c:v>
                </c:pt>
                <c:pt idx="29">
                  <c:v>437213.14755885396</c:v>
                </c:pt>
                <c:pt idx="30">
                  <c:v>437213.14755885396</c:v>
                </c:pt>
                <c:pt idx="31">
                  <c:v>437213.14755885396</c:v>
                </c:pt>
                <c:pt idx="32">
                  <c:v>437213.14755885396</c:v>
                </c:pt>
                <c:pt idx="33">
                  <c:v>437213.14755885396</c:v>
                </c:pt>
                <c:pt idx="34">
                  <c:v>437213.14755885396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67-4701-8407-6386ED157AC6}"/>
            </c:ext>
          </c:extLst>
        </c:ser>
        <c:ser>
          <c:idx val="3"/>
          <c:order val="3"/>
          <c:tx>
            <c:strRef>
              <c:f>Gráficos!$M$141</c:f>
              <c:strCache>
                <c:ptCount val="1"/>
                <c:pt idx="0">
                  <c:v>Eventos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Gráficos!$N$141:$AW$141</c15:sqref>
                  </c15:fullRef>
                </c:ext>
              </c:extLst>
              <c:f>Gráficos!$O$141:$AW$141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105753.40227770073</c:v>
                </c:pt>
                <c:pt idx="3">
                  <c:v>105753.40227770073</c:v>
                </c:pt>
                <c:pt idx="4">
                  <c:v>105753.40227770073</c:v>
                </c:pt>
                <c:pt idx="5">
                  <c:v>105753.40227770073</c:v>
                </c:pt>
                <c:pt idx="6">
                  <c:v>105753.40227770073</c:v>
                </c:pt>
                <c:pt idx="7">
                  <c:v>105753.40227770073</c:v>
                </c:pt>
                <c:pt idx="8">
                  <c:v>105753.40227770073</c:v>
                </c:pt>
                <c:pt idx="9">
                  <c:v>105753.40227770073</c:v>
                </c:pt>
                <c:pt idx="10">
                  <c:v>105753.40227770073</c:v>
                </c:pt>
                <c:pt idx="11">
                  <c:v>105753.40227770073</c:v>
                </c:pt>
                <c:pt idx="12">
                  <c:v>105753.40227770073</c:v>
                </c:pt>
                <c:pt idx="13">
                  <c:v>105753.40227770073</c:v>
                </c:pt>
                <c:pt idx="14">
                  <c:v>105753.40227770073</c:v>
                </c:pt>
                <c:pt idx="15">
                  <c:v>105753.40227770073</c:v>
                </c:pt>
                <c:pt idx="16">
                  <c:v>105753.40227770073</c:v>
                </c:pt>
                <c:pt idx="17">
                  <c:v>105753.40227770073</c:v>
                </c:pt>
                <c:pt idx="18">
                  <c:v>105753.40227770073</c:v>
                </c:pt>
                <c:pt idx="19">
                  <c:v>105753.40227770073</c:v>
                </c:pt>
                <c:pt idx="20">
                  <c:v>105753.40227770073</c:v>
                </c:pt>
                <c:pt idx="21">
                  <c:v>105753.40227770073</c:v>
                </c:pt>
                <c:pt idx="22">
                  <c:v>105753.40227770073</c:v>
                </c:pt>
                <c:pt idx="23">
                  <c:v>105753.40227770073</c:v>
                </c:pt>
                <c:pt idx="24">
                  <c:v>105753.40227770073</c:v>
                </c:pt>
                <c:pt idx="25">
                  <c:v>105753.40227770073</c:v>
                </c:pt>
                <c:pt idx="26">
                  <c:v>105753.40227770073</c:v>
                </c:pt>
                <c:pt idx="27">
                  <c:v>105753.40227770073</c:v>
                </c:pt>
                <c:pt idx="28">
                  <c:v>105753.40227770073</c:v>
                </c:pt>
                <c:pt idx="29">
                  <c:v>105753.40227770073</c:v>
                </c:pt>
                <c:pt idx="30">
                  <c:v>105753.40227770073</c:v>
                </c:pt>
                <c:pt idx="31">
                  <c:v>105753.40227770073</c:v>
                </c:pt>
                <c:pt idx="32">
                  <c:v>105753.40227770073</c:v>
                </c:pt>
                <c:pt idx="33">
                  <c:v>105753.40227770073</c:v>
                </c:pt>
                <c:pt idx="34">
                  <c:v>105753.40227770073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67-4701-8407-6386ED157AC6}"/>
            </c:ext>
          </c:extLst>
        </c:ser>
        <c:ser>
          <c:idx val="4"/>
          <c:order val="4"/>
          <c:tx>
            <c:strRef>
              <c:f>Gráficos!$M$142</c:f>
              <c:strCache>
                <c:ptCount val="1"/>
                <c:pt idx="0">
                  <c:v>Publicidade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Gráficos!$N$142:$AW$142</c15:sqref>
                  </c15:fullRef>
                </c:ext>
              </c:extLst>
              <c:f>Gráficos!$O$142:$AW$142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1608768</c:v>
                </c:pt>
                <c:pt idx="3">
                  <c:v>1608768</c:v>
                </c:pt>
                <c:pt idx="4">
                  <c:v>1608768</c:v>
                </c:pt>
                <c:pt idx="5">
                  <c:v>1608768</c:v>
                </c:pt>
                <c:pt idx="6">
                  <c:v>1608768</c:v>
                </c:pt>
                <c:pt idx="7">
                  <c:v>1608768</c:v>
                </c:pt>
                <c:pt idx="8">
                  <c:v>1608768</c:v>
                </c:pt>
                <c:pt idx="9">
                  <c:v>1608768</c:v>
                </c:pt>
                <c:pt idx="10">
                  <c:v>1608768</c:v>
                </c:pt>
                <c:pt idx="11">
                  <c:v>1608768</c:v>
                </c:pt>
                <c:pt idx="12">
                  <c:v>1608768</c:v>
                </c:pt>
                <c:pt idx="13">
                  <c:v>1608768</c:v>
                </c:pt>
                <c:pt idx="14">
                  <c:v>1608768</c:v>
                </c:pt>
                <c:pt idx="15">
                  <c:v>1608768</c:v>
                </c:pt>
                <c:pt idx="16">
                  <c:v>1608768</c:v>
                </c:pt>
                <c:pt idx="17">
                  <c:v>1608768</c:v>
                </c:pt>
                <c:pt idx="18">
                  <c:v>1608768</c:v>
                </c:pt>
                <c:pt idx="19">
                  <c:v>1608768</c:v>
                </c:pt>
                <c:pt idx="20">
                  <c:v>1608768</c:v>
                </c:pt>
                <c:pt idx="21">
                  <c:v>1608768</c:v>
                </c:pt>
                <c:pt idx="22">
                  <c:v>1608768</c:v>
                </c:pt>
                <c:pt idx="23">
                  <c:v>1608768</c:v>
                </c:pt>
                <c:pt idx="24">
                  <c:v>1608768</c:v>
                </c:pt>
                <c:pt idx="25">
                  <c:v>1608768</c:v>
                </c:pt>
                <c:pt idx="26">
                  <c:v>1608768</c:v>
                </c:pt>
                <c:pt idx="27">
                  <c:v>1608768</c:v>
                </c:pt>
                <c:pt idx="28">
                  <c:v>1608768</c:v>
                </c:pt>
                <c:pt idx="29">
                  <c:v>1608768</c:v>
                </c:pt>
                <c:pt idx="30">
                  <c:v>1608768</c:v>
                </c:pt>
                <c:pt idx="31">
                  <c:v>1608768</c:v>
                </c:pt>
                <c:pt idx="32">
                  <c:v>1608768</c:v>
                </c:pt>
                <c:pt idx="33">
                  <c:v>1608768</c:v>
                </c:pt>
                <c:pt idx="34">
                  <c:v>1608768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67-4701-8407-6386ED157AC6}"/>
            </c:ext>
          </c:extLst>
        </c:ser>
        <c:ser>
          <c:idx val="5"/>
          <c:order val="5"/>
          <c:tx>
            <c:strRef>
              <c:f>Gráficos!$M$143</c:f>
              <c:strCache>
                <c:ptCount val="1"/>
                <c:pt idx="0">
                  <c:v>Aulas (esportes)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Gráficos!$N$143:$AW$143</c15:sqref>
                  </c15:fullRef>
                </c:ext>
              </c:extLst>
              <c:f>Gráficos!$O$143:$AW$143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690098.12903575995</c:v>
                </c:pt>
                <c:pt idx="3">
                  <c:v>690098.12903575995</c:v>
                </c:pt>
                <c:pt idx="4">
                  <c:v>690098.12903575995</c:v>
                </c:pt>
                <c:pt idx="5">
                  <c:v>690098.12903575995</c:v>
                </c:pt>
                <c:pt idx="6">
                  <c:v>690098.12903575995</c:v>
                </c:pt>
                <c:pt idx="7">
                  <c:v>690098.12903575995</c:v>
                </c:pt>
                <c:pt idx="8">
                  <c:v>690098.12903575995</c:v>
                </c:pt>
                <c:pt idx="9">
                  <c:v>690098.12903575995</c:v>
                </c:pt>
                <c:pt idx="10">
                  <c:v>690098.12903575995</c:v>
                </c:pt>
                <c:pt idx="11">
                  <c:v>690098.12903575995</c:v>
                </c:pt>
                <c:pt idx="12">
                  <c:v>690098.12903575995</c:v>
                </c:pt>
                <c:pt idx="13">
                  <c:v>690098.12903575995</c:v>
                </c:pt>
                <c:pt idx="14">
                  <c:v>690098.12903575995</c:v>
                </c:pt>
                <c:pt idx="15">
                  <c:v>690098.12903575995</c:v>
                </c:pt>
                <c:pt idx="16">
                  <c:v>690098.12903575995</c:v>
                </c:pt>
                <c:pt idx="17">
                  <c:v>690098.12903575995</c:v>
                </c:pt>
                <c:pt idx="18">
                  <c:v>690098.12903575995</c:v>
                </c:pt>
                <c:pt idx="19">
                  <c:v>690098.12903575995</c:v>
                </c:pt>
                <c:pt idx="20">
                  <c:v>690098.12903575995</c:v>
                </c:pt>
                <c:pt idx="21">
                  <c:v>690098.12903575995</c:v>
                </c:pt>
                <c:pt idx="22">
                  <c:v>690098.12903575995</c:v>
                </c:pt>
                <c:pt idx="23">
                  <c:v>690098.12903575995</c:v>
                </c:pt>
                <c:pt idx="24">
                  <c:v>690098.12903575995</c:v>
                </c:pt>
                <c:pt idx="25">
                  <c:v>690098.12903575995</c:v>
                </c:pt>
                <c:pt idx="26">
                  <c:v>690098.12903575995</c:v>
                </c:pt>
                <c:pt idx="27">
                  <c:v>690098.12903575995</c:v>
                </c:pt>
                <c:pt idx="28">
                  <c:v>690098.12903575995</c:v>
                </c:pt>
                <c:pt idx="29">
                  <c:v>690098.12903575995</c:v>
                </c:pt>
                <c:pt idx="30">
                  <c:v>690098.12903575995</c:v>
                </c:pt>
                <c:pt idx="31">
                  <c:v>690098.12903575995</c:v>
                </c:pt>
                <c:pt idx="32">
                  <c:v>690098.12903575995</c:v>
                </c:pt>
                <c:pt idx="33">
                  <c:v>690098.12903575995</c:v>
                </c:pt>
                <c:pt idx="34">
                  <c:v>690098.12903575995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67-4701-8407-6386ED157AC6}"/>
            </c:ext>
          </c:extLst>
        </c:ser>
        <c:ser>
          <c:idx val="6"/>
          <c:order val="6"/>
          <c:tx>
            <c:strRef>
              <c:f>Gráficos!$M$144</c:f>
              <c:strCache>
                <c:ptCount val="1"/>
                <c:pt idx="0">
                  <c:v>Naútico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Gráficos!$N$144:$AW$144</c15:sqref>
                  </c15:fullRef>
                </c:ext>
              </c:extLst>
              <c:f>Gráficos!$O$144:$AW$144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145741.88413566441</c:v>
                </c:pt>
                <c:pt idx="3">
                  <c:v>145741.88413566441</c:v>
                </c:pt>
                <c:pt idx="4">
                  <c:v>145741.88413566441</c:v>
                </c:pt>
                <c:pt idx="5">
                  <c:v>145741.88413566441</c:v>
                </c:pt>
                <c:pt idx="6">
                  <c:v>145741.88413566441</c:v>
                </c:pt>
                <c:pt idx="7">
                  <c:v>145741.88413566441</c:v>
                </c:pt>
                <c:pt idx="8">
                  <c:v>145741.88413566441</c:v>
                </c:pt>
                <c:pt idx="9">
                  <c:v>145741.88413566441</c:v>
                </c:pt>
                <c:pt idx="10">
                  <c:v>145741.88413566441</c:v>
                </c:pt>
                <c:pt idx="11">
                  <c:v>145741.88413566441</c:v>
                </c:pt>
                <c:pt idx="12">
                  <c:v>145741.88413566441</c:v>
                </c:pt>
                <c:pt idx="13">
                  <c:v>145741.88413566441</c:v>
                </c:pt>
                <c:pt idx="14">
                  <c:v>145741.88413566441</c:v>
                </c:pt>
                <c:pt idx="15">
                  <c:v>145741.88413566441</c:v>
                </c:pt>
                <c:pt idx="16">
                  <c:v>145741.88413566441</c:v>
                </c:pt>
                <c:pt idx="17">
                  <c:v>145741.88413566441</c:v>
                </c:pt>
                <c:pt idx="18">
                  <c:v>145741.88413566441</c:v>
                </c:pt>
                <c:pt idx="19">
                  <c:v>145741.88413566441</c:v>
                </c:pt>
                <c:pt idx="20">
                  <c:v>145741.88413566441</c:v>
                </c:pt>
                <c:pt idx="21">
                  <c:v>145741.88413566441</c:v>
                </c:pt>
                <c:pt idx="22">
                  <c:v>145741.88413566441</c:v>
                </c:pt>
                <c:pt idx="23">
                  <c:v>145741.88413566441</c:v>
                </c:pt>
                <c:pt idx="24">
                  <c:v>145741.88413566441</c:v>
                </c:pt>
                <c:pt idx="25">
                  <c:v>145741.88413566441</c:v>
                </c:pt>
                <c:pt idx="26">
                  <c:v>145741.88413566441</c:v>
                </c:pt>
                <c:pt idx="27">
                  <c:v>145741.88413566441</c:v>
                </c:pt>
                <c:pt idx="28">
                  <c:v>145741.88413566441</c:v>
                </c:pt>
                <c:pt idx="29">
                  <c:v>145741.88413566441</c:v>
                </c:pt>
                <c:pt idx="30">
                  <c:v>145741.88413566441</c:v>
                </c:pt>
                <c:pt idx="31">
                  <c:v>145741.88413566441</c:v>
                </c:pt>
                <c:pt idx="32">
                  <c:v>145741.88413566441</c:v>
                </c:pt>
                <c:pt idx="33">
                  <c:v>145741.88413566441</c:v>
                </c:pt>
                <c:pt idx="34">
                  <c:v>145741.88413566441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67-4701-8407-6386ED157AC6}"/>
            </c:ext>
          </c:extLst>
        </c:ser>
        <c:ser>
          <c:idx val="7"/>
          <c:order val="7"/>
          <c:tx>
            <c:strRef>
              <c:f>Gráficos!$M$145</c:f>
              <c:strCache>
                <c:ptCount val="1"/>
                <c:pt idx="0">
                  <c:v>Locker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Gráficos!$N$145:$AW$145</c15:sqref>
                  </c15:fullRef>
                </c:ext>
              </c:extLst>
              <c:f>Gráficos!$O$145:$AW$145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484727.19094532356</c:v>
                </c:pt>
                <c:pt idx="3">
                  <c:v>484727.19094532356</c:v>
                </c:pt>
                <c:pt idx="4">
                  <c:v>484727.19094532356</c:v>
                </c:pt>
                <c:pt idx="5">
                  <c:v>484727.19094532356</c:v>
                </c:pt>
                <c:pt idx="6">
                  <c:v>484727.19094532356</c:v>
                </c:pt>
                <c:pt idx="7">
                  <c:v>484727.19094532356</c:v>
                </c:pt>
                <c:pt idx="8">
                  <c:v>484727.19094532356</c:v>
                </c:pt>
                <c:pt idx="9">
                  <c:v>484727.19094532356</c:v>
                </c:pt>
                <c:pt idx="10">
                  <c:v>484727.19094532356</c:v>
                </c:pt>
                <c:pt idx="11">
                  <c:v>484727.19094532356</c:v>
                </c:pt>
                <c:pt idx="12">
                  <c:v>484727.19094532356</c:v>
                </c:pt>
                <c:pt idx="13">
                  <c:v>484727.19094532356</c:v>
                </c:pt>
                <c:pt idx="14">
                  <c:v>484727.19094532356</c:v>
                </c:pt>
                <c:pt idx="15">
                  <c:v>484727.19094532356</c:v>
                </c:pt>
                <c:pt idx="16">
                  <c:v>484727.19094532356</c:v>
                </c:pt>
                <c:pt idx="17">
                  <c:v>484727.19094532356</c:v>
                </c:pt>
                <c:pt idx="18">
                  <c:v>484727.19094532356</c:v>
                </c:pt>
                <c:pt idx="19">
                  <c:v>484727.19094532356</c:v>
                </c:pt>
                <c:pt idx="20">
                  <c:v>484727.19094532356</c:v>
                </c:pt>
                <c:pt idx="21">
                  <c:v>484727.19094532356</c:v>
                </c:pt>
                <c:pt idx="22">
                  <c:v>484727.19094532356</c:v>
                </c:pt>
                <c:pt idx="23">
                  <c:v>484727.19094532356</c:v>
                </c:pt>
                <c:pt idx="24">
                  <c:v>484727.19094532356</c:v>
                </c:pt>
                <c:pt idx="25">
                  <c:v>484727.19094532356</c:v>
                </c:pt>
                <c:pt idx="26">
                  <c:v>484727.19094532356</c:v>
                </c:pt>
                <c:pt idx="27">
                  <c:v>484727.19094532356</c:v>
                </c:pt>
                <c:pt idx="28">
                  <c:v>484727.19094532356</c:v>
                </c:pt>
                <c:pt idx="29">
                  <c:v>484727.19094532356</c:v>
                </c:pt>
                <c:pt idx="30">
                  <c:v>484727.19094532356</c:v>
                </c:pt>
                <c:pt idx="31">
                  <c:v>484727.19094532356</c:v>
                </c:pt>
                <c:pt idx="32">
                  <c:v>484727.19094532356</c:v>
                </c:pt>
                <c:pt idx="33">
                  <c:v>484727.19094532356</c:v>
                </c:pt>
                <c:pt idx="34">
                  <c:v>484727.19094532356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67-4701-8407-6386ED157AC6}"/>
            </c:ext>
          </c:extLst>
        </c:ser>
        <c:ser>
          <c:idx val="8"/>
          <c:order val="8"/>
          <c:tx>
            <c:strRef>
              <c:f>Gráficos!$M$146</c:f>
              <c:strCache>
                <c:ptCount val="1"/>
                <c:pt idx="0">
                  <c:v>Recargas - EV's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Gráficos!$N$146:$AW$146</c15:sqref>
                  </c15:fullRef>
                </c:ext>
              </c:extLst>
              <c:f>Gráficos!$O$146:$AW$146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436156.18803437299</c:v>
                </c:pt>
                <c:pt idx="3">
                  <c:v>436156.18803437299</c:v>
                </c:pt>
                <c:pt idx="4">
                  <c:v>436156.18803437299</c:v>
                </c:pt>
                <c:pt idx="5">
                  <c:v>436156.18803437299</c:v>
                </c:pt>
                <c:pt idx="6">
                  <c:v>436156.18803437299</c:v>
                </c:pt>
                <c:pt idx="7">
                  <c:v>436156.18803437299</c:v>
                </c:pt>
                <c:pt idx="8">
                  <c:v>436156.18803437299</c:v>
                </c:pt>
                <c:pt idx="9">
                  <c:v>436156.18803437299</c:v>
                </c:pt>
                <c:pt idx="10">
                  <c:v>436156.18803437299</c:v>
                </c:pt>
                <c:pt idx="11">
                  <c:v>436156.18803437299</c:v>
                </c:pt>
                <c:pt idx="12">
                  <c:v>436156.18803437299</c:v>
                </c:pt>
                <c:pt idx="13">
                  <c:v>436156.18803437299</c:v>
                </c:pt>
                <c:pt idx="14">
                  <c:v>436156.18803437299</c:v>
                </c:pt>
                <c:pt idx="15">
                  <c:v>436156.18803437299</c:v>
                </c:pt>
                <c:pt idx="16">
                  <c:v>436156.18803437299</c:v>
                </c:pt>
                <c:pt idx="17">
                  <c:v>436156.18803437299</c:v>
                </c:pt>
                <c:pt idx="18">
                  <c:v>436156.18803437299</c:v>
                </c:pt>
                <c:pt idx="19">
                  <c:v>436156.18803437299</c:v>
                </c:pt>
                <c:pt idx="20">
                  <c:v>436156.18803437299</c:v>
                </c:pt>
                <c:pt idx="21">
                  <c:v>436156.18803437299</c:v>
                </c:pt>
                <c:pt idx="22">
                  <c:v>436156.18803437299</c:v>
                </c:pt>
                <c:pt idx="23">
                  <c:v>436156.18803437299</c:v>
                </c:pt>
                <c:pt idx="24">
                  <c:v>436156.18803437299</c:v>
                </c:pt>
                <c:pt idx="25">
                  <c:v>436156.18803437299</c:v>
                </c:pt>
                <c:pt idx="26">
                  <c:v>436156.18803437299</c:v>
                </c:pt>
                <c:pt idx="27">
                  <c:v>436156.18803437299</c:v>
                </c:pt>
                <c:pt idx="28">
                  <c:v>436156.18803437299</c:v>
                </c:pt>
                <c:pt idx="29">
                  <c:v>436156.18803437299</c:v>
                </c:pt>
                <c:pt idx="30">
                  <c:v>436156.18803437299</c:v>
                </c:pt>
                <c:pt idx="31">
                  <c:v>436156.18803437299</c:v>
                </c:pt>
                <c:pt idx="32">
                  <c:v>436156.18803437299</c:v>
                </c:pt>
                <c:pt idx="33">
                  <c:v>436156.18803437299</c:v>
                </c:pt>
                <c:pt idx="34">
                  <c:v>436156.18803437299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67-4701-8407-6386ED157AC6}"/>
            </c:ext>
          </c:extLst>
        </c:ser>
        <c:ser>
          <c:idx val="9"/>
          <c:order val="9"/>
          <c:tx>
            <c:strRef>
              <c:f>Gráficos!$M$147</c:f>
              <c:strCache>
                <c:ptCount val="1"/>
                <c:pt idx="0">
                  <c:v>Aluguel de equipamentos esportivos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Gráficos!$N$147:$AW$147</c15:sqref>
                  </c15:fullRef>
                </c:ext>
              </c:extLst>
              <c:f>Gráficos!$O$147:$AW$147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284400.21774158976</c:v>
                </c:pt>
                <c:pt idx="3">
                  <c:v>284400.21774158976</c:v>
                </c:pt>
                <c:pt idx="4">
                  <c:v>284400.21774158976</c:v>
                </c:pt>
                <c:pt idx="5">
                  <c:v>284400.21774158976</c:v>
                </c:pt>
                <c:pt idx="6">
                  <c:v>284400.21774158976</c:v>
                </c:pt>
                <c:pt idx="7">
                  <c:v>284400.21774158976</c:v>
                </c:pt>
                <c:pt idx="8">
                  <c:v>284400.21774158976</c:v>
                </c:pt>
                <c:pt idx="9">
                  <c:v>284400.21774158976</c:v>
                </c:pt>
                <c:pt idx="10">
                  <c:v>284400.21774158976</c:v>
                </c:pt>
                <c:pt idx="11">
                  <c:v>284400.21774158976</c:v>
                </c:pt>
                <c:pt idx="12">
                  <c:v>284400.21774158976</c:v>
                </c:pt>
                <c:pt idx="13">
                  <c:v>284400.21774158976</c:v>
                </c:pt>
                <c:pt idx="14">
                  <c:v>284400.21774158976</c:v>
                </c:pt>
                <c:pt idx="15">
                  <c:v>284400.21774158976</c:v>
                </c:pt>
                <c:pt idx="16">
                  <c:v>284400.21774158976</c:v>
                </c:pt>
                <c:pt idx="17">
                  <c:v>284400.21774158976</c:v>
                </c:pt>
                <c:pt idx="18">
                  <c:v>284400.21774158976</c:v>
                </c:pt>
                <c:pt idx="19">
                  <c:v>284400.21774158976</c:v>
                </c:pt>
                <c:pt idx="20">
                  <c:v>284400.21774158976</c:v>
                </c:pt>
                <c:pt idx="21">
                  <c:v>284400.21774158976</c:v>
                </c:pt>
                <c:pt idx="22">
                  <c:v>284400.21774158976</c:v>
                </c:pt>
                <c:pt idx="23">
                  <c:v>284400.21774158976</c:v>
                </c:pt>
                <c:pt idx="24">
                  <c:v>284400.21774158976</c:v>
                </c:pt>
                <c:pt idx="25">
                  <c:v>284400.21774158976</c:v>
                </c:pt>
                <c:pt idx="26">
                  <c:v>284400.21774158976</c:v>
                </c:pt>
                <c:pt idx="27">
                  <c:v>284400.21774158976</c:v>
                </c:pt>
                <c:pt idx="28">
                  <c:v>284400.21774158976</c:v>
                </c:pt>
                <c:pt idx="29">
                  <c:v>284400.21774158976</c:v>
                </c:pt>
                <c:pt idx="30">
                  <c:v>284400.21774158976</c:v>
                </c:pt>
                <c:pt idx="31">
                  <c:v>284400.21774158976</c:v>
                </c:pt>
                <c:pt idx="32">
                  <c:v>284400.21774158976</c:v>
                </c:pt>
                <c:pt idx="33">
                  <c:v>284400.21774158976</c:v>
                </c:pt>
                <c:pt idx="34">
                  <c:v>284400.21774158976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67-4701-8407-6386ED157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265416"/>
        <c:axId val="416260320"/>
      </c:barChart>
      <c:catAx>
        <c:axId val="416265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0320"/>
        <c:crosses val="autoZero"/>
        <c:auto val="1"/>
        <c:lblAlgn val="ctr"/>
        <c:lblOffset val="100"/>
        <c:noMultiLvlLbl val="0"/>
      </c:catAx>
      <c:valAx>
        <c:axId val="416260320"/>
        <c:scaling>
          <c:orientation val="minMax"/>
          <c:max val="8000000"/>
          <c:min val="0"/>
        </c:scaling>
        <c:delete val="0"/>
        <c:axPos val="l"/>
        <c:numFmt formatCode="_(&quot;R$&quot;* #,##0_);_(&quot;R$&quot;* \(#,##0\);_(&quot;R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5416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2402413983966277E-2"/>
          <c:y val="0.79101455546712207"/>
          <c:w val="0.89687303372792682"/>
          <c:h val="0.180260097517250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Fluxo diário de visitantes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DEMANDA!$D$45</c:f>
              <c:strCache>
                <c:ptCount val="1"/>
                <c:pt idx="0">
                  <c:v> Diário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DEMANDA!$E$45:$L$45</c:f>
              <c:numCache>
                <c:formatCode>_-* #,##0_-;\-* #,##0_-;_-* "-"??_-;_-@_-</c:formatCode>
                <c:ptCount val="8"/>
                <c:pt idx="0">
                  <c:v>304.27607100342152</c:v>
                </c:pt>
                <c:pt idx="1">
                  <c:v>320.51656537358883</c:v>
                </c:pt>
                <c:pt idx="2">
                  <c:v>336.48370418180377</c:v>
                </c:pt>
                <c:pt idx="3">
                  <c:v>352.84458635925444</c:v>
                </c:pt>
                <c:pt idx="4">
                  <c:v>372.94903434871651</c:v>
                </c:pt>
                <c:pt idx="5">
                  <c:v>390.04249621400771</c:v>
                </c:pt>
                <c:pt idx="6">
                  <c:v>407.39648197330268</c:v>
                </c:pt>
                <c:pt idx="7">
                  <c:v>417.91255688171225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5-4CB9-A364-8FE586A198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59408"/>
        <c:axId val="412358232"/>
      </c:barChart>
      <c:catAx>
        <c:axId val="412359408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8232"/>
        <c:crosses val="autoZero"/>
        <c:auto val="1"/>
        <c:lblAlgn val="ctr"/>
        <c:lblOffset val="100"/>
        <c:noMultiLvlLbl val="0"/>
      </c:catAx>
      <c:valAx>
        <c:axId val="412358232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Fluxo</a:t>
            </a:r>
            <a:r>
              <a:rPr lang="en-US" sz="10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mensal</a:t>
            </a: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visitantes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DEMANDA!$D$44</c:f>
              <c:strCache>
                <c:ptCount val="1"/>
                <c:pt idx="0">
                  <c:v> Mensal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harsh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DEMANDA!$E$44:$L$44</c:f>
              <c:numCache>
                <c:formatCode>_-* #,##0_-;\-* #,##0_-;_-* "-"??_-;_-@_-</c:formatCode>
                <c:ptCount val="8"/>
                <c:pt idx="0">
                  <c:v>9128.2821301026452</c:v>
                </c:pt>
                <c:pt idx="1">
                  <c:v>9615.4969612076657</c:v>
                </c:pt>
                <c:pt idx="2">
                  <c:v>10094.511125454113</c:v>
                </c:pt>
                <c:pt idx="3">
                  <c:v>10585.337590777634</c:v>
                </c:pt>
                <c:pt idx="4">
                  <c:v>11188.471030461495</c:v>
                </c:pt>
                <c:pt idx="5">
                  <c:v>11701.274886420231</c:v>
                </c:pt>
                <c:pt idx="6">
                  <c:v>12221.89445919908</c:v>
                </c:pt>
                <c:pt idx="7">
                  <c:v>12537.376706451367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6D-4780-A70E-F34EC0F349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64112"/>
        <c:axId val="412362936"/>
      </c:barChart>
      <c:catAx>
        <c:axId val="41236411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62936"/>
        <c:crosses val="autoZero"/>
        <c:auto val="1"/>
        <c:lblAlgn val="ctr"/>
        <c:lblOffset val="100"/>
        <c:noMultiLvlLbl val="0"/>
      </c:catAx>
      <c:valAx>
        <c:axId val="41236293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accent6">
                  <a:lumMod val="75000"/>
                </a:schemeClr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B27-4AF5-AD05-E92F8339DF7E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4724-4930-B3AB-8E09644DF42F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B27-4AF5-AD05-E92F8339DF7E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B27-4AF5-AD05-E92F8339DF7E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B27-4AF5-AD05-E92F8339DF7E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B27-4AF5-AD05-E92F8339DF7E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1B27-4AF5-AD05-E92F8339DF7E}"/>
              </c:ext>
            </c:extLst>
          </c:dPt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1B27-4AF5-AD05-E92F8339DF7E}"/>
              </c:ext>
            </c:extLst>
          </c:dPt>
          <c:dLbls>
            <c:dLbl>
              <c:idx val="1"/>
              <c:layout>
                <c:manualLayout>
                  <c:x val="-4.7929729536075267E-17"/>
                  <c:y val="1.7400758303124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4-4930-B3AB-8E09644DF42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'RECEITAS '!$C$10:$C$19</c:f>
              <c:strCache>
                <c:ptCount val="10"/>
                <c:pt idx="0">
                  <c:v>Aluguel de espaços a terceiros (ABL)</c:v>
                </c:pt>
                <c:pt idx="1">
                  <c:v>Aluguel das quadras de esporte</c:v>
                </c:pt>
                <c:pt idx="2">
                  <c:v>Estacionamento</c:v>
                </c:pt>
                <c:pt idx="3">
                  <c:v>Eventos</c:v>
                </c:pt>
                <c:pt idx="4">
                  <c:v>Publicidade</c:v>
                </c:pt>
                <c:pt idx="5">
                  <c:v>Aulas (esportes)</c:v>
                </c:pt>
                <c:pt idx="6">
                  <c:v>Naútico</c:v>
                </c:pt>
                <c:pt idx="7">
                  <c:v>Locker</c:v>
                </c:pt>
                <c:pt idx="8">
                  <c:v>Recargas - EV's</c:v>
                </c:pt>
                <c:pt idx="9">
                  <c:v>Aluguel de equipamentos esportivos</c:v>
                </c:pt>
              </c:strCache>
            </c:strRef>
          </c:cat>
          <c:val>
            <c:numRef>
              <c:f>'RECEITAS '!$E$10:$E$19</c:f>
              <c:numCache>
                <c:formatCode>0.00%</c:formatCode>
                <c:ptCount val="10"/>
                <c:pt idx="0">
                  <c:v>0.23174083413672589</c:v>
                </c:pt>
                <c:pt idx="1">
                  <c:v>0.2485718163253593</c:v>
                </c:pt>
                <c:pt idx="2">
                  <c:v>6.3430257628304426E-2</c:v>
                </c:pt>
                <c:pt idx="3">
                  <c:v>1.6842645428844637E-2</c:v>
                </c:pt>
                <c:pt idx="4">
                  <c:v>0.23339775867658616</c:v>
                </c:pt>
                <c:pt idx="5">
                  <c:v>1.0011844876567156E-2</c:v>
                </c:pt>
                <c:pt idx="6">
                  <c:v>2.1144023937924413E-2</c:v>
                </c:pt>
                <c:pt idx="7">
                  <c:v>7.0323527032012154E-2</c:v>
                </c:pt>
                <c:pt idx="8">
                  <c:v>6.3276915453406773E-2</c:v>
                </c:pt>
                <c:pt idx="9">
                  <c:v>4.1260376504269183E-2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1-451F-B0C8-65E5497E9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2363328"/>
        <c:axId val="41236097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'RECEITAS '!$C$10:$C$19</c15:sqref>
                        </c15:formulaRef>
                      </c:ext>
                    </c:extLst>
                    <c:strCache>
                      <c:ptCount val="10"/>
                      <c:pt idx="0">
                        <c:v>Aluguel de espaços a terceiros (ABL)</c:v>
                      </c:pt>
                      <c:pt idx="1">
                        <c:v>Aluguel das quadras de esporte</c:v>
                      </c:pt>
                      <c:pt idx="2">
                        <c:v>Estacionamento</c:v>
                      </c:pt>
                      <c:pt idx="3">
                        <c:v>Eventos</c:v>
                      </c:pt>
                      <c:pt idx="4">
                        <c:v>Publicidade</c:v>
                      </c:pt>
                      <c:pt idx="5">
                        <c:v>Aulas (esportes)</c:v>
                      </c:pt>
                      <c:pt idx="6">
                        <c:v>Naútico</c:v>
                      </c:pt>
                      <c:pt idx="7">
                        <c:v>Locker</c:v>
                      </c:pt>
                      <c:pt idx="8">
                        <c:v>Recargas - EV's</c:v>
                      </c:pt>
                      <c:pt idx="9">
                        <c:v>Aluguel de equipamentos esportivos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0.23174083413672589</c:v>
                      </c:pt>
                      <c:pt idx="1">
                        <c:v>0.2485718163253593</c:v>
                      </c:pt>
                      <c:pt idx="2">
                        <c:v>6.3430257628304426E-2</c:v>
                      </c:pt>
                      <c:pt idx="3">
                        <c:v>1.6842645428844637E-2</c:v>
                      </c:pt>
                      <c:pt idx="4">
                        <c:v>0.23339775867658616</c:v>
                      </c:pt>
                      <c:pt idx="5">
                        <c:v>1.0011844876567156E-2</c:v>
                      </c:pt>
                      <c:pt idx="6">
                        <c:v>2.1144023937924413E-2</c:v>
                      </c:pt>
                      <c:pt idx="7">
                        <c:v>7.0323527032012154E-2</c:v>
                      </c:pt>
                      <c:pt idx="8">
                        <c:v>6.3276915453406773E-2</c:v>
                      </c:pt>
                      <c:pt idx="9">
                        <c:v>4.1260376504269183E-2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111-451F-B0C8-65E5497E9D7E}"/>
                  </c:ext>
                </c:extLst>
              </c15:ser>
            </c15:filteredBarSeries>
          </c:ext>
        </c:extLst>
      </c:barChart>
      <c:catAx>
        <c:axId val="41236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0976"/>
        <c:crosses val="autoZero"/>
        <c:auto val="1"/>
        <c:lblAlgn val="ctr"/>
        <c:lblOffset val="100"/>
        <c:noMultiLvlLbl val="0"/>
      </c:catAx>
      <c:valAx>
        <c:axId val="41236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3328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BR" sz="1100"/>
              <a:t>Evolução da Lotação por Hora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'Aux. Receita'!$E$6</c:f>
              <c:strCache>
                <c:ptCount val="1"/>
                <c:pt idx="0">
                  <c:v>Peso</c:v>
                </c:pt>
              </c:strCache>
            </c:strRef>
          </c:tx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600"/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'Aux. Receita'!$C$7:$C$26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24h</c:v>
                </c:pt>
              </c:strCache>
            </c:strRef>
          </c:cat>
          <c:val>
            <c:numRef>
              <c:f>'Aux. Receita'!$E$7:$E$26</c:f>
              <c:numCache>
                <c:formatCode>General</c:formatCode>
                <c:ptCount val="20"/>
                <c:pt idx="0" formatCode="0.000000">
                  <c:v>0.20718933333333334</c:v>
                </c:pt>
                <c:pt idx="1">
                  <c:v>0.62156800000000001</c:v>
                </c:pt>
                <c:pt idx="2">
                  <c:v>0.58156799999999997</c:v>
                </c:pt>
                <c:pt idx="3">
                  <c:v>0.45821499999999998</c:v>
                </c:pt>
                <c:pt idx="4">
                  <c:v>0.45589300000000005</c:v>
                </c:pt>
                <c:pt idx="5">
                  <c:v>0.45354200000000006</c:v>
                </c:pt>
                <c:pt idx="6">
                  <c:v>0.45116200000000001</c:v>
                </c:pt>
                <c:pt idx="7">
                  <c:v>0.20574199999999992</c:v>
                </c:pt>
                <c:pt idx="8">
                  <c:v>0.11456799999999999</c:v>
                </c:pt>
                <c:pt idx="9">
                  <c:v>8.7742999999999988E-2</c:v>
                </c:pt>
                <c:pt idx="10">
                  <c:v>9.9998000000000004E-2</c:v>
                </c:pt>
                <c:pt idx="11">
                  <c:v>0.1125236</c:v>
                </c:pt>
                <c:pt idx="12">
                  <c:v>0.39845599999999998</c:v>
                </c:pt>
                <c:pt idx="13">
                  <c:v>0.41258699999999998</c:v>
                </c:pt>
                <c:pt idx="14">
                  <c:v>0.78742299999999998</c:v>
                </c:pt>
                <c:pt idx="15">
                  <c:v>0.99215799999999998</c:v>
                </c:pt>
                <c:pt idx="16">
                  <c:v>0.78478499999999995</c:v>
                </c:pt>
                <c:pt idx="17">
                  <c:v>0.58562400000000003</c:v>
                </c:pt>
                <c:pt idx="18">
                  <c:v>0.387459</c:v>
                </c:pt>
                <c:pt idx="19" formatCode="0.0000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8B-4CE3-ABF1-A462A371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3426335"/>
        <c:axId val="1623425855"/>
      </c:lineChart>
      <c:catAx>
        <c:axId val="16234263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Hora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pt-BR"/>
          </a:p>
        </c:txPr>
        <c:crossAx val="1623425855"/>
        <c:crosses val="autoZero"/>
        <c:auto val="1"/>
        <c:lblAlgn val="ctr"/>
        <c:lblOffset val="100"/>
        <c:noMultiLvlLbl val="0"/>
      </c:catAx>
      <c:valAx>
        <c:axId val="1623425855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Peso de Lotação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1623426335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900" b="1"/>
              <a:t>Perfil</a:t>
            </a:r>
            <a:r>
              <a:rPr lang="pt-BR" sz="900" b="1" baseline="0"/>
              <a:t> Horário de Estacionamentos no Parque</a:t>
            </a:r>
            <a:endParaRPr lang="pt-BR" sz="9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7.0326158009151582E-2"/>
          <c:y val="0.14430164180658864"/>
          <c:w val="0.92967384199084846"/>
          <c:h val="0.62778566598557539"/>
        </c:manualLayout>
      </c:layout>
      <c:lineChart>
        <c:grouping val="standard"/>
        <c:varyColors val="0"/>
        <c:ser>
          <c:idx val="1"/>
          <c:order val="0"/>
          <c:tx>
            <c:strRef>
              <c:f>'RECEITAS '!$I$110</c:f>
              <c:strCache>
                <c:ptCount val="1"/>
                <c:pt idx="0">
                  <c:v>Veículos (A+ 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'RECEITAS '!$F$111:$F$130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00h</c:v>
                </c:pt>
              </c:strCache>
            </c:strRef>
          </c:cat>
          <c:val>
            <c:numRef>
              <c:f>'RECEITAS '!$I$111:$I$130</c:f>
              <c:numCache>
                <c:formatCode>0</c:formatCode>
                <c:ptCount val="20"/>
                <c:pt idx="0">
                  <c:v>5.4602959546028504</c:v>
                </c:pt>
                <c:pt idx="1">
                  <c:v>16.38088786380855</c:v>
                </c:pt>
                <c:pt idx="2">
                  <c:v>15.326722407169306</c:v>
                </c:pt>
                <c:pt idx="3">
                  <c:v>12.075860617848786</c:v>
                </c:pt>
                <c:pt idx="4">
                  <c:v>12.01466631309088</c:v>
                </c:pt>
                <c:pt idx="5">
                  <c:v>11.952707738376908</c:v>
                </c:pt>
                <c:pt idx="6">
                  <c:v>11.889984893706872</c:v>
                </c:pt>
                <c:pt idx="7">
                  <c:v>5.4221527344967857</c:v>
                </c:pt>
                <c:pt idx="8">
                  <c:v>3.0193407009061244</c:v>
                </c:pt>
                <c:pt idx="9">
                  <c:v>2.312390991547431</c:v>
                </c:pt>
                <c:pt idx="10">
                  <c:v>2.6353609333252801</c:v>
                </c:pt>
                <c:pt idx="11">
                  <c:v>2.9654623044172927</c:v>
                </c:pt>
                <c:pt idx="12">
                  <c:v>10.50096377976617</c:v>
                </c:pt>
                <c:pt idx="13">
                  <c:v>10.873374081460401</c:v>
                </c:pt>
                <c:pt idx="14">
                  <c:v>20.751853159081101</c:v>
                </c:pt>
                <c:pt idx="15">
                  <c:v>26.147467278206992</c:v>
                </c:pt>
                <c:pt idx="16">
                  <c:v>20.682330947215739</c:v>
                </c:pt>
                <c:pt idx="17">
                  <c:v>15.433614784472528</c:v>
                </c:pt>
                <c:pt idx="18">
                  <c:v>10.211147341599627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E7-4D85-B1D7-8EC516C2DC15}"/>
            </c:ext>
          </c:extLst>
        </c:ser>
        <c:ser>
          <c:idx val="2"/>
          <c:order val="1"/>
          <c:tx>
            <c:strRef>
              <c:f>'RECEITAS '!$N$110</c:f>
              <c:strCache>
                <c:ptCount val="1"/>
                <c:pt idx="0">
                  <c:v>Estacionados Pagos (A)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'RECEITAS '!$F$111:$F$130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00h</c:v>
                </c:pt>
              </c:strCache>
            </c:strRef>
          </c:cat>
          <c:val>
            <c:numRef>
              <c:f>'RECEITAS '!$N$111:$N$130</c:f>
              <c:numCache>
                <c:formatCode>0</c:formatCode>
                <c:ptCount val="20"/>
                <c:pt idx="0">
                  <c:v>3.1722544784282869</c:v>
                </c:pt>
                <c:pt idx="1">
                  <c:v>14.816941393456247</c:v>
                </c:pt>
                <c:pt idx="2">
                  <c:v>13.537732818732449</c:v>
                </c:pt>
                <c:pt idx="3">
                  <c:v>9.7127677667335917</c:v>
                </c:pt>
                <c:pt idx="4">
                  <c:v>9.6433522284373581</c:v>
                </c:pt>
                <c:pt idx="5">
                  <c:v>9.5731918004974439</c:v>
                </c:pt>
                <c:pt idx="6">
                  <c:v>9.502292423016236</c:v>
                </c:pt>
                <c:pt idx="7">
                  <c:v>3.1417913212239013</c:v>
                </c:pt>
                <c:pt idx="8">
                  <c:v>1.4412524391580053</c:v>
                </c:pt>
                <c:pt idx="9">
                  <c:v>1.0294566845440545</c:v>
                </c:pt>
                <c:pt idx="10">
                  <c:v>1.2122597044563612</c:v>
                </c:pt>
                <c:pt idx="11">
                  <c:v>1.4083685066510294</c:v>
                </c:pt>
                <c:pt idx="12">
                  <c:v>7.9677449930777957</c:v>
                </c:pt>
                <c:pt idx="13">
                  <c:v>8.37210636516763</c:v>
                </c:pt>
                <c:pt idx="14">
                  <c:v>20.126683094649685</c:v>
                </c:pt>
                <c:pt idx="15">
                  <c:v>26.14639528497106</c:v>
                </c:pt>
                <c:pt idx="16">
                  <c:v>20.043695090167827</c:v>
                </c:pt>
                <c:pt idx="17">
                  <c:v>13.666903492495329</c:v>
                </c:pt>
                <c:pt idx="18">
                  <c:v>7.6569549303248561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E7-4D85-B1D7-8EC516C2DC15}"/>
            </c:ext>
          </c:extLst>
        </c:ser>
        <c:ser>
          <c:idx val="3"/>
          <c:order val="2"/>
          <c:tx>
            <c:strRef>
              <c:f>'RECEITAS '!$O$110</c:f>
              <c:strCache>
                <c:ptCount val="1"/>
                <c:pt idx="0">
                  <c:v>Estacionados Gratuito (B)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'RECEITAS '!$F$111:$F$130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00h</c:v>
                </c:pt>
              </c:strCache>
            </c:strRef>
          </c:cat>
          <c:val>
            <c:numRef>
              <c:f>'RECEITAS '!$O$111:$O$130</c:f>
              <c:numCache>
                <c:formatCode>0</c:formatCode>
                <c:ptCount val="20"/>
                <c:pt idx="0">
                  <c:v>2.288041476174564</c:v>
                </c:pt>
                <c:pt idx="1">
                  <c:v>1.5639464703523027</c:v>
                </c:pt>
                <c:pt idx="2">
                  <c:v>1.7889895884368578</c:v>
                </c:pt>
                <c:pt idx="3">
                  <c:v>2.3630928511151943</c:v>
                </c:pt>
                <c:pt idx="4">
                  <c:v>2.3713140846535201</c:v>
                </c:pt>
                <c:pt idx="5">
                  <c:v>2.3795159378794639</c:v>
                </c:pt>
                <c:pt idx="6">
                  <c:v>2.3876924706906366</c:v>
                </c:pt>
                <c:pt idx="7">
                  <c:v>2.280361413272884</c:v>
                </c:pt>
                <c:pt idx="8">
                  <c:v>1.5780882617481193</c:v>
                </c:pt>
                <c:pt idx="9">
                  <c:v>1.2829343070033767</c:v>
                </c:pt>
                <c:pt idx="10">
                  <c:v>1.4231012288689191</c:v>
                </c:pt>
                <c:pt idx="11">
                  <c:v>1.5570937977662633</c:v>
                </c:pt>
                <c:pt idx="12">
                  <c:v>2.5332187866883746</c:v>
                </c:pt>
                <c:pt idx="13">
                  <c:v>2.5012677162927712</c:v>
                </c:pt>
                <c:pt idx="14">
                  <c:v>0.62517006443141632</c:v>
                </c:pt>
                <c:pt idx="15">
                  <c:v>1.07199323593272E-3</c:v>
                </c:pt>
                <c:pt idx="16">
                  <c:v>0.6386358570479107</c:v>
                </c:pt>
                <c:pt idx="17">
                  <c:v>1.7667112919771981</c:v>
                </c:pt>
                <c:pt idx="18">
                  <c:v>2.5541924112747711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E7-4D85-B1D7-8EC516C2D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2361760"/>
        <c:axId val="412362152"/>
      </c:lineChart>
      <c:catAx>
        <c:axId val="41236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2152"/>
        <c:crosses val="autoZero"/>
        <c:auto val="1"/>
        <c:lblAlgn val="ctr"/>
        <c:lblOffset val="100"/>
        <c:noMultiLvlLbl val="0"/>
      </c:catAx>
      <c:valAx>
        <c:axId val="412362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947725489327893E-2"/>
          <c:y val="0.87916445890273109"/>
          <c:w val="0.8457381641424343"/>
          <c:h val="8.80287851342525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rgbClr val="FF0000"/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OPEX!$C$38:$C$50</c:f>
              <c:strCache>
                <c:ptCount val="13"/>
                <c:pt idx="0">
                  <c:v>FOPAG</c:v>
                </c:pt>
                <c:pt idx="1">
                  <c:v>AGRESPI</c:v>
                </c:pt>
                <c:pt idx="2">
                  <c:v>Água e Esgoto</c:v>
                </c:pt>
                <c:pt idx="3">
                  <c:v>Energia</c:v>
                </c:pt>
                <c:pt idx="4">
                  <c:v>Aquisição - Equipamentos esportivos </c:v>
                </c:pt>
                <c:pt idx="5">
                  <c:v>Manutenção e conservação</c:v>
                </c:pt>
                <c:pt idx="6">
                  <c:v>Impostos e taxas*</c:v>
                </c:pt>
                <c:pt idx="7">
                  <c:v>Publicidade e propaganda </c:v>
                </c:pt>
                <c:pt idx="8">
                  <c:v>Outras despesas operacionais </c:v>
                </c:pt>
                <c:pt idx="9">
                  <c:v>Serviços técnicos profissionais</c:v>
                </c:pt>
                <c:pt idx="10">
                  <c:v>Jardinagem </c:v>
                </c:pt>
                <c:pt idx="11">
                  <c:v>Seguros </c:v>
                </c:pt>
                <c:pt idx="12">
                  <c:v>Internet</c:v>
                </c:pt>
              </c:strCache>
            </c:strRef>
          </c:cat>
          <c:val>
            <c:numRef>
              <c:f>OPEX!$E$38:$E$50</c:f>
              <c:numCache>
                <c:formatCode>0.00%</c:formatCode>
                <c:ptCount val="13"/>
                <c:pt idx="0">
                  <c:v>0.32897808639861587</c:v>
                </c:pt>
                <c:pt idx="1">
                  <c:v>7.3959198778827005E-3</c:v>
                </c:pt>
                <c:pt idx="2">
                  <c:v>4.9369692454989331E-2</c:v>
                </c:pt>
                <c:pt idx="3">
                  <c:v>0.18350345767491216</c:v>
                </c:pt>
                <c:pt idx="4">
                  <c:v>3.7255823667539096E-3</c:v>
                </c:pt>
                <c:pt idx="5">
                  <c:v>5.0124222160708894E-2</c:v>
                </c:pt>
                <c:pt idx="6">
                  <c:v>3.5300340432624137E-2</c:v>
                </c:pt>
                <c:pt idx="7">
                  <c:v>5.459010397792699E-2</c:v>
                </c:pt>
                <c:pt idx="8">
                  <c:v>8.5248163737354277E-2</c:v>
                </c:pt>
                <c:pt idx="9">
                  <c:v>8.214758663909294E-2</c:v>
                </c:pt>
                <c:pt idx="10">
                  <c:v>7.9435003879087304E-3</c:v>
                </c:pt>
                <c:pt idx="11">
                  <c:v>2.2131097106588851E-2</c:v>
                </c:pt>
                <c:pt idx="12">
                  <c:v>2.0421729760701005E-2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1-451F-B0C8-65E5497E9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990384"/>
        <c:axId val="40899783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6">
                      <a:lumMod val="75000"/>
                    </a:schemeClr>
                  </a:solidFill>
                  <a:ln>
                    <a:solidFill>
                      <a:schemeClr val="accent6">
                        <a:lumMod val="75000"/>
                      </a:schemeClr>
                    </a:solidFill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2-4724-4930-B3AB-8E09644DF42F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0-4724-4930-B3AB-8E09644DF42F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6-4724-4930-B3AB-8E09644DF42F}"/>
                    </c:ext>
                  </c:extLst>
                </c:dPt>
                <c:dPt>
                  <c:idx val="5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A-4724-4930-B3AB-8E09644DF42F}"/>
                    </c:ext>
                  </c:extLst>
                </c:dPt>
                <c:dPt>
                  <c:idx val="6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C-4724-4930-B3AB-8E09644DF42F}"/>
                    </c:ext>
                  </c:extLst>
                </c:dPt>
                <c:dPt>
                  <c:idx val="7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E-4724-4930-B3AB-8E09644DF42F}"/>
                    </c:ext>
                  </c:extLst>
                </c:dPt>
                <c:dPt>
                  <c:idx val="8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10-4724-4930-B3AB-8E09644DF42F}"/>
                    </c:ext>
                  </c:extLst>
                </c:dPt>
                <c:dPt>
                  <c:idx val="9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F-B55D-4E9E-9D99-D90077788920}"/>
                    </c:ext>
                  </c:extLst>
                </c:dPt>
                <c:dLbls>
                  <c:dLbl>
                    <c:idx val="1"/>
                    <c:layout>
                      <c:manualLayout>
                        <c:x val="-4.7929729536075267E-17"/>
                        <c:y val="1.74007583031246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724-4930-B3AB-8E09644DF42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OPEX!$C$38:$C$50</c15:sqref>
                        </c15:formulaRef>
                      </c:ext>
                    </c:extLst>
                    <c:strCache>
                      <c:ptCount val="13"/>
                      <c:pt idx="0">
                        <c:v>FOPAG</c:v>
                      </c:pt>
                      <c:pt idx="1">
                        <c:v>AGRESPI</c:v>
                      </c:pt>
                      <c:pt idx="2">
                        <c:v>Água e Esgoto</c:v>
                      </c:pt>
                      <c:pt idx="3">
                        <c:v>Energia</c:v>
                      </c:pt>
                      <c:pt idx="4">
                        <c:v>Aquisição - Equipamentos esportivos </c:v>
                      </c:pt>
                      <c:pt idx="5">
                        <c:v>Manutenção e conservação</c:v>
                      </c:pt>
                      <c:pt idx="6">
                        <c:v>Impostos e taxas*</c:v>
                      </c:pt>
                      <c:pt idx="7">
                        <c:v>Publicidade e propaganda </c:v>
                      </c:pt>
                      <c:pt idx="8">
                        <c:v>Outras despesas operacionais </c:v>
                      </c:pt>
                      <c:pt idx="9">
                        <c:v>Serviços técnicos profissionais</c:v>
                      </c:pt>
                      <c:pt idx="10">
                        <c:v>Jardinagem </c:v>
                      </c:pt>
                      <c:pt idx="11">
                        <c:v>Seguros </c:v>
                      </c:pt>
                      <c:pt idx="12">
                        <c:v>Internet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0.23174083413672589</c:v>
                      </c:pt>
                      <c:pt idx="1">
                        <c:v>0.2485718163253593</c:v>
                      </c:pt>
                      <c:pt idx="2">
                        <c:v>6.3430257628304426E-2</c:v>
                      </c:pt>
                      <c:pt idx="3">
                        <c:v>1.6842645428844637E-2</c:v>
                      </c:pt>
                      <c:pt idx="4">
                        <c:v>0.23339775867658616</c:v>
                      </c:pt>
                      <c:pt idx="5">
                        <c:v>1.0011844876567156E-2</c:v>
                      </c:pt>
                      <c:pt idx="6">
                        <c:v>2.1144023937924413E-2</c:v>
                      </c:pt>
                      <c:pt idx="7">
                        <c:v>7.0323527032012154E-2</c:v>
                      </c:pt>
                      <c:pt idx="8">
                        <c:v>6.3276915453406773E-2</c:v>
                      </c:pt>
                      <c:pt idx="9">
                        <c:v>4.1260376504269183E-2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111-451F-B0C8-65E5497E9D7E}"/>
                  </c:ext>
                </c:extLst>
              </c15:ser>
            </c15:filteredBarSeries>
          </c:ext>
        </c:extLst>
      </c:barChart>
      <c:catAx>
        <c:axId val="40899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08997832"/>
        <c:crosses val="autoZero"/>
        <c:auto val="1"/>
        <c:lblAlgn val="ctr"/>
        <c:lblOffset val="100"/>
        <c:noMultiLvlLbl val="0"/>
      </c:catAx>
      <c:valAx>
        <c:axId val="408997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0899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CAPEX</a:t>
            </a:r>
            <a:r>
              <a:rPr lang="pt-BR" sz="10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Obra</a:t>
            </a:r>
            <a:endParaRPr lang="pt-BR" sz="1000" b="1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 prstMaterial="metal"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E33-4B12-81DF-74BB2C1662E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E33-4B12-81DF-74BB2C1662E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33-4B12-81DF-74BB2C1662E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33-4B12-81DF-74BB2C1662E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33-4B12-81DF-74BB2C1662E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33-4B12-81DF-74BB2C1662E3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33-4B12-81DF-74BB2C1662E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E33-4B12-81DF-74BB2C1662E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33-4B12-81DF-74BB2C1662E3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E33-4B12-81DF-74BB2C1662E3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E33-4B12-81DF-74BB2C1662E3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33-4B12-81DF-74BB2C1662E3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E33-4B12-81DF-74BB2C1662E3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E33-4B12-81DF-74BB2C1662E3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33-4B12-81DF-74BB2C1662E3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E33-4B12-81DF-74BB2C1662E3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E33-4B12-81DF-74BB2C1662E3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E33-4B12-81DF-74BB2C1662E3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E33-4B12-81DF-74BB2C1662E3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E33-4B12-81DF-74BB2C1662E3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E33-4B12-81DF-74BB2C1662E3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E33-4B12-81DF-74BB2C1662E3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E33-4B12-81DF-74BB2C1662E3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E33-4B12-81DF-74BB2C1662E3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E33-4B12-81DF-74BB2C1662E3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E33-4B12-81DF-74BB2C1662E3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E33-4B12-81DF-74BB2C1662E3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E33-4B12-81DF-74BB2C1662E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E33-4B12-81DF-74BB2C1662E3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E33-4B12-81DF-74BB2C1662E3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E33-4B12-81DF-74BB2C1662E3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E33-4B12-81DF-74BB2C1662E3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E33-4B12-81DF-74BB2C1662E3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E33-4B12-81DF-74BB2C1662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CAPEX!$H$27:$AQ$27</c:f>
              <c:strCache>
                <c:ptCount val="3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  <c:pt idx="6">
                  <c:v>Ano 6</c:v>
                </c:pt>
                <c:pt idx="7">
                  <c:v>Ano 7</c:v>
                </c:pt>
                <c:pt idx="8">
                  <c:v>Ano 8</c:v>
                </c:pt>
                <c:pt idx="9">
                  <c:v>Ano 9</c:v>
                </c:pt>
                <c:pt idx="10">
                  <c:v>Ano 10</c:v>
                </c:pt>
                <c:pt idx="11">
                  <c:v>Ano 11</c:v>
                </c:pt>
                <c:pt idx="12">
                  <c:v>Ano 12</c:v>
                </c:pt>
                <c:pt idx="13">
                  <c:v>Ano 13</c:v>
                </c:pt>
                <c:pt idx="14">
                  <c:v>Ano 14</c:v>
                </c:pt>
                <c:pt idx="15">
                  <c:v>Ano 15</c:v>
                </c:pt>
                <c:pt idx="16">
                  <c:v>Ano 16</c:v>
                </c:pt>
                <c:pt idx="17">
                  <c:v>Ano 17</c:v>
                </c:pt>
                <c:pt idx="18">
                  <c:v>Ano 18</c:v>
                </c:pt>
                <c:pt idx="19">
                  <c:v>Ano 19</c:v>
                </c:pt>
                <c:pt idx="20">
                  <c:v>Ano 20</c:v>
                </c:pt>
                <c:pt idx="21">
                  <c:v>Ano 21</c:v>
                </c:pt>
                <c:pt idx="22">
                  <c:v>Ano 22</c:v>
                </c:pt>
                <c:pt idx="23">
                  <c:v>Ano 23</c:v>
                </c:pt>
                <c:pt idx="24">
                  <c:v>Ano 24</c:v>
                </c:pt>
                <c:pt idx="25">
                  <c:v>Ano 25</c:v>
                </c:pt>
                <c:pt idx="26">
                  <c:v>Ano 26</c:v>
                </c:pt>
                <c:pt idx="27">
                  <c:v>Ano 27</c:v>
                </c:pt>
                <c:pt idx="28">
                  <c:v>Ano 28</c:v>
                </c:pt>
                <c:pt idx="29">
                  <c:v>Ano 29</c:v>
                </c:pt>
                <c:pt idx="30">
                  <c:v>Ano 30</c:v>
                </c:pt>
                <c:pt idx="31">
                  <c:v>Ano 31</c:v>
                </c:pt>
                <c:pt idx="32">
                  <c:v>Ano 32</c:v>
                </c:pt>
                <c:pt idx="33">
                  <c:v>Ano 33</c:v>
                </c:pt>
                <c:pt idx="34">
                  <c:v>Ano 34</c:v>
                </c:pt>
                <c:pt idx="35">
                  <c:v>Ano 35</c:v>
                </c:pt>
              </c:strCache>
            </c:strRef>
          </c:cat>
          <c:val>
            <c:numRef>
              <c:f>CAPEX!$H$29:$AQ$29</c:f>
              <c:numCache>
                <c:formatCode>_("R$"* #,##0.00_);_("R$"* \(#,##0.00\);_("R$"* "-"??_);_(@_)</c:formatCode>
                <c:ptCount val="36"/>
                <c:pt idx="0">
                  <c:v>0</c:v>
                </c:pt>
                <c:pt idx="1">
                  <c:v>3111685.88</c:v>
                </c:pt>
                <c:pt idx="2">
                  <c:v>3111685.88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33-4B12-81DF-74BB2C1662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8994696"/>
        <c:axId val="408992344"/>
      </c:barChart>
      <c:catAx>
        <c:axId val="40899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08992344"/>
        <c:crosses val="autoZero"/>
        <c:auto val="1"/>
        <c:lblAlgn val="ctr"/>
        <c:lblOffset val="100"/>
        <c:noMultiLvlLbl val="0"/>
      </c:catAx>
      <c:valAx>
        <c:axId val="408992344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4696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accent6">
                  <a:lumMod val="75000"/>
                </a:schemeClr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CD6-40C4-A260-8B68908E41F8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CD6-40C4-A260-8B68908E41F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CD6-40C4-A260-8B68908E41F8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DCD6-40C4-A260-8B68908E41F8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DCD6-40C4-A260-8B68908E41F8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DCD6-40C4-A260-8B68908E41F8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DCD6-40C4-A260-8B68908E41F8}"/>
              </c:ext>
            </c:extLst>
          </c:dPt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DCD6-40C4-A260-8B68908E41F8}"/>
              </c:ext>
            </c:extLst>
          </c:dPt>
          <c:dLbls>
            <c:dLbl>
              <c:idx val="1"/>
              <c:layout>
                <c:manualLayout>
                  <c:x val="-4.7929729536075267E-17"/>
                  <c:y val="1.7400758303124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D6-40C4-A260-8B68908E41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'RECEITAS '!$C$10:$C$19</c:f>
              <c:strCache>
                <c:ptCount val="10"/>
                <c:pt idx="0">
                  <c:v>Aluguel de espaços a terceiros (ABL)</c:v>
                </c:pt>
                <c:pt idx="1">
                  <c:v>Aluguel das quadras de esporte</c:v>
                </c:pt>
                <c:pt idx="2">
                  <c:v>Estacionamento</c:v>
                </c:pt>
                <c:pt idx="3">
                  <c:v>Eventos</c:v>
                </c:pt>
                <c:pt idx="4">
                  <c:v>Publicidade</c:v>
                </c:pt>
                <c:pt idx="5">
                  <c:v>Aulas (esportes)</c:v>
                </c:pt>
                <c:pt idx="6">
                  <c:v>Naútico</c:v>
                </c:pt>
                <c:pt idx="7">
                  <c:v>Locker</c:v>
                </c:pt>
                <c:pt idx="8">
                  <c:v>Recargas - EV's</c:v>
                </c:pt>
                <c:pt idx="9">
                  <c:v>Aluguel de equipamentos esportivos</c:v>
                </c:pt>
              </c:strCache>
            </c:strRef>
          </c:cat>
          <c:val>
            <c:numRef>
              <c:f>'RECEITAS '!$E$10:$E$19</c:f>
              <c:numCache>
                <c:formatCode>0.00%</c:formatCode>
                <c:ptCount val="10"/>
                <c:pt idx="0">
                  <c:v>0.23174083413672589</c:v>
                </c:pt>
                <c:pt idx="1">
                  <c:v>0.2485718163253593</c:v>
                </c:pt>
                <c:pt idx="2">
                  <c:v>6.3430257628304426E-2</c:v>
                </c:pt>
                <c:pt idx="3">
                  <c:v>1.6842645428844637E-2</c:v>
                </c:pt>
                <c:pt idx="4">
                  <c:v>0.23339775867658616</c:v>
                </c:pt>
                <c:pt idx="5">
                  <c:v>1.0011844876567156E-2</c:v>
                </c:pt>
                <c:pt idx="6">
                  <c:v>2.1144023937924413E-2</c:v>
                </c:pt>
                <c:pt idx="7">
                  <c:v>7.0323527032012154E-2</c:v>
                </c:pt>
                <c:pt idx="8">
                  <c:v>6.3276915453406773E-2</c:v>
                </c:pt>
                <c:pt idx="9">
                  <c:v>4.1260376504269183E-2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CD6-40C4-A260-8B68908E4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990776"/>
        <c:axId val="40899744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'RECEITAS '!$C$10:$C$19</c15:sqref>
                        </c15:formulaRef>
                      </c:ext>
                    </c:extLst>
                    <c:strCache>
                      <c:ptCount val="10"/>
                      <c:pt idx="0">
                        <c:v>Aluguel de espaços a terceiros (ABL)</c:v>
                      </c:pt>
                      <c:pt idx="1">
                        <c:v>Aluguel das quadras de esporte</c:v>
                      </c:pt>
                      <c:pt idx="2">
                        <c:v>Estacionamento</c:v>
                      </c:pt>
                      <c:pt idx="3">
                        <c:v>Eventos</c:v>
                      </c:pt>
                      <c:pt idx="4">
                        <c:v>Publicidade</c:v>
                      </c:pt>
                      <c:pt idx="5">
                        <c:v>Aulas (esportes)</c:v>
                      </c:pt>
                      <c:pt idx="6">
                        <c:v>Naútico</c:v>
                      </c:pt>
                      <c:pt idx="7">
                        <c:v>Locker</c:v>
                      </c:pt>
                      <c:pt idx="8">
                        <c:v>Recargas - EV's</c:v>
                      </c:pt>
                      <c:pt idx="9">
                        <c:v>Aluguel de equipamentos esportivos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0.23174083413672589</c:v>
                      </c:pt>
                      <c:pt idx="1">
                        <c:v>0.2485718163253593</c:v>
                      </c:pt>
                      <c:pt idx="2">
                        <c:v>6.3430257628304426E-2</c:v>
                      </c:pt>
                      <c:pt idx="3">
                        <c:v>1.6842645428844637E-2</c:v>
                      </c:pt>
                      <c:pt idx="4">
                        <c:v>0.23339775867658616</c:v>
                      </c:pt>
                      <c:pt idx="5">
                        <c:v>1.0011844876567156E-2</c:v>
                      </c:pt>
                      <c:pt idx="6">
                        <c:v>2.1144023937924413E-2</c:v>
                      </c:pt>
                      <c:pt idx="7">
                        <c:v>7.0323527032012154E-2</c:v>
                      </c:pt>
                      <c:pt idx="8">
                        <c:v>6.3276915453406773E-2</c:v>
                      </c:pt>
                      <c:pt idx="9">
                        <c:v>4.1260376504269183E-2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DCD6-40C4-A260-8B68908E41F8}"/>
                  </c:ext>
                </c:extLst>
              </c15:ser>
            </c15:filteredBarSeries>
          </c:ext>
        </c:extLst>
      </c:barChart>
      <c:catAx>
        <c:axId val="408990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7440"/>
        <c:crosses val="autoZero"/>
        <c:auto val="1"/>
        <c:lblAlgn val="ctr"/>
        <c:lblOffset val="100"/>
        <c:noMultiLvlLbl val="0"/>
      </c:catAx>
      <c:valAx>
        <c:axId val="40899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0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2571750</xdr:colOff>
      <xdr:row>2</xdr:row>
      <xdr:rowOff>47625</xdr:rowOff>
    </xdr:from>
    <xdr:to>
      <xdr:col>3</xdr:col>
      <xdr:colOff>1009650</xdr:colOff>
      <xdr:row>8</xdr:row>
      <xdr:rowOff>135255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7EA7C29-E2B5-B9AE-77A2-A8543BE33D0C}"/>
            </a:ext>
            <a:ext uri="{147F2762-F138-4A5C-976F-8EAC2B608ADB}">
              <a16:predDERef xmlns:a16="http://schemas.microsoft.com/office/drawing/2014/main" pred="{2298F589-7592-E235-4692-F92FADC6D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7100" y="409575"/>
          <a:ext cx="1181100" cy="1257300"/>
        </a:xfrm>
        <a:prstGeom prst="rect">
          <a:avLst/>
        </a:prstGeom>
      </xdr:spPr>
    </xdr:pic>
    <xdr:clientData/>
  </xdr:twoCellAnchor>
  <xdr:twoCellAnchor editAs="oneCell">
    <xdr:from>
      <xdr:col>6</xdr:col>
      <xdr:colOff>666750</xdr:colOff>
      <xdr:row>3</xdr:row>
      <xdr:rowOff>9525</xdr:rowOff>
    </xdr:from>
    <xdr:to>
      <xdr:col>9</xdr:col>
      <xdr:colOff>171450</xdr:colOff>
      <xdr:row>8</xdr:row>
      <xdr:rowOff>38100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F770E42-7A28-C47E-1C69-584F8AE5384C}"/>
            </a:ext>
            <a:ext uri="{147F2762-F138-4A5C-976F-8EAC2B608ADB}">
              <a16:predDERef xmlns:a16="http://schemas.microsoft.com/office/drawing/2014/main" pred="{B7EA7C29-E2B5-B9AE-77A2-A8543BE33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34575" y="561975"/>
          <a:ext cx="1504950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209549</xdr:colOff>
      <xdr:row>59</xdr:row>
      <xdr:rowOff>90487</xdr:rowOff>
    </xdr:from>
    <xdr:to>
      <xdr:col>8</xdr:col>
      <xdr:colOff>723899</xdr:colOff>
      <xdr:row>74</xdr:row>
      <xdr:rowOff>104775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B4256147-F776-98ED-FBA7-4D4BAF5827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723900</xdr:colOff>
      <xdr:row>56</xdr:row>
      <xdr:rowOff>114300</xdr:rowOff>
    </xdr:from>
    <xdr:to>
      <xdr:col>12</xdr:col>
      <xdr:colOff>257175</xdr:colOff>
      <xdr:row>71</xdr:row>
      <xdr:rowOff>166688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CA86EE7E-7A8F-492B-817F-50710B27AE80}"/>
            </a:ext>
            <a:ext uri="{147F2762-F138-4A5C-976F-8EAC2B608ADB}">
              <a16:predDERef xmlns:a16="http://schemas.microsoft.com/office/drawing/2014/main" pred="{B4256147-F776-98ED-FBA7-4D4BAF5827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819150</xdr:colOff>
      <xdr:row>40</xdr:row>
      <xdr:rowOff>57150</xdr:rowOff>
    </xdr:from>
    <xdr:to>
      <xdr:col>19</xdr:col>
      <xdr:colOff>485775</xdr:colOff>
      <xdr:row>55</xdr:row>
      <xdr:rowOff>138113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9E9CE8BD-E70F-47C6-8AD8-B8CA04700717}"/>
            </a:ext>
            <a:ext uri="{147F2762-F138-4A5C-976F-8EAC2B608ADB}">
              <a16:predDERef xmlns:a16="http://schemas.microsoft.com/office/drawing/2014/main" pred="{CA86EE7E-7A8F-492B-817F-50710B27A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7</xdr:row>
      <xdr:rowOff>0</xdr:rowOff>
    </xdr:from>
    <xdr:to>
      <xdr:col>8</xdr:col>
      <xdr:colOff>1028700</xdr:colOff>
      <xdr:row>22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  <a:ext uri="{147F2762-F138-4A5C-976F-8EAC2B608ADB}">
              <a16:predDERef xmlns:a16="http://schemas.microsoft.com/office/drawing/2014/main" pre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625669</xdr:colOff>
      <xdr:row>12</xdr:row>
      <xdr:rowOff>170125</xdr:rowOff>
    </xdr:from>
    <xdr:to>
      <xdr:col>14</xdr:col>
      <xdr:colOff>1466022</xdr:colOff>
      <xdr:row>28</xdr:row>
      <xdr:rowOff>126144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FDE9FE8-846F-439A-9A34-2A5C7A298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596348</xdr:colOff>
      <xdr:row>30</xdr:row>
      <xdr:rowOff>0</xdr:rowOff>
    </xdr:from>
    <xdr:to>
      <xdr:col>13</xdr:col>
      <xdr:colOff>932352</xdr:colOff>
      <xdr:row>42</xdr:row>
      <xdr:rowOff>79513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06661E-D10F-4265-BD6D-06218CADACF1}"/>
            </a:ext>
            <a:ext uri="{147F2762-F138-4A5C-976F-8EAC2B608ADB}">
              <a16:predDERef xmlns:a16="http://schemas.microsoft.com/office/drawing/2014/main" pred="{7FDE9FE8-846F-439A-9A34-2A5C7A298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609600</xdr:colOff>
      <xdr:row>29</xdr:row>
      <xdr:rowOff>30481</xdr:rowOff>
    </xdr:from>
    <xdr:to>
      <xdr:col>10</xdr:col>
      <xdr:colOff>548640</xdr:colOff>
      <xdr:row>53</xdr:row>
      <xdr:rowOff>114301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419100</xdr:colOff>
      <xdr:row>24</xdr:row>
      <xdr:rowOff>42861</xdr:rowOff>
    </xdr:from>
    <xdr:to>
      <xdr:col>59</xdr:col>
      <xdr:colOff>85726</xdr:colOff>
      <xdr:row>39</xdr:row>
      <xdr:rowOff>161924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12C04BD-3A89-19B1-1A5B-5151D4F4E6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</xdr:colOff>
      <xdr:row>1</xdr:row>
      <xdr:rowOff>47625</xdr:rowOff>
    </xdr:from>
    <xdr:to>
      <xdr:col>3</xdr:col>
      <xdr:colOff>246372</xdr:colOff>
      <xdr:row>4</xdr:row>
      <xdr:rowOff>170603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123825"/>
          <a:ext cx="1078857" cy="757343"/>
        </a:xfrm>
        <a:prstGeom prst="rect">
          <a:avLst/>
        </a:prstGeom>
      </xdr:spPr>
    </xdr:pic>
    <xdr:clientData/>
  </xdr:twoCellAnchor>
  <xdr:twoCellAnchor editAs="oneCell">
    <xdr:from>
      <xdr:col>8</xdr:col>
      <xdr:colOff>133350</xdr:colOff>
      <xdr:row>1</xdr:row>
      <xdr:rowOff>9525</xdr:rowOff>
    </xdr:from>
    <xdr:to>
      <xdr:col>8</xdr:col>
      <xdr:colOff>1692620</xdr:colOff>
      <xdr:row>4</xdr:row>
      <xdr:rowOff>172514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0" y="85725"/>
          <a:ext cx="1559270" cy="79735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</xdr:row>
      <xdr:rowOff>81916</xdr:rowOff>
    </xdr:from>
    <xdr:to>
      <xdr:col>9</xdr:col>
      <xdr:colOff>297179</xdr:colOff>
      <xdr:row>20</xdr:row>
      <xdr:rowOff>175260</xdr:rowOff>
    </xdr:to>
    <xdr:graphicFrame macro="">
      <xdr:nvGraphicFramePr>
        <xdr:cNvPr id="12" name="Gráfico 2">
          <a:extLst>
            <a:ext uri="{FF2B5EF4-FFF2-40B4-BE49-F238E27FC236}">
              <a16:creationId xmlns:a16="http://schemas.microsoft.com/office/drawing/2014/main" id="{00000000-0008-0000-1300-000003000000}"/>
            </a:ext>
            <a:ext uri="{147F2762-F138-4A5C-976F-8EAC2B608ADB}">
              <a16:predDERef xmlns:a16="http://schemas.microsoft.com/office/drawing/2014/main" pre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560070</xdr:colOff>
      <xdr:row>2</xdr:row>
      <xdr:rowOff>49529</xdr:rowOff>
    </xdr:from>
    <xdr:to>
      <xdr:col>18</xdr:col>
      <xdr:colOff>325755</xdr:colOff>
      <xdr:row>21</xdr:row>
      <xdr:rowOff>40004</xdr:rowOff>
    </xdr:to>
    <xdr:graphicFrame macro="">
      <xdr:nvGraphicFramePr>
        <xdr:cNvPr id="33" name="Gráfico 5">
          <a:extLst>
            <a:ext uri="{FF2B5EF4-FFF2-40B4-BE49-F238E27FC236}">
              <a16:creationId xmlns:a16="http://schemas.microsoft.com/office/drawing/2014/main" id="{00000000-0008-0000-1300-000006000000}"/>
            </a:ext>
            <a:ext uri="{147F2762-F138-4A5C-976F-8EAC2B608ADB}">
              <a16:predDERef xmlns:a16="http://schemas.microsoft.com/office/drawing/2014/main" pred="{00000000-0008-0000-1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68581</xdr:colOff>
      <xdr:row>23</xdr:row>
      <xdr:rowOff>83820</xdr:rowOff>
    </xdr:from>
    <xdr:to>
      <xdr:col>9</xdr:col>
      <xdr:colOff>281940</xdr:colOff>
      <xdr:row>43</xdr:row>
      <xdr:rowOff>108585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300-000005000000}"/>
            </a:ext>
            <a:ext uri="{147F2762-F138-4A5C-976F-8EAC2B608ADB}">
              <a16:predDERef xmlns:a16="http://schemas.microsoft.com/office/drawing/2014/main" pred="{00000000-0008-0000-1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91440</xdr:colOff>
      <xdr:row>46</xdr:row>
      <xdr:rowOff>60960</xdr:rowOff>
    </xdr:from>
    <xdr:to>
      <xdr:col>9</xdr:col>
      <xdr:colOff>380999</xdr:colOff>
      <xdr:row>59</xdr:row>
      <xdr:rowOff>129540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C14A90C-4339-4525-8899-1B0BC938AC4E}"/>
            </a:ext>
            <a:ext uri="{147F2762-F138-4A5C-976F-8EAC2B608ADB}">
              <a16:predDERef xmlns:a16="http://schemas.microsoft.com/office/drawing/2014/main" pred="{00000000-0008-0000-1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9525</xdr:colOff>
      <xdr:row>46</xdr:row>
      <xdr:rowOff>28575</xdr:rowOff>
    </xdr:from>
    <xdr:to>
      <xdr:col>18</xdr:col>
      <xdr:colOff>238125</xdr:colOff>
      <xdr:row>60</xdr:row>
      <xdr:rowOff>157163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9699BEE-0E95-475F-825C-84EEC5336CC4}"/>
            </a:ext>
            <a:ext uri="{147F2762-F138-4A5C-976F-8EAC2B608ADB}">
              <a16:predDERef xmlns:a16="http://schemas.microsoft.com/office/drawing/2014/main" pred="{EC14A90C-4339-4525-8899-1B0BC938AC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609600</xdr:colOff>
      <xdr:row>45</xdr:row>
      <xdr:rowOff>190500</xdr:rowOff>
    </xdr:from>
    <xdr:to>
      <xdr:col>26</xdr:col>
      <xdr:colOff>38100</xdr:colOff>
      <xdr:row>61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7E07092-978E-44AC-9282-DEB25ED7FEC7}"/>
            </a:ext>
            <a:ext uri="{147F2762-F138-4A5C-976F-8EAC2B608ADB}">
              <a16:predDERef xmlns:a16="http://schemas.microsoft.com/office/drawing/2014/main" pred="{F9699BEE-0E95-475F-825C-84EEC5336C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30</xdr:col>
      <xdr:colOff>380999</xdr:colOff>
      <xdr:row>57</xdr:row>
      <xdr:rowOff>157162</xdr:rowOff>
    </xdr:from>
    <xdr:to>
      <xdr:col>41</xdr:col>
      <xdr:colOff>209550</xdr:colOff>
      <xdr:row>74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E3E7F9A-3F4B-B394-E52A-91FEC2B1006A}"/>
            </a:ext>
            <a:ext uri="{147F2762-F138-4A5C-976F-8EAC2B608ADB}">
              <a16:predDERef xmlns:a16="http://schemas.microsoft.com/office/drawing/2014/main" pred="{B7E07092-978E-44AC-9282-DEB25ED7FE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91441</xdr:colOff>
      <xdr:row>60</xdr:row>
      <xdr:rowOff>175260</xdr:rowOff>
    </xdr:from>
    <xdr:to>
      <xdr:col>9</xdr:col>
      <xdr:colOff>405766</xdr:colOff>
      <xdr:row>77</xdr:row>
      <xdr:rowOff>111443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F648AE90-77EA-43BB-ACBE-D17B3BC6CF27}"/>
            </a:ext>
            <a:ext uri="{147F2762-F138-4A5C-976F-8EAC2B608ADB}">
              <a16:predDERef xmlns:a16="http://schemas.microsoft.com/office/drawing/2014/main" pred="{9E3E7F9A-3F4B-B394-E52A-91FEC2B100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0</xdr:colOff>
      <xdr:row>23</xdr:row>
      <xdr:rowOff>0</xdr:rowOff>
    </xdr:from>
    <xdr:to>
      <xdr:col>17</xdr:col>
      <xdr:colOff>685800</xdr:colOff>
      <xdr:row>44</xdr:row>
      <xdr:rowOff>41910</xdr:rowOff>
    </xdr:to>
    <xdr:graphicFrame macro="">
      <xdr:nvGraphicFramePr>
        <xdr:cNvPr id="17" name="Gráfico 12">
          <a:extLst>
            <a:ext uri="{FF2B5EF4-FFF2-40B4-BE49-F238E27FC236}">
              <a16:creationId xmlns:a16="http://schemas.microsoft.com/office/drawing/2014/main" id="{26E195C8-7005-4F9F-B42B-3166353818BF}"/>
            </a:ext>
            <a:ext uri="{147F2762-F138-4A5C-976F-8EAC2B608ADB}">
              <a16:predDERef xmlns:a16="http://schemas.microsoft.com/office/drawing/2014/main" pred="{F648AE90-77EA-43BB-ACBE-D17B3BC6C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struturacao.suparc@gmail.com;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linkedin.com/in/pedro-henrique-08849b233/" TargetMode="External"/><Relationship Id="rId7" Type="http://schemas.openxmlformats.org/officeDocument/2006/relationships/hyperlink" Target="https://www.linkedin.com/in/jo%C3%A3o-mac%C3%AAdo-560540119/" TargetMode="External"/><Relationship Id="rId12" Type="http://schemas.openxmlformats.org/officeDocument/2006/relationships/hyperlink" Target="https://www.linkedin.com/in/antonio-francisco-santana-da-silva-9811104b/" TargetMode="External"/><Relationship Id="rId2" Type="http://schemas.openxmlformats.org/officeDocument/2006/relationships/hyperlink" Target="https://www.linkedin.com/in/caio-val%C3%A9rio-247a1277/" TargetMode="External"/><Relationship Id="rId1" Type="http://schemas.openxmlformats.org/officeDocument/2006/relationships/hyperlink" Target="https://www.linkedin.com/in/carloseduardosa2022/" TargetMode="External"/><Relationship Id="rId6" Type="http://schemas.openxmlformats.org/officeDocument/2006/relationships/hyperlink" Target="https://www.linkedin.com/in/jo%C3%A3o-paulo-dos-santos-silva-0518b71b7/" TargetMode="External"/><Relationship Id="rId11" Type="http://schemas.openxmlformats.org/officeDocument/2006/relationships/hyperlink" Target="mailto:ouvidoria@sead.pi.gov.br" TargetMode="External"/><Relationship Id="rId5" Type="http://schemas.openxmlformats.org/officeDocument/2006/relationships/hyperlink" Target="https://www.linkedin.com/in/s%C3%A2mia-jales-012598212/?utm_source=share&amp;utm_campaign=share_via&amp;utm_content=profile&amp;utm_medium=ios_app" TargetMode="External"/><Relationship Id="rId10" Type="http://schemas.openxmlformats.org/officeDocument/2006/relationships/hyperlink" Target="mailto:dep.ppp@sead.pi.gov.br" TargetMode="External"/><Relationship Id="rId4" Type="http://schemas.openxmlformats.org/officeDocument/2006/relationships/hyperlink" Target="https://www.linkedin.com/in/ericmarinhonascimento/" TargetMode="External"/><Relationship Id="rId9" Type="http://schemas.openxmlformats.org/officeDocument/2006/relationships/hyperlink" Target="mailto:ouvidoria@sead.pi.gov.br" TargetMode="External"/><Relationship Id="rId14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normasinternet2.receita.fazenda.gov.br/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ercadolivre.com.br/catraca-facial--academia--mais-vendida--1-ano-de-garantia/up/MLBU2727985025" TargetMode="External"/><Relationship Id="rId13" Type="http://schemas.openxmlformats.org/officeDocument/2006/relationships/hyperlink" Target="https://catracafacial.com.br/catracas-com-leitor-facial" TargetMode="External"/><Relationship Id="rId3" Type="http://schemas.openxmlformats.org/officeDocument/2006/relationships/hyperlink" Target="https://www.sportnautica.net/motores/popa/4-tempos/motor-de-popa-150hp-l-3-0l-efi-sea-pro-4t-mercury?parceiro=4051" TargetMode="External"/><Relationship Id="rId7" Type="http://schemas.openxmlformats.org/officeDocument/2006/relationships/hyperlink" Target="https://www.mercadolivre.com.br/catraca-facial-de-acesso-3mil-face-academia/up/MLBU3232987166" TargetMode="External"/><Relationship Id="rId12" Type="http://schemas.openxmlformats.org/officeDocument/2006/relationships/hyperlink" Target="https://www.mercadolivre.com.br/catraca-facial-controlid-idblock-next-com-duas-leitoras/up/MLBU1976987367" TargetMode="External"/><Relationship Id="rId2" Type="http://schemas.openxmlformats.org/officeDocument/2006/relationships/hyperlink" Target="https://www.martinellimotores.com.br/motor-de-popa-mercury-150hp-pro-xs-4-tempos-preco-produtor-rural-e-pj?utm_source=Site&amp;utm_medium=GoogleMerchant&amp;utm_campaign=GoogleMerchant&amp;gad_source=4&amp;gad_campaignid=9105436307&amp;gbraid=0AAAAACf7FYHqSySVgFhZfiV3AGoebbvCh&amp;gclid=CjwKCAjw89jGBhB0EiwA2o1Onyotrrq91PpDK_uP1s7tDp0He2lTk_kt6peOg2PpQxBgTbN5xKh6KhoC8UkQAvD_BwE" TargetMode="External"/><Relationship Id="rId1" Type="http://schemas.openxmlformats.org/officeDocument/2006/relationships/hyperlink" Target="https://akkarnautica.com.br/products/motor-de-popa-mercury-150hp-150-l-3-0l-efi-4-stk-pro-xs-rabeta-20-4-tempos-com-power-trim?variant=45105422598315&amp;country=BR&amp;currency=BRL&amp;utm_medium=product_sync&amp;utm_source=google&amp;utm_content=sag_organic&amp;utm_campaign=sag_organic&amp;gad_source=4&amp;gad_campaignid=22484950286&amp;gbraid=0AAAAA_YNA4eKvwb-t6jCfjP3d_JCHRD48&amp;gclid=CjwKCAjw89jGBhB0EiwA2o1On1_LEySwj1zINZk2iVWqgukmA9T4Y_pZu8h6Q4t7JkUVXTYG-bgQ6RoCQI8QAvD_BwE" TargetMode="External"/><Relationship Id="rId6" Type="http://schemas.openxmlformats.org/officeDocument/2006/relationships/hyperlink" Target="https://www.pescaca.com.br/motores-de-popa-mercury/65-a-150hp/motor-mercury-150hp-4-tempos-partida-eletrica?parceiro=3100&amp;gad_source=4&amp;gad_campaignid=22245237063&amp;gbraid=0AAAAApFPEBu4W5FxtnVUaRiST2LszhQ-0&amp;gclid=CjwKCAjw89jGBhB0EiwA2o1On_N4GeusszIKBxBmMRvmqkJbWfDrUgZhzZOuPlEYCXp_EcmbWeCD9RoC-QEQAvD_BwE" TargetMode="External"/><Relationship Id="rId11" Type="http://schemas.openxmlformats.org/officeDocument/2006/relationships/hyperlink" Target="https://www.mercadolivre.com.br/catraca-revolution-4-topdata-facial/up/MLBU3319294219" TargetMode="External"/><Relationship Id="rId5" Type="http://schemas.openxmlformats.org/officeDocument/2006/relationships/hyperlink" Target="https://www.pescaca.com.br/motores-de-popa-mercury/65-a-150hp/motor-mercury-150-pro-xs-4-tempos-partida-eletrica?parceiro=3100" TargetMode="External"/><Relationship Id="rId15" Type="http://schemas.openxmlformats.org/officeDocument/2006/relationships/hyperlink" Target="https://www.controlid.com.br/controle-de-acesso/idblock-next-bqc/" TargetMode="External"/><Relationship Id="rId10" Type="http://schemas.openxmlformats.org/officeDocument/2006/relationships/hyperlink" Target="https://www.mercadolivre.com.br/catraca-de-acesso-facial-e-cartao-proximidade/up/MLBU1426166263" TargetMode="External"/><Relationship Id="rId4" Type="http://schemas.openxmlformats.org/officeDocument/2006/relationships/hyperlink" Target="https://www.shoppingmaritimo.com.br/motores/motor-de-popa-mercury-150hp-elpt-3-0l-sea-pro-efi-branco-2025-0km?parceiro=3&amp;gad_source=4&amp;gad_campaignid=17336056032&amp;gbraid=0AAAAADE55Ty9wJOoDoAXLedLYzFmqwA3_&amp;gclid=CjwKCAjw89jGBhB0EiwA2o1Onxf6woJuuEROEBn9jWN_aPFMx_63xv9iF675J-hIj0aiudg7XyfvuBoC48wQAvD_BwE" TargetMode="External"/><Relationship Id="rId9" Type="http://schemas.openxmlformats.org/officeDocument/2006/relationships/hyperlink" Target="https://www.mercadolivre.com.br/catraca-ponto-system-v7-facial-com-software/up/MLBU3263554933" TargetMode="External"/><Relationship Id="rId14" Type="http://schemas.openxmlformats.org/officeDocument/2006/relationships/hyperlink" Target="https://www.intelbras.com/pt-br/controle-de-acesso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s://pages.stern.nyu.edu/~adamodar/New_Home_Page/datafile/ctryprem.html" TargetMode="External"/><Relationship Id="rId13" Type="http://schemas.openxmlformats.org/officeDocument/2006/relationships/hyperlink" Target="https://pages.stern.nyu.edu/~adamodar/New_Home_Page/datafile/Betas.html" TargetMode="External"/><Relationship Id="rId18" Type="http://schemas.openxmlformats.org/officeDocument/2006/relationships/hyperlink" Target="https://pages.stern.nyu.edu/~adamodar/New_Home_Page/datafile/ctryprem.html" TargetMode="External"/><Relationship Id="rId3" Type="http://schemas.openxmlformats.org/officeDocument/2006/relationships/hyperlink" Target="https://pages.stern.nyu.edu/~adamodar/New_Home_Page/datafile/Betas.html" TargetMode="External"/><Relationship Id="rId21" Type="http://schemas.openxmlformats.org/officeDocument/2006/relationships/hyperlink" Target="https://www.global-rates.com/en/inflation/cpi/4/united-states/" TargetMode="External"/><Relationship Id="rId7" Type="http://schemas.openxmlformats.org/officeDocument/2006/relationships/hyperlink" Target="http://www.ipeadata.gov.br/ExibeSerie.aspx?serid=40940&amp;module=M" TargetMode="External"/><Relationship Id="rId12" Type="http://schemas.openxmlformats.org/officeDocument/2006/relationships/hyperlink" Target="https://pages.stern.nyu.edu/~adamodar/New_Home_Page/datafile/optvar.html" TargetMode="External"/><Relationship Id="rId17" Type="http://schemas.openxmlformats.org/officeDocument/2006/relationships/hyperlink" Target="https://www.inflation.eu/en/inflation-rates/united-states/historic-inflation/cpi-inflation-united-states.aspx" TargetMode="External"/><Relationship Id="rId2" Type="http://schemas.openxmlformats.org/officeDocument/2006/relationships/hyperlink" Target="https://view.officeapps.live.com/op/view.aspx?src=https%3A%2F%2Fpages.stern.nyu.edu%2F~adamodar%2Fpc%2Fimplprem%2FERPbymonth.xlsx&amp;wdOrigin=BROWSELINK" TargetMode="External"/><Relationship Id="rId16" Type="http://schemas.openxmlformats.org/officeDocument/2006/relationships/hyperlink" Target="https://www.arsesp.sp.gov.br/SitePages/Consultas-Audiencias-Publicas.aspx" TargetMode="External"/><Relationship Id="rId20" Type="http://schemas.openxmlformats.org/officeDocument/2006/relationships/hyperlink" Target="https://br.investing.com/economic-calendar/cpi-733/" TargetMode="External"/><Relationship Id="rId1" Type="http://schemas.openxmlformats.org/officeDocument/2006/relationships/hyperlink" Target="https://www.kroll.com/en/insights/publications/cost-of-capital/recommended-us-equity-risk-premium-and-corresponding-risk-free-rates" TargetMode="External"/><Relationship Id="rId6" Type="http://schemas.openxmlformats.org/officeDocument/2006/relationships/hyperlink" Target="https://view.officeapps.live.com/op/view.aspx?src=https%3A%2F%2Fpages.stern.nyu.edu%2F~adamodar%2Fpc%2Fimplprem%2FERPbymonth.xlsx&amp;wdOrigin=BROWSELINK" TargetMode="External"/><Relationship Id="rId11" Type="http://schemas.openxmlformats.org/officeDocument/2006/relationships/hyperlink" Target="https://pages.stern.nyu.edu/~adamodar/New_Home_Page/datafile/optvar.html" TargetMode="External"/><Relationship Id="rId5" Type="http://schemas.openxmlformats.org/officeDocument/2006/relationships/hyperlink" Target="https://www.kroll.com/en/insights/publications/cost-of-capital/recommended-us-equity-risk-premium-and-corresponding-risk-free-rates" TargetMode="External"/><Relationship Id="rId15" Type="http://schemas.openxmlformats.org/officeDocument/2006/relationships/hyperlink" Target="https://sidra.ibge.gov.br/tabela/1737" TargetMode="External"/><Relationship Id="rId23" Type="http://schemas.openxmlformats.org/officeDocument/2006/relationships/printerSettings" Target="../printerSettings/printerSettings6.bin"/><Relationship Id="rId10" Type="http://schemas.openxmlformats.org/officeDocument/2006/relationships/hyperlink" Target="https://sidra.ibge.gov.br/tabela/1737" TargetMode="External"/><Relationship Id="rId19" Type="http://schemas.openxmlformats.org/officeDocument/2006/relationships/hyperlink" Target="https://www.bcb.gov.br/content/focus/focus/R20250627.pdf" TargetMode="External"/><Relationship Id="rId4" Type="http://schemas.openxmlformats.org/officeDocument/2006/relationships/hyperlink" Target="https://pages.stern.nyu.edu/~adamodar/New_Home_Page/datafile/Betas.html" TargetMode="External"/><Relationship Id="rId9" Type="http://schemas.openxmlformats.org/officeDocument/2006/relationships/hyperlink" Target="https://pages.stern.nyu.edu/~adamodar/New_Home_Page/datafile/ctryprem.html" TargetMode="External"/><Relationship Id="rId14" Type="http://schemas.openxmlformats.org/officeDocument/2006/relationships/hyperlink" Target="http://www.ipeadata.gov.br/ExibeSerie.aspx?serid=40940&amp;module=M" TargetMode="External"/><Relationship Id="rId22" Type="http://schemas.openxmlformats.org/officeDocument/2006/relationships/hyperlink" Target="https://www.bndes.gov.br/wps/portal/site/home/financiamento/guia/custos-financeiros/historico-da-parcela-fixa-da-tlp/!ut/p/z0/hY49j4JAEIZ_iwUlmfXjvFgSY7gYiLG5cNuYcVlgTphFdlDv3x8YCyst3yfvF2jIQDNeqEQhx1gP-kcvD5_7eP0VLabJbrObqX2cfC_T1XYezz9gC_q1YWiYdek6LUG3KFVIXDjIKvLiOjIuzDFssTO2xrCgG45a6naM0e_5rCPQxrHYm0B25Nz6A7EXkt7cDwaqco0NVEGMbAgby-J8oMqexr4nGCjTD5v-QS11o-_tj_akj3_XaPIPEYLBVg!!/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bndes.gov.br/wps/portal/site/home/financiamento/guia/custos-financeiros/historico-da-parcela-fixa-da-tlp" TargetMode="External"/><Relationship Id="rId1" Type="http://schemas.openxmlformats.org/officeDocument/2006/relationships/hyperlink" Target="https://ia800806.us.archive.org/26/items/408196-study-on-cost-overruns/408196-study-on-cost-overruns.pdf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wmmotors.com.br/pt/modelos/ora-03-skin" TargetMode="External"/><Relationship Id="rId7" Type="http://schemas.openxmlformats.org/officeDocument/2006/relationships/drawing" Target="../drawings/drawing3.xml"/><Relationship Id="rId2" Type="http://schemas.openxmlformats.org/officeDocument/2006/relationships/hyperlink" Target="https://www.byd.com/br/car/dolphin-plus" TargetMode="External"/><Relationship Id="rId1" Type="http://schemas.openxmlformats.org/officeDocument/2006/relationships/hyperlink" Target="https://www.byd.com/br/car/dolphin-mini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ibge.gov.br/estatisticas/economicas/comercio/9016-estatisticas-do-cadastro-central-de-empresas.html" TargetMode="External"/><Relationship Id="rId4" Type="http://schemas.openxmlformats.org/officeDocument/2006/relationships/hyperlink" Target="https://www.gov.br/transportes/pt-br/assuntos/transito/conteudo-Senatran/frota-de-veiculos-2025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zapimoveis.com.br/imovel/aluguel-conjunto-comercial-sala-fatima-teresina-pi-40m2-id-2687790017/?source=ranking%2Crp" TargetMode="External"/><Relationship Id="rId18" Type="http://schemas.openxmlformats.org/officeDocument/2006/relationships/hyperlink" Target="https://www.google.com.br/maps/place/5%C2%B003'38.6%22S+42%C2%B047'06.0%22W/@-5.0607222,-42.7875749,17z/data=!3m1!4b1!4m4!3m3!8m2!3d-5.0607222!4d-42.785?entry=ttu&amp;g_ep=EgoyMDI1MDgxOS4wIKXMDSoASAFQAw%3D%3D" TargetMode="External"/><Relationship Id="rId26" Type="http://schemas.openxmlformats.org/officeDocument/2006/relationships/hyperlink" Target="https://www.zapimoveis.com.br/imovel/aluguel-conjunto-comercial-sala-com-cozinha-joquei-teresina-pi-40m2-id-2821467218/?source=ranking%2Crp" TargetMode="External"/><Relationship Id="rId39" Type="http://schemas.openxmlformats.org/officeDocument/2006/relationships/hyperlink" Target="https://www.google.com/maps/place/5%C2%B004'55.8%22S+42%C2%B047'23.9%22W/@-5.0821667,-42.7925471,17z/data=!3m1!4b1!4m4!3m3!8m2!3d-5.0821667!4d-42.7899722?hl=pt-BR&amp;entry=ttu&amp;g_ep=EgoyMDI1MDgxOS4wIKXMDSoASAFQAw%3D%3D" TargetMode="External"/><Relationship Id="rId21" Type="http://schemas.openxmlformats.org/officeDocument/2006/relationships/hyperlink" Target="https://www.google.com.br/maps/place/5%C2%B003'54.7%22S+42%C2%B047'38.0%22W/@-5.0651944,-42.7964638,17z/data=!3m1!4b1!4m4!3m3!8m2!3d-5.0651944!4d-42.7938889?entry=ttu&amp;g_ep=EgoyMDI1MDgxOS4wIKXMDSoASAFQAw%3D%3D" TargetMode="External"/><Relationship Id="rId34" Type="http://schemas.openxmlformats.org/officeDocument/2006/relationships/hyperlink" Target="https://www.zapimoveis.com.br/imovel/aluguel-conjunto-comercial-sala-sao-cristovao-teresina-pi-28m2-id-2777361845/?source=ranking%2Crp" TargetMode="External"/><Relationship Id="rId42" Type="http://schemas.openxmlformats.org/officeDocument/2006/relationships/hyperlink" Target="https://www.zapimoveis.com.br/imovel/aluguel-conjunto-comercial-sala-com-cozinha-noivos-teresina-pi-50m2-id-2710405054/?source=ranking%2Crp" TargetMode="External"/><Relationship Id="rId47" Type="http://schemas.openxmlformats.org/officeDocument/2006/relationships/hyperlink" Target="https://www.zapimoveis.com.br/imovel/aluguel-conjunto-comercial-sala-com-cozinha-noivos-teresina-pi-70m2-id-2775539227/?source=ranking%2Crp" TargetMode="External"/><Relationship Id="rId50" Type="http://schemas.openxmlformats.org/officeDocument/2006/relationships/printerSettings" Target="../printerSettings/printerSettings3.bin"/><Relationship Id="rId7" Type="http://schemas.openxmlformats.org/officeDocument/2006/relationships/hyperlink" Target="https://www.google.com.br/maps/place/5%C2%B004'18.8%22S+42%C2%B047'11.7%22W/@-5.0790258,-42.8010573,15z/data=!4m4!3m3!8m2!3d-5.0718889!4d-42.7865833?entry=ttu&amp;g_ep=EgoyMDI1MDgxOS4wIKXMDSoASAFQAw%3D%3D" TargetMode="External"/><Relationship Id="rId2" Type="http://schemas.openxmlformats.org/officeDocument/2006/relationships/hyperlink" Target="https://www.zapimoveis.com.br/imovel/aluguel-conjunto-comercial-sala-mobiliado-joquei-teresina-pi-20m2-id-2658496476/?source=ranking%2Crp" TargetMode="External"/><Relationship Id="rId16" Type="http://schemas.openxmlformats.org/officeDocument/2006/relationships/hyperlink" Target="https://www.zapimoveis.com.br/imovel/aluguel-conjunto-comercial-sala-1-quarto-sao-cristovao-teresina-pi-34m2-id-2739260737/?source=ranking%2Crp" TargetMode="External"/><Relationship Id="rId29" Type="http://schemas.openxmlformats.org/officeDocument/2006/relationships/hyperlink" Target="https://www.zapimoveis.com.br/imovel/aluguel-conjunto-comercial-sala-3-quartos-noivos-teresina-pi-50m2-id-2737081394/?source=ranking%2Crp" TargetMode="External"/><Relationship Id="rId11" Type="http://schemas.openxmlformats.org/officeDocument/2006/relationships/hyperlink" Target="https://www.google.com.br/maps/place/5%C2%B004'14.3%22S+42%C2%B047'43.0%22W/@-5.0705194,-42.7990304,16.5z/data=!4m4!3m3!8m2!3d-5.0706389!4d-42.7952778?entry=ttu&amp;g_ep=EgoyMDI1MDgxOS4wIKXMDSoASAFQAw%3D%3D" TargetMode="External"/><Relationship Id="rId24" Type="http://schemas.openxmlformats.org/officeDocument/2006/relationships/hyperlink" Target="https://www.google.com.br/maps/place/5%C2%B003'20.3%22S+42%C2%B046'56.8%22W/@-5.0588738,-42.7976113,14.5z/data=!4m4!3m3!8m2!3d-5.0556389!4d-42.7824444?entry=ttu&amp;g_ep=EgoyMDI1MDgxOS4wIKXMDSoASAFQAw%3D%3D" TargetMode="External"/><Relationship Id="rId32" Type="http://schemas.openxmlformats.org/officeDocument/2006/relationships/hyperlink" Target="https://www.google.com.br/maps/place/5%C2%B005'00.1%22S+42%C2%B047'19.9%22W/@-5.0833611,-42.791436,17z/data=!3m1!4b1!4m4!3m3!8m2!3d-5.0833611!4d-42.7888611?entry=ttu&amp;g_ep=EgoyMDI1MDgxOS4wIKXMDSoASAFQAw%3D%3D" TargetMode="External"/><Relationship Id="rId37" Type="http://schemas.openxmlformats.org/officeDocument/2006/relationships/hyperlink" Target="https://www.zapimoveis.com.br/imovel/aluguel-loja-salao-com-patio-estacionamento-sao-cristovao-teresina-pi-120m2-id-2794953421/?source=ranking%2Crp" TargetMode="External"/><Relationship Id="rId40" Type="http://schemas.openxmlformats.org/officeDocument/2006/relationships/hyperlink" Target="https://www.zapimoveis.com.br/imovel/aluguel-conjunto-comercial-sala-2-quartos-noivos-teresina-pi-55m2-id-2806802634/?source=ranking%2Crp" TargetMode="External"/><Relationship Id="rId45" Type="http://schemas.openxmlformats.org/officeDocument/2006/relationships/hyperlink" Target="https://www.zapimoveis.com.br/imovel/aluguel-predio-7-quartos-noivos-teresina-pi-200m2-id-2741135970/?source=ranking%2Crp" TargetMode="External"/><Relationship Id="rId5" Type="http://schemas.openxmlformats.org/officeDocument/2006/relationships/hyperlink" Target="https://www.zapimoveis.com.br/imovel/aluguel-loja-salao-noivos-teresina-pi-50m2-id-2827639226/?source=ranking%2Crp" TargetMode="External"/><Relationship Id="rId15" Type="http://schemas.openxmlformats.org/officeDocument/2006/relationships/hyperlink" Target="https://www.google.com.br/maps/place/5%C2%B004'34.6%22S+42%C2%B046'44.3%22W/@-5.0762778,-42.7815471,17z/data=!3m1!4b1!4m4!3m3!8m2!3d-5.0762778!4d-42.7789722?entry=ttu&amp;g_ep=EgoyMDI1MDgxOS4wIKXMDSoASAFQAw%3D%3D" TargetMode="External"/><Relationship Id="rId23" Type="http://schemas.openxmlformats.org/officeDocument/2006/relationships/hyperlink" Target="https://www.google.com.br/maps/place/5%C2%B004'40.7%22S+42%C2%B046'58.9%22W/@-5.0813437,-42.7888528,15.75z/data=!4m4!3m3!8m2!3d-5.0779722!4d-42.7830278?entry=ttu&amp;g_ep=EgoyMDI1MDgxOS4wIKXMDSoASAFQAw%3D%3D" TargetMode="External"/><Relationship Id="rId28" Type="http://schemas.openxmlformats.org/officeDocument/2006/relationships/hyperlink" Target="https://www.google.com.br/maps/place/5%C2%B004'30.7%22S+42%C2%B046'19.1%22W/@-5.0751944,-42.7745471,17z/data=!3m1!4b1!4m4!3m3!8m2!3d-5.0751944!4d-42.7719722?entry=ttu&amp;g_ep=EgoyMDI1MDgxOS4wIKXMDSoASAFQAw%3D%3D" TargetMode="External"/><Relationship Id="rId36" Type="http://schemas.openxmlformats.org/officeDocument/2006/relationships/hyperlink" Target="https://www.zapimoveis.com.br/imovel/aluguel-conjunto-comercial-sala-noivos-teresina-pi-36m2-id-2777360542/?source=ranking%2Crp" TargetMode="External"/><Relationship Id="rId49" Type="http://schemas.openxmlformats.org/officeDocument/2006/relationships/hyperlink" Target="https://www.zapimoveis.com.br/imovel/aluguel-conjunto-comercial-sala-com-escritorio-noivos-teresina-pi-175m2-id-2777360757/?source=ranking%2Crp" TargetMode="External"/><Relationship Id="rId10" Type="http://schemas.openxmlformats.org/officeDocument/2006/relationships/hyperlink" Target="https://www.zapimoveis.com.br/imovel/aluguel-conjunto-comercial-sala-com-cozinha-ininga-teresina-pi-43m2-id-2818174132/?source=ranking%2Crp" TargetMode="External"/><Relationship Id="rId19" Type="http://schemas.openxmlformats.org/officeDocument/2006/relationships/hyperlink" Target="https://www.zapimoveis.com.br/imovel/aluguel-casa-2-quartos-sao-cristovao-teresina-pi-200m2-id-2825149689/?source=ranking%2Crp" TargetMode="External"/><Relationship Id="rId31" Type="http://schemas.openxmlformats.org/officeDocument/2006/relationships/hyperlink" Target="https://www.zapimoveis.com.br/imovel/aluguel-conjunto-comercial-sala-2-quartos-joquei-teresina-48m2-id-2807018243/?source=ranking%2Crp" TargetMode="External"/><Relationship Id="rId44" Type="http://schemas.openxmlformats.org/officeDocument/2006/relationships/hyperlink" Target="https://www.google.com/maps/place/5%C2%B005'00.1%22S+42%C2%B047'19.9%22W/@-5.0833611,-42.791436,17z/data=!3m1!4b1!4m4!3m3!8m2!3d-5.0833611!4d-42.7888611?hl=pt-BR&amp;entry=ttu&amp;g_ep=EgoyMDI1MDgxOS4wIKXMDSoASAFQAw%3D%3D" TargetMode="External"/><Relationship Id="rId4" Type="http://schemas.openxmlformats.org/officeDocument/2006/relationships/hyperlink" Target="https://www.google.com.br/maps/place/5%C2%B003'48.0%22S+42%C2%B047'47.8%22W/@-5.0633333,-42.799186,17z/data=!3m1!4b1!4m4!3m3!8m2!3d-5.0633333!4d-42.7966111?entry=ttu&amp;g_ep=EgoyMDI1MDgxOS4wIKXMDSoASAFQAw%3D%3D" TargetMode="External"/><Relationship Id="rId9" Type="http://schemas.openxmlformats.org/officeDocument/2006/relationships/hyperlink" Target="https://www.google.com.br/maps/place/5%C2%B003'51.9%22S+42%C2%B047'08.2%22W/@-5.0746317,-42.803225,15z/data=!4m4!3m3!8m2!3d-5.0644167!4d-42.7856111?entry=ttu&amp;g_ep=EgoyMDI1MDgxOS4wIKXMDSoASAFQAw%3D%3D" TargetMode="External"/><Relationship Id="rId14" Type="http://schemas.openxmlformats.org/officeDocument/2006/relationships/hyperlink" Target="https://www.google.com.br/maps/place/5%C2%B003'48.2%22S+42%C2%B047'47.0%22W/@-5.0633889,-42.7989638,17z/data=!3m1!4b1!4m4!3m3!8m2!3d-5.0633889!4d-42.7963889?entry=ttu&amp;g_ep=EgoyMDI1MDgxOS4wIKXMDSoASAFQAw%3D%3D" TargetMode="External"/><Relationship Id="rId22" Type="http://schemas.openxmlformats.org/officeDocument/2006/relationships/hyperlink" Target="https://www.zapimoveis.com.br/imovel/aluguel-loja-salao-fatima-teresina-pi-31m2-id-2824656437/?source=ranking%2Crp" TargetMode="External"/><Relationship Id="rId27" Type="http://schemas.openxmlformats.org/officeDocument/2006/relationships/hyperlink" Target="https://www.google.com.br/maps/place/5%C2%B004'38.7%22S+42%C2%B047'48.1%22W/@-5.076519,-42.8017262,16z/data=!4m4!3m3!8m2!3d-5.0774167!4d-42.7966944?entry=ttu&amp;g_ep=EgoyMDI1MDgxOS4wIKXMDSoASAFQAw%3D%3D" TargetMode="External"/><Relationship Id="rId30" Type="http://schemas.openxmlformats.org/officeDocument/2006/relationships/hyperlink" Target="https://www.zapimoveis.com.br/imovel/aluguel-casa-1-quarto-sao-cristovao-teresina-200m2-id-2741436875/?source=ranking%2Crp" TargetMode="External"/><Relationship Id="rId35" Type="http://schemas.openxmlformats.org/officeDocument/2006/relationships/hyperlink" Target="https://www.google.com/maps?ll=-5.085275,-42.790646&amp;z=17&amp;t=m&amp;hl=pt-BR&amp;gl=US&amp;mapclient=embed&amp;q=Rua+Nogueira+Tapety+-+Noivos+Teresina+-+PI+64046-020" TargetMode="External"/><Relationship Id="rId43" Type="http://schemas.openxmlformats.org/officeDocument/2006/relationships/hyperlink" Target="https://www.zapimoveis.com.br/imovel/aluguel-conjunto-comercial-sala-noivos-teresina-pi-60m2-id-2725256036/?source=ranking%2Crp" TargetMode="External"/><Relationship Id="rId48" Type="http://schemas.openxmlformats.org/officeDocument/2006/relationships/hyperlink" Target="https://www.google.com/maps/place/R.+Raimundo+da+Paz+-+Noivos,+Teresina+-+PI,+64046-100,+Brasil/@-5.084202,-42.789289,17z/data=!4m6!3m5!1s0x78e39f79d702a4f:0xa46efcbf58856b4b!8m2!3d-5.08215!4d-42.7879585!16s%2Fg%2F1ymwgymc6?hl=pt-BR&amp;entry=ttu&amp;g_ep=EgoyMDI1MDgxOS4wIKXMDSoASAFQAw%3D%3D" TargetMode="External"/><Relationship Id="rId8" Type="http://schemas.openxmlformats.org/officeDocument/2006/relationships/hyperlink" Target="https://www.zapimoveis.com.br/imovel/aluguel-conjunto-comercial-sala-joquei-teresina-pi-10m2-id-2738341117/?source=ranking%2Crp" TargetMode="External"/><Relationship Id="rId51" Type="http://schemas.openxmlformats.org/officeDocument/2006/relationships/drawing" Target="../drawings/drawing4.xml"/><Relationship Id="rId3" Type="http://schemas.openxmlformats.org/officeDocument/2006/relationships/hyperlink" Target="https://www.zapimoveis.com.br/imovel/aluguel-conjunto-comercial-sala-fatima-teresina-pi-75m2-id-2751309798/?source=ranking%2Crp" TargetMode="External"/><Relationship Id="rId12" Type="http://schemas.openxmlformats.org/officeDocument/2006/relationships/hyperlink" Target="https://www.zapimoveis.com.br/imovel/aluguel-loja-salao-3-quartos-fatima-teresina-pi-60m2-id-2829943129/?source=ranking%2Crp" TargetMode="External"/><Relationship Id="rId17" Type="http://schemas.openxmlformats.org/officeDocument/2006/relationships/hyperlink" Target="https://www.zapimoveis.com.br/imovel/aluguel-loja-salao-horto-teresina-pi-80m2-id-2824875630/?source=ranking%2Crp" TargetMode="External"/><Relationship Id="rId25" Type="http://schemas.openxmlformats.org/officeDocument/2006/relationships/hyperlink" Target="https://www.zapimoveis.com.br/imovel/aluguel-loja-salao-1-quarto-ininga-teresina-pi-40m2-id-2750290432/?source=ranking%2Crp" TargetMode="External"/><Relationship Id="rId33" Type="http://schemas.openxmlformats.org/officeDocument/2006/relationships/hyperlink" Target="https://www.zapimoveis.com.br/imovel/aluguel-conjunto-comercial-sala-sao-cristovao-teresina-pi-28m2-id-2777361845/?source=ranking%2Crp" TargetMode="External"/><Relationship Id="rId38" Type="http://schemas.openxmlformats.org/officeDocument/2006/relationships/hyperlink" Target="https://www.google.com/maps/place/5%C2%B004'51.3%22S+42%C2%B046'31.0%22W/@-5.0809167,-42.7778527,17z/data=!3m1!4b1!4m4!3m3!8m2!3d-5.0809167!4d-42.7752778?hl=pt-BR&amp;entry=ttu&amp;g_ep=EgoyMDI1MDgxOS4wIKXMDSoASAFQAw%3D%3D" TargetMode="External"/><Relationship Id="rId46" Type="http://schemas.openxmlformats.org/officeDocument/2006/relationships/hyperlink" Target="https://www.google.com/maps/place/5%C2%B004'50.1%22S+42%C2%B047'20.0%22W/@-5.0823393,-42.7935505,16.25z/data=!4m4!3m3!8m2!3d-5.0805833!4d-42.7888889?hl=pt-BR&amp;entry=ttu&amp;g_ep=EgoyMDI1MDgxOS4wIKXMDSoASAFQAw%3D%3D" TargetMode="External"/><Relationship Id="rId20" Type="http://schemas.openxmlformats.org/officeDocument/2006/relationships/hyperlink" Target="https://www.google.com.br/maps/place/5%C2%B004'26.8%22S+42%C2%B046'37.9%22W/@-5.0727365,-42.7926057,14.5z/data=!4m4!3m3!8m2!3d-5.0741111!4d-42.7771944?entry=ttu&amp;g_ep=EgoyMDI1MDgxOS4wIKXMDSoASAFQAw%3D%3D" TargetMode="External"/><Relationship Id="rId41" Type="http://schemas.openxmlformats.org/officeDocument/2006/relationships/hyperlink" Target="https://www.zapimoveis.com.br/imovel/aluguel-conjunto-comercial-sala-com-cozinha-noivos-teresina-pi-50m2-id-2710405054/?source=ranking%2Crp" TargetMode="External"/><Relationship Id="rId1" Type="http://schemas.openxmlformats.org/officeDocument/2006/relationships/hyperlink" Target="https://www.google.com.br/maps/place/5%C2%B004'42.0%22S+42%C2%B047'35.0%22W/@-5.0783333,-42.7956305,17z/data=!3m1!4b1!4m4!3m3!8m2!3d-5.0783333!4d-42.7930556?entry=ttu&amp;g_ep=EgoyMDI1MDgxOS4wIKXMDSoASAFQAw%3D%3D" TargetMode="External"/><Relationship Id="rId6" Type="http://schemas.openxmlformats.org/officeDocument/2006/relationships/hyperlink" Target="https://www.google.com.br/maps/place/5%C2%B005'12.1%22S+42%C2%B047'12.0%22W/@-5.0866944,-42.7892416,17z/data=!3m1!4b1!4m4!3m3!8m2!3d-5.0866944!4d-42.7866667?entry=ttu&amp;g_ep=EgoyMDI1MDgxOS4wIKXMDSoASAFQAw%3D%3D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rgb="FF0070C0"/>
  </sheetPr>
  <dimension ref="A1:R78"/>
  <sheetViews>
    <sheetView showGridLines="0" topLeftCell="A11" workbookViewId="0">
      <selection activeCell="E41" sqref="E41"/>
    </sheetView>
  </sheetViews>
  <sheetFormatPr defaultRowHeight="15" customHeight="1"/>
  <cols>
    <col min="1" max="1" width="9.140625" style="2"/>
    <col min="2" max="2" width="4.28515625" customWidth="1"/>
    <col min="3" max="3" width="41.28515625" customWidth="1"/>
    <col min="4" max="4" width="32.7109375" bestFit="1" customWidth="1"/>
    <col min="5" max="5" width="15" customWidth="1"/>
    <col min="6" max="6" width="36.28515625" bestFit="1" customWidth="1"/>
    <col min="7" max="7" width="23.7109375" bestFit="1" customWidth="1"/>
    <col min="8" max="8" width="3.85546875" customWidth="1"/>
    <col min="9" max="9" width="2.42578125" customWidth="1"/>
    <col min="10" max="10" width="34.85546875" bestFit="1" customWidth="1"/>
    <col min="11" max="11" width="31.5703125" bestFit="1" customWidth="1"/>
    <col min="12" max="12" width="2" customWidth="1"/>
    <col min="13" max="13" width="1.85546875" customWidth="1"/>
    <col min="14" max="14" width="12.5703125" bestFit="1" customWidth="1"/>
    <col min="15" max="15" width="14.42578125" bestFit="1" customWidth="1"/>
    <col min="16" max="16" width="18.28515625" bestFit="1" customWidth="1"/>
  </cols>
  <sheetData>
    <row r="1" spans="3:18" s="2" customFormat="1" ht="13.9"/>
    <row r="2" spans="3:18" s="2" customFormat="1" ht="13.9"/>
    <row r="5" spans="3:18" ht="15" customHeight="1">
      <c r="D5" s="796" t="s">
        <v>0</v>
      </c>
      <c r="E5" s="796"/>
      <c r="F5" s="796"/>
      <c r="G5" s="796"/>
    </row>
    <row r="6" spans="3:18" ht="16.5" customHeight="1">
      <c r="D6" s="796" t="s">
        <v>1</v>
      </c>
      <c r="E6" s="796"/>
      <c r="F6" s="796"/>
      <c r="G6" s="796"/>
    </row>
    <row r="7" spans="3:18" ht="14.25" customHeight="1">
      <c r="D7" s="796" t="s">
        <v>2</v>
      </c>
      <c r="E7" s="796"/>
      <c r="F7" s="796"/>
      <c r="G7" s="796"/>
    </row>
    <row r="8" spans="3:18" ht="15.75" customHeight="1">
      <c r="D8" s="796" t="s">
        <v>3</v>
      </c>
      <c r="E8" s="796"/>
      <c r="F8" s="796"/>
      <c r="G8" s="796"/>
    </row>
    <row r="9" spans="3:18" ht="14.45"/>
    <row r="10" spans="3:18" ht="15.6">
      <c r="D10" s="797" t="s">
        <v>4</v>
      </c>
      <c r="E10" s="797"/>
      <c r="F10" s="797"/>
      <c r="G10" s="797"/>
    </row>
    <row r="11" spans="3:18" ht="14.45">
      <c r="E11" t="s">
        <v>5</v>
      </c>
    </row>
    <row r="12" spans="3:18" ht="14.45">
      <c r="C12" s="732"/>
      <c r="E12" s="727"/>
    </row>
    <row r="13" spans="3:18" ht="15" customHeight="1">
      <c r="E13" s="731"/>
    </row>
    <row r="14" spans="3:18" ht="14.45">
      <c r="C14" s="793" t="s">
        <v>6</v>
      </c>
      <c r="D14" s="793"/>
      <c r="F14" s="297" t="s">
        <v>7</v>
      </c>
      <c r="G14" s="773">
        <v>35</v>
      </c>
      <c r="J14" s="794" t="s">
        <v>8</v>
      </c>
      <c r="K14" s="795"/>
      <c r="N14" s="746" t="s">
        <v>9</v>
      </c>
      <c r="O14" s="772"/>
      <c r="P14" s="772"/>
      <c r="Q14" s="772"/>
      <c r="R14" s="772"/>
    </row>
    <row r="15" spans="3:18" ht="14.45">
      <c r="C15" s="341" t="s">
        <v>10</v>
      </c>
      <c r="D15" s="679">
        <f>CAPEX!C11</f>
        <v>7730103.7522124508</v>
      </c>
      <c r="E15" s="731"/>
      <c r="F15" s="291" t="s">
        <v>11</v>
      </c>
      <c r="G15" s="15">
        <v>2026</v>
      </c>
      <c r="J15" s="410" t="s">
        <v>12</v>
      </c>
      <c r="K15" s="408" t="s">
        <v>13</v>
      </c>
      <c r="N15" s="772" t="s">
        <v>14</v>
      </c>
      <c r="O15" s="772" t="s">
        <v>15</v>
      </c>
      <c r="P15" s="772" t="s">
        <v>16</v>
      </c>
      <c r="Q15" s="772" t="s">
        <v>17</v>
      </c>
      <c r="R15" s="772" t="s">
        <v>18</v>
      </c>
    </row>
    <row r="16" spans="3:18" ht="14.45">
      <c r="C16" s="341" t="s">
        <v>19</v>
      </c>
      <c r="D16" s="679">
        <f>CAPEX!C6</f>
        <v>6223371.7599999998</v>
      </c>
      <c r="E16" s="731"/>
      <c r="F16" s="291" t="s">
        <v>20</v>
      </c>
      <c r="G16" s="192">
        <f>G15+G14</f>
        <v>2061</v>
      </c>
      <c r="J16" s="410" t="s">
        <v>21</v>
      </c>
      <c r="K16" s="408" t="s">
        <v>13</v>
      </c>
      <c r="N16" s="741">
        <v>0</v>
      </c>
      <c r="O16" s="741">
        <v>0.19989999999999999</v>
      </c>
      <c r="P16" s="741">
        <v>3.5000000000000003E-2</v>
      </c>
      <c r="Q16" s="15">
        <f t="shared" ref="Q16:Q23" si="0">IF(AND(OR($G$19=O16,$G$19&lt;O16),OR($G$19=N16,$G$19&gt;N16)), 1,0)</f>
        <v>0</v>
      </c>
      <c r="R16" s="743">
        <f>IF(Q16=0,0,P16)</f>
        <v>0</v>
      </c>
    </row>
    <row r="17" spans="3:18" ht="14.45">
      <c r="C17" s="341" t="s">
        <v>22</v>
      </c>
      <c r="D17" s="679">
        <f>E39</f>
        <v>1948710.104272651</v>
      </c>
      <c r="J17" s="410" t="s">
        <v>23</v>
      </c>
      <c r="K17" s="408" t="s">
        <v>13</v>
      </c>
      <c r="N17" s="741">
        <v>0.2</v>
      </c>
      <c r="O17" s="741">
        <v>0.39989999999999998</v>
      </c>
      <c r="P17" s="741">
        <v>0.03</v>
      </c>
      <c r="Q17" s="15">
        <f t="shared" si="0"/>
        <v>0</v>
      </c>
      <c r="R17" s="743">
        <f t="shared" ref="R17:R23" si="1">IF(Q17=0,0,P17)</f>
        <v>0</v>
      </c>
    </row>
    <row r="18" spans="3:18" ht="14.45">
      <c r="C18" s="341" t="s">
        <v>24</v>
      </c>
      <c r="D18" s="679">
        <f>Financiamento!C3</f>
        <v>2221631.818385859</v>
      </c>
      <c r="F18" s="297" t="s">
        <v>25</v>
      </c>
      <c r="G18" s="578">
        <v>1.4999999999999999E-2</v>
      </c>
      <c r="J18" s="410" t="s">
        <v>26</v>
      </c>
      <c r="K18" s="408" t="s">
        <v>13</v>
      </c>
      <c r="N18" s="741">
        <v>0.4</v>
      </c>
      <c r="O18" s="741">
        <v>0.49990000000000001</v>
      </c>
      <c r="P18" s="741">
        <v>2.5000000000000001E-2</v>
      </c>
      <c r="Q18" s="15">
        <f t="shared" si="0"/>
        <v>0</v>
      </c>
      <c r="R18" s="743">
        <f t="shared" si="1"/>
        <v>0</v>
      </c>
    </row>
    <row r="19" spans="3:18" ht="14.45">
      <c r="C19" s="341" t="s">
        <v>27</v>
      </c>
      <c r="D19" s="679">
        <f>D15-D18-D17</f>
        <v>3559761.8295539408</v>
      </c>
      <c r="F19" s="297" t="s">
        <v>28</v>
      </c>
      <c r="G19" s="578">
        <v>1</v>
      </c>
      <c r="J19" s="410" t="s">
        <v>29</v>
      </c>
      <c r="K19" s="408" t="s">
        <v>13</v>
      </c>
      <c r="N19" s="741">
        <f t="shared" ref="N19:N23" si="2">N18+0.1</f>
        <v>0.5</v>
      </c>
      <c r="O19" s="741">
        <f>O18+0.1</f>
        <v>0.59989999999999999</v>
      </c>
      <c r="P19" s="741">
        <v>0.02</v>
      </c>
      <c r="Q19" s="15">
        <f t="shared" si="0"/>
        <v>0</v>
      </c>
      <c r="R19" s="743">
        <f t="shared" si="1"/>
        <v>0</v>
      </c>
    </row>
    <row r="20" spans="3:18" ht="14.45">
      <c r="C20" s="341" t="s">
        <v>30</v>
      </c>
      <c r="D20" s="54">
        <f>WACC!E21</f>
        <v>0.12976849964301698</v>
      </c>
      <c r="F20" s="297" t="s">
        <v>31</v>
      </c>
      <c r="G20" s="696">
        <f>G18+SUM(R16:R23)</f>
        <v>1.4999999999999999E-2</v>
      </c>
      <c r="J20" s="410" t="s">
        <v>32</v>
      </c>
      <c r="K20" s="408" t="s">
        <v>13</v>
      </c>
      <c r="N20" s="741">
        <f t="shared" si="2"/>
        <v>0.6</v>
      </c>
      <c r="O20" s="741">
        <f t="shared" ref="O20:O22" si="3">O19+0.1</f>
        <v>0.69989999999999997</v>
      </c>
      <c r="P20" s="741">
        <v>1.4999999999999999E-2</v>
      </c>
      <c r="Q20" s="15">
        <f t="shared" si="0"/>
        <v>0</v>
      </c>
      <c r="R20" s="743">
        <f t="shared" si="1"/>
        <v>0</v>
      </c>
    </row>
    <row r="21" spans="3:18" ht="14.45">
      <c r="C21" s="341" t="s">
        <v>33</v>
      </c>
      <c r="D21" s="54">
        <f ca="1">DFs!D91</f>
        <v>0.12976849997486162</v>
      </c>
      <c r="E21" s="482" t="str">
        <f ca="1">IF(AND(D21-D20&gt;0,D21-D20&lt;0.000001),"ok", "Erro")</f>
        <v>ok</v>
      </c>
      <c r="F21" t="s">
        <v>34</v>
      </c>
      <c r="G21" s="695">
        <f>AVERAGE(DFs!F24:AN24)</f>
        <v>94530.05943631327</v>
      </c>
      <c r="J21" s="410" t="s">
        <v>35</v>
      </c>
      <c r="K21" s="408" t="s">
        <v>13</v>
      </c>
      <c r="N21" s="741">
        <f t="shared" si="2"/>
        <v>0.7</v>
      </c>
      <c r="O21" s="741">
        <f t="shared" si="3"/>
        <v>0.79989999999999994</v>
      </c>
      <c r="P21" s="741">
        <v>0.01</v>
      </c>
      <c r="Q21" s="15">
        <f t="shared" si="0"/>
        <v>0</v>
      </c>
      <c r="R21" s="743">
        <f t="shared" si="1"/>
        <v>0</v>
      </c>
    </row>
    <row r="22" spans="3:18" ht="14.45">
      <c r="C22" s="341" t="s">
        <v>36</v>
      </c>
      <c r="D22" s="623">
        <f ca="1">DFs!D90</f>
        <v>1.4020670130776125E-2</v>
      </c>
      <c r="E22" s="671" t="str">
        <f ca="1">IF(D22&gt;0,"Viável","Não há Viabilidade")</f>
        <v>Viável</v>
      </c>
      <c r="F22" t="s">
        <v>37</v>
      </c>
      <c r="G22" s="695">
        <f>G21/12</f>
        <v>7877.5049530261058</v>
      </c>
      <c r="J22" s="410" t="s">
        <v>38</v>
      </c>
      <c r="K22" s="408" t="s">
        <v>13</v>
      </c>
      <c r="N22" s="741">
        <f t="shared" si="2"/>
        <v>0.79999999999999993</v>
      </c>
      <c r="O22" s="741">
        <f t="shared" si="3"/>
        <v>0.89989999999999992</v>
      </c>
      <c r="P22" s="741">
        <v>5.0000000000000001E-3</v>
      </c>
      <c r="Q22" s="15">
        <f t="shared" si="0"/>
        <v>0</v>
      </c>
      <c r="R22" s="743">
        <f t="shared" si="1"/>
        <v>0</v>
      </c>
    </row>
    <row r="23" spans="3:18" ht="14.45">
      <c r="C23" s="341" t="s">
        <v>39</v>
      </c>
      <c r="D23" s="678">
        <f ca="1">DFs!D96</f>
        <v>9</v>
      </c>
      <c r="J23" s="410" t="s">
        <v>40</v>
      </c>
      <c r="K23" s="408" t="s">
        <v>13</v>
      </c>
      <c r="N23" s="742">
        <f t="shared" si="2"/>
        <v>0.89999999999999991</v>
      </c>
      <c r="O23" s="742">
        <v>1</v>
      </c>
      <c r="P23" s="742">
        <v>0</v>
      </c>
      <c r="Q23" s="744">
        <f t="shared" si="0"/>
        <v>1</v>
      </c>
      <c r="R23" s="745">
        <f t="shared" si="1"/>
        <v>0</v>
      </c>
    </row>
    <row r="24" spans="3:18" ht="14.45">
      <c r="C24" s="341" t="s">
        <v>41</v>
      </c>
      <c r="D24" s="678">
        <f>DFs!D97</f>
        <v>2</v>
      </c>
      <c r="J24" s="411" t="s">
        <v>42</v>
      </c>
      <c r="K24" s="409" t="s">
        <v>13</v>
      </c>
    </row>
    <row r="25" spans="3:18" ht="14.45">
      <c r="C25" s="341" t="s">
        <v>43</v>
      </c>
      <c r="D25" s="679">
        <f ca="1">DFs!D94</f>
        <v>-5799427.9317345824</v>
      </c>
      <c r="F25" s="297" t="s">
        <v>44</v>
      </c>
      <c r="G25" s="297"/>
    </row>
    <row r="26" spans="3:18" ht="14.45">
      <c r="C26" s="341" t="s">
        <v>45</v>
      </c>
      <c r="D26" s="54">
        <f>DFs!D92</f>
        <v>0.21687423725008428</v>
      </c>
      <c r="F26" t="s">
        <v>46</v>
      </c>
      <c r="G26" s="192">
        <v>0</v>
      </c>
    </row>
    <row r="27" spans="3:18" ht="14.45">
      <c r="C27" s="341" t="s">
        <v>47</v>
      </c>
      <c r="D27" s="54">
        <f ca="1">DFs!D93</f>
        <v>5.7289607786354377E-2</v>
      </c>
      <c r="F27" t="s">
        <v>48</v>
      </c>
      <c r="G27" s="601">
        <f>IF(G26=1,2.5%*CAPEX!C6,0)</f>
        <v>0</v>
      </c>
      <c r="J27" s="728" t="s">
        <v>49</v>
      </c>
      <c r="K27" s="728"/>
    </row>
    <row r="28" spans="3:18" ht="14.45">
      <c r="C28" s="341" t="s">
        <v>50</v>
      </c>
      <c r="D28" s="679">
        <f>AVERAGE('RECEITAS '!D6:AM6)</f>
        <v>6318415.4310730295</v>
      </c>
      <c r="J28" s="697" t="s">
        <v>51</v>
      </c>
      <c r="K28" t="s">
        <v>52</v>
      </c>
    </row>
    <row r="29" spans="3:18" ht="14.45">
      <c r="C29" s="341" t="s">
        <v>53</v>
      </c>
      <c r="D29" s="678"/>
      <c r="F29" t="s">
        <v>54</v>
      </c>
      <c r="G29" s="482" t="str">
        <f>IF(AND(CAPEX!B15&lt;0.1,CAPEX!B15&gt;-0.1),"OK", "ERRO")</f>
        <v>OK</v>
      </c>
      <c r="J29" s="697" t="s">
        <v>55</v>
      </c>
      <c r="K29" t="s">
        <v>56</v>
      </c>
    </row>
    <row r="30" spans="3:18" ht="14.45">
      <c r="C30" s="342" t="s">
        <v>57</v>
      </c>
      <c r="D30" s="679">
        <f>OPEX!D55</f>
        <v>4659877.978472041</v>
      </c>
      <c r="J30" s="697" t="s">
        <v>58</v>
      </c>
      <c r="K30" t="s">
        <v>59</v>
      </c>
    </row>
    <row r="31" spans="3:18" ht="14.45">
      <c r="C31" s="342" t="s">
        <v>60</v>
      </c>
      <c r="D31" s="679">
        <f>D30/12</f>
        <v>388323.16487267008</v>
      </c>
      <c r="F31" s="297" t="s">
        <v>61</v>
      </c>
      <c r="G31" s="297"/>
      <c r="J31" s="697" t="s">
        <v>62</v>
      </c>
      <c r="K31" t="s">
        <v>63</v>
      </c>
    </row>
    <row r="32" spans="3:18" ht="14.45">
      <c r="F32" t="s">
        <v>64</v>
      </c>
      <c r="G32" s="686">
        <f>OPEX!D55</f>
        <v>4659877.978472041</v>
      </c>
      <c r="J32" s="697" t="s">
        <v>65</v>
      </c>
      <c r="K32" t="s">
        <v>63</v>
      </c>
    </row>
    <row r="33" spans="3:11" ht="14.45">
      <c r="F33" t="s">
        <v>66</v>
      </c>
      <c r="G33" s="686">
        <v>5000000</v>
      </c>
      <c r="J33" s="697" t="s">
        <v>67</v>
      </c>
      <c r="K33" t="s">
        <v>63</v>
      </c>
    </row>
    <row r="34" spans="3:11" ht="14.45">
      <c r="C34" s="700" t="s">
        <v>68</v>
      </c>
      <c r="D34" s="546">
        <f>SUM(D35:D37)</f>
        <v>5044842.0901544038</v>
      </c>
      <c r="F34" t="s">
        <v>69</v>
      </c>
      <c r="G34" s="685">
        <f>G32/G33</f>
        <v>0.93197559569440824</v>
      </c>
      <c r="J34" s="697" t="s">
        <v>70</v>
      </c>
      <c r="K34" t="s">
        <v>71</v>
      </c>
    </row>
    <row r="35" spans="3:11" ht="15" customHeight="1">
      <c r="C35" s="760" t="s">
        <v>72</v>
      </c>
      <c r="D35" s="761">
        <f>'AUX. CAPEX Resumo'!G35</f>
        <v>2130671.85</v>
      </c>
      <c r="F35" s="15"/>
      <c r="G35" s="15" t="str">
        <f>IF(G34&gt;50%,"ok","Erro")</f>
        <v>ok</v>
      </c>
      <c r="J35" s="729" t="s">
        <v>73</v>
      </c>
      <c r="K35" t="s">
        <v>74</v>
      </c>
    </row>
    <row r="36" spans="3:11" ht="15" customHeight="1">
      <c r="C36" s="762" t="s">
        <v>75</v>
      </c>
      <c r="D36" s="761">
        <f>'AUX. CAPEX Resumo'!G53-('AUX. CAPEX Resumo'!G45+'AUX. CAPEX Resumo'!G47)</f>
        <v>2849729.41</v>
      </c>
      <c r="J36" s="728" t="s">
        <v>76</v>
      </c>
      <c r="K36" s="728"/>
    </row>
    <row r="37" spans="3:11" ht="15" customHeight="1">
      <c r="C37" s="760" t="s">
        <v>77</v>
      </c>
      <c r="D37" s="761">
        <f>'CAPEX - Aquisições'!C18+'CAPEX - Aquisições'!C8+'CAPEX - Aquisições'!C9</f>
        <v>64440.830154403928</v>
      </c>
      <c r="J37" s="177" t="s">
        <v>78</v>
      </c>
      <c r="K37" t="s">
        <v>79</v>
      </c>
    </row>
    <row r="38" spans="3:11" ht="14.45">
      <c r="J38" s="727" t="s">
        <v>80</v>
      </c>
      <c r="K38" t="str">
        <f>K37</f>
        <v>Departamento de Estruturação de Projetos</v>
      </c>
    </row>
    <row r="39" spans="3:11" ht="14.45">
      <c r="C39" s="297" t="s">
        <v>81</v>
      </c>
      <c r="D39" s="297"/>
      <c r="E39" s="546">
        <v>1948710.104272651</v>
      </c>
      <c r="F39" s="544"/>
      <c r="J39" s="727" t="s">
        <v>82</v>
      </c>
      <c r="K39" t="s">
        <v>83</v>
      </c>
    </row>
    <row r="40" spans="3:11" ht="14.45">
      <c r="C40" s="719" t="s">
        <v>84</v>
      </c>
      <c r="D40" s="547">
        <v>0.5</v>
      </c>
      <c r="E40" s="544">
        <f>D40*$E$39</f>
        <v>974355.05213632551</v>
      </c>
      <c r="J40" s="177" t="s">
        <v>85</v>
      </c>
      <c r="K40" t="s">
        <v>83</v>
      </c>
    </row>
    <row r="41" spans="3:11" ht="14.45">
      <c r="C41" s="719" t="s">
        <v>86</v>
      </c>
      <c r="D41" s="694">
        <f>1-D40</f>
        <v>0.5</v>
      </c>
      <c r="E41" s="544">
        <f>D41*$E$39</f>
        <v>974355.05213632551</v>
      </c>
    </row>
    <row r="42" spans="3:11" ht="14.45"/>
    <row r="43" spans="3:11" ht="14.45"/>
    <row r="44" spans="3:11" ht="14.45"/>
    <row r="45" spans="3:11" ht="14.45"/>
    <row r="46" spans="3:11" ht="14.45"/>
    <row r="47" spans="3:11" ht="15" customHeight="1">
      <c r="F47" s="111"/>
    </row>
    <row r="78" spans="3:7" ht="14.45">
      <c r="C78" s="1" t="s">
        <v>87</v>
      </c>
      <c r="D78" s="2"/>
      <c r="E78" s="3"/>
      <c r="F78" s="4"/>
      <c r="G78" s="5"/>
    </row>
  </sheetData>
  <mergeCells count="7">
    <mergeCell ref="C14:D14"/>
    <mergeCell ref="J14:K14"/>
    <mergeCell ref="D5:G5"/>
    <mergeCell ref="D6:G6"/>
    <mergeCell ref="D7:G7"/>
    <mergeCell ref="D8:G8"/>
    <mergeCell ref="D10:G10"/>
  </mergeCells>
  <conditionalFormatting sqref="D22">
    <cfRule type="cellIs" dxfId="61" priority="7" operator="equal">
      <formula>"NãoháViabilidade"</formula>
    </cfRule>
    <cfRule type="cellIs" dxfId="60" priority="16" operator="lessThan">
      <formula>0</formula>
    </cfRule>
  </conditionalFormatting>
  <conditionalFormatting sqref="D22:E22">
    <cfRule type="cellIs" dxfId="59" priority="5" operator="equal">
      <formula>"Não há Viabilidade"</formula>
    </cfRule>
  </conditionalFormatting>
  <conditionalFormatting sqref="E21">
    <cfRule type="cellIs" dxfId="58" priority="1" operator="equal">
      <formula>"ok"</formula>
    </cfRule>
    <cfRule type="cellIs" dxfId="57" priority="2" operator="equal">
      <formula>"Erro"</formula>
    </cfRule>
  </conditionalFormatting>
  <conditionalFormatting sqref="E22">
    <cfRule type="cellIs" dxfId="56" priority="8" operator="equal">
      <formula>"Viável"</formula>
    </cfRule>
  </conditionalFormatting>
  <conditionalFormatting sqref="F35:G35">
    <cfRule type="cellIs" dxfId="55" priority="3" operator="equal">
      <formula>"ok"</formula>
    </cfRule>
    <cfRule type="cellIs" dxfId="54" priority="4" operator="equal">
      <formula>"Erro"</formula>
    </cfRule>
  </conditionalFormatting>
  <conditionalFormatting sqref="G26">
    <cfRule type="cellIs" dxfId="53" priority="12" operator="equal">
      <formula>1</formula>
    </cfRule>
    <cfRule type="cellIs" dxfId="52" priority="13" operator="equal">
      <formula>0</formula>
    </cfRule>
  </conditionalFormatting>
  <conditionalFormatting sqref="G27">
    <cfRule type="cellIs" dxfId="51" priority="11" operator="equal">
      <formula>$G$26=0</formula>
    </cfRule>
  </conditionalFormatting>
  <conditionalFormatting sqref="G29">
    <cfRule type="cellIs" dxfId="50" priority="14" operator="equal">
      <formula>"ok"</formula>
    </cfRule>
    <cfRule type="cellIs" dxfId="49" priority="15" operator="equal">
      <formula>"Erro"</formula>
    </cfRule>
  </conditionalFormatting>
  <dataValidations count="3">
    <dataValidation type="list" allowBlank="1" showInputMessage="1" showErrorMessage="1" sqref="K15:K24" xr:uid="{00000000-0002-0000-0000-000000000000}">
      <formula1>"Sim,Não"</formula1>
    </dataValidation>
    <dataValidation type="list" allowBlank="1" showInputMessage="1" showErrorMessage="1" sqref="G26" xr:uid="{00000000-0002-0000-0000-000001000000}">
      <formula1>"1,0"</formula1>
    </dataValidation>
    <dataValidation type="decimal" errorStyle="warning" allowBlank="1" showInputMessage="1" showErrorMessage="1" errorTitle="Mensagem" error="Valor deve ser entre 0% e 100%" promptTitle="Aviso" prompt="Valor deve ser entre 0% e 100%" sqref="G19" xr:uid="{8D7FC7A4-31B8-4C69-85FB-56B3DE248775}">
      <formula1>0</formula1>
      <formula2>1</formula2>
    </dataValidation>
  </dataValidations>
  <hyperlinks>
    <hyperlink ref="J29" r:id="rId1" xr:uid="{00000000-0004-0000-0000-000000000000}"/>
    <hyperlink ref="J31" r:id="rId2" xr:uid="{00000000-0004-0000-0000-000001000000}"/>
    <hyperlink ref="J30" r:id="rId3" xr:uid="{00000000-0004-0000-0000-000002000000}"/>
    <hyperlink ref="J33" r:id="rId4" xr:uid="{00000000-0004-0000-0000-000003000000}"/>
    <hyperlink ref="J34" r:id="rId5" xr:uid="{00000000-0004-0000-0000-000004000000}"/>
    <hyperlink ref="J32" r:id="rId6" xr:uid="{00000000-0004-0000-0000-000005000000}"/>
    <hyperlink ref="J28" r:id="rId7" xr:uid="{3FB67175-4E73-4527-8B63-750595844938}"/>
    <hyperlink ref="J38" r:id="rId8" xr:uid="{8C5C2204-080F-4065-855C-DBD2F736AE33}"/>
    <hyperlink ref="J39" r:id="rId9" display="mailto:ouvidoria@sead.pi.gov.br" xr:uid="{8581F38B-192B-4B96-BE45-745C866A2116}"/>
    <hyperlink ref="J37" r:id="rId10" xr:uid="{9E2C8570-A20B-4763-A7D7-83E66E575E12}"/>
    <hyperlink ref="J40" r:id="rId11" xr:uid="{09FEC383-CDC0-4E2F-AF45-05449DA1CC0E}"/>
    <hyperlink ref="J35" r:id="rId12" display="https://www.linkedin.com/in/antonio-francisco-santana-da-silva-9811104b/" xr:uid="{68B040F3-BD71-4F84-A1A5-86687158B224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13"/>
  <drawing r:id="rId1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5"/>
  <dimension ref="A1:AX123"/>
  <sheetViews>
    <sheetView showGridLines="0" topLeftCell="A27" zoomScaleNormal="100" workbookViewId="0">
      <selection activeCell="G29" sqref="G29"/>
    </sheetView>
  </sheetViews>
  <sheetFormatPr defaultRowHeight="14.45"/>
  <cols>
    <col min="1" max="1" width="8.85546875" style="2"/>
    <col min="3" max="3" width="60.42578125" customWidth="1"/>
    <col min="4" max="4" width="27.85546875" bestFit="1" customWidth="1"/>
    <col min="5" max="5" width="32" bestFit="1" customWidth="1"/>
    <col min="6" max="6" width="19.5703125" bestFit="1" customWidth="1"/>
    <col min="7" max="7" width="25.5703125" bestFit="1" customWidth="1"/>
    <col min="8" max="8" width="19.140625" bestFit="1" customWidth="1"/>
    <col min="9" max="9" width="19.5703125" bestFit="1" customWidth="1"/>
    <col min="10" max="10" width="30.7109375" customWidth="1"/>
    <col min="11" max="11" width="36.5703125" bestFit="1" customWidth="1"/>
    <col min="12" max="12" width="50.5703125" bestFit="1" customWidth="1"/>
    <col min="13" max="13" width="8.7109375" bestFit="1" customWidth="1"/>
    <col min="14" max="14" width="19.7109375" customWidth="1"/>
    <col min="15" max="15" width="17" bestFit="1" customWidth="1"/>
    <col min="16" max="16" width="27.85546875" bestFit="1" customWidth="1"/>
    <col min="17" max="17" width="15.85546875" bestFit="1" customWidth="1"/>
    <col min="18" max="18" width="50.5703125" bestFit="1" customWidth="1"/>
    <col min="19" max="19" width="27.85546875" customWidth="1"/>
    <col min="20" max="20" width="15.85546875" bestFit="1" customWidth="1"/>
    <col min="21" max="21" width="17.85546875" bestFit="1" customWidth="1"/>
    <col min="22" max="22" width="29.85546875" bestFit="1" customWidth="1"/>
    <col min="23" max="23" width="21.85546875" bestFit="1" customWidth="1"/>
    <col min="24" max="24" width="14" bestFit="1" customWidth="1"/>
    <col min="25" max="25" width="12.140625" bestFit="1" customWidth="1"/>
    <col min="46" max="46" width="10.28515625" bestFit="1" customWidth="1"/>
  </cols>
  <sheetData>
    <row r="1" spans="3:17" s="2" customFormat="1" ht="21">
      <c r="C1" s="348" t="s">
        <v>972</v>
      </c>
    </row>
    <row r="3" spans="3:17">
      <c r="C3" s="699" t="s">
        <v>948</v>
      </c>
      <c r="D3" s="699" t="s">
        <v>498</v>
      </c>
      <c r="E3" s="699" t="s">
        <v>973</v>
      </c>
      <c r="F3" s="699" t="s">
        <v>974</v>
      </c>
      <c r="G3" s="699" t="s">
        <v>975</v>
      </c>
      <c r="H3" s="699" t="s">
        <v>976</v>
      </c>
      <c r="I3" s="699" t="s">
        <v>977</v>
      </c>
    </row>
    <row r="4" spans="3:17">
      <c r="C4" s="786" t="s">
        <v>978</v>
      </c>
      <c r="D4" s="690">
        <v>1</v>
      </c>
      <c r="E4" s="12">
        <f>K16</f>
        <v>4044.147022587269</v>
      </c>
      <c r="F4" s="158">
        <v>0.67220000000000002</v>
      </c>
      <c r="G4" s="12">
        <f>E4*(1+F4)</f>
        <v>6762.6226511704317</v>
      </c>
      <c r="H4" s="12">
        <f>G4*D4</f>
        <v>6762.6226511704317</v>
      </c>
      <c r="I4" s="12">
        <f>H4*12</f>
        <v>81151.471814045188</v>
      </c>
    </row>
    <row r="5" spans="3:17">
      <c r="C5" s="786" t="s">
        <v>979</v>
      </c>
      <c r="D5" s="690">
        <v>1</v>
      </c>
      <c r="E5" s="12">
        <f>K17</f>
        <v>3329.6404109589039</v>
      </c>
      <c r="F5" s="158">
        <f>$F$4</f>
        <v>0.67220000000000002</v>
      </c>
      <c r="G5" s="12">
        <f>E5*(1+F5)</f>
        <v>5567.8246952054797</v>
      </c>
      <c r="H5" s="12">
        <f>G5*D5</f>
        <v>5567.8246952054797</v>
      </c>
      <c r="I5" s="12">
        <f t="shared" ref="I5:I8" si="0">H5*12</f>
        <v>66813.896342465756</v>
      </c>
    </row>
    <row r="6" spans="3:17">
      <c r="C6" s="786" t="s">
        <v>980</v>
      </c>
      <c r="D6" s="690">
        <v>4</v>
      </c>
      <c r="E6" s="12">
        <f>K18</f>
        <v>2098.0327068361894</v>
      </c>
      <c r="F6" s="158">
        <f t="shared" ref="F6:F8" si="1">$F$4</f>
        <v>0.67220000000000002</v>
      </c>
      <c r="G6" s="12">
        <f>E6*(1+F6)</f>
        <v>3508.3302923714764</v>
      </c>
      <c r="H6" s="12">
        <f>G6*D6</f>
        <v>14033.321169485906</v>
      </c>
      <c r="I6" s="12">
        <f t="shared" si="0"/>
        <v>168399.85403383087</v>
      </c>
    </row>
    <row r="7" spans="3:17" ht="15" customHeight="1">
      <c r="C7" s="786" t="s">
        <v>981</v>
      </c>
      <c r="D7" s="690">
        <v>16</v>
      </c>
      <c r="E7" s="12">
        <f>K19</f>
        <v>2218.0137347130762</v>
      </c>
      <c r="F7" s="158">
        <f t="shared" si="1"/>
        <v>0.67220000000000002</v>
      </c>
      <c r="G7" s="12">
        <f>E7*(1+F7)</f>
        <v>3708.9625671872063</v>
      </c>
      <c r="H7" s="12">
        <f>G7*D7</f>
        <v>59343.401074995301</v>
      </c>
      <c r="I7" s="12">
        <f t="shared" si="0"/>
        <v>712120.81289994367</v>
      </c>
    </row>
    <row r="8" spans="3:17">
      <c r="C8" s="716" t="s">
        <v>982</v>
      </c>
      <c r="D8" s="717">
        <v>15</v>
      </c>
      <c r="E8" s="430">
        <f>K20</f>
        <v>1676.1408959537573</v>
      </c>
      <c r="F8" s="718">
        <f t="shared" si="1"/>
        <v>0.67220000000000002</v>
      </c>
      <c r="G8" s="430">
        <f>E8*(1+F8)</f>
        <v>2802.8428062138732</v>
      </c>
      <c r="H8" s="430">
        <f>G8*D8</f>
        <v>42042.642093208102</v>
      </c>
      <c r="I8" s="430">
        <f t="shared" si="0"/>
        <v>504511.70511849725</v>
      </c>
    </row>
    <row r="9" spans="3:17">
      <c r="C9" s="786" t="s">
        <v>479</v>
      </c>
      <c r="D9" s="11">
        <f>SUM(D4:D8)</f>
        <v>37</v>
      </c>
      <c r="E9" s="12">
        <f>SUM(E4:E8)</f>
        <v>13365.974771049196</v>
      </c>
      <c r="F9" s="130"/>
      <c r="G9" s="12">
        <f>SUM(G4:G8)</f>
        <v>22350.583012148469</v>
      </c>
      <c r="H9" s="12">
        <f>SUM(H4:H8)</f>
        <v>127749.81168406521</v>
      </c>
      <c r="I9" s="12">
        <f>SUM(I4:I8)</f>
        <v>1532997.7402087827</v>
      </c>
    </row>
    <row r="11" spans="3:17" s="348" customFormat="1" ht="14.45" customHeight="1">
      <c r="C11" s="348" t="s">
        <v>983</v>
      </c>
      <c r="K11" s="348" t="s">
        <v>984</v>
      </c>
    </row>
    <row r="12" spans="3:17" s="348" customFormat="1" ht="14.45" customHeight="1">
      <c r="K12" s="348" t="s">
        <v>985</v>
      </c>
      <c r="L12" s="348" t="s">
        <v>986</v>
      </c>
      <c r="M12" s="348" t="s">
        <v>987</v>
      </c>
      <c r="N12" s="348" t="s">
        <v>988</v>
      </c>
      <c r="O12" s="348" t="s">
        <v>989</v>
      </c>
    </row>
    <row r="13" spans="3:17">
      <c r="H13" s="119"/>
      <c r="I13" s="117"/>
      <c r="J13" s="117"/>
    </row>
    <row r="14" spans="3:17">
      <c r="C14" s="772" t="s">
        <v>983</v>
      </c>
      <c r="D14" s="772" t="s">
        <v>990</v>
      </c>
      <c r="E14" s="772" t="s">
        <v>991</v>
      </c>
      <c r="F14" s="119"/>
      <c r="I14" s="118"/>
      <c r="J14" s="118"/>
      <c r="Q14" s="121"/>
    </row>
    <row r="15" spans="3:17">
      <c r="C15" s="141" t="s">
        <v>949</v>
      </c>
      <c r="D15" s="12">
        <f>F42</f>
        <v>230056.74267494195</v>
      </c>
      <c r="E15" s="12">
        <f>D15/12</f>
        <v>19171.395222911829</v>
      </c>
      <c r="F15" s="119"/>
      <c r="H15" s="119"/>
      <c r="P15" s="122"/>
      <c r="Q15" s="121"/>
    </row>
    <row r="16" spans="3:17">
      <c r="C16" s="141" t="s">
        <v>950</v>
      </c>
      <c r="D16" s="12">
        <f>'Aux. OPEX Energia'!H28</f>
        <v>855103.72139279998</v>
      </c>
      <c r="E16" s="12">
        <f t="shared" ref="E16:E25" si="2">D16/12</f>
        <v>71258.643449399999</v>
      </c>
      <c r="F16" s="119"/>
      <c r="G16" s="822" t="s">
        <v>992</v>
      </c>
      <c r="H16" s="398" t="s">
        <v>993</v>
      </c>
      <c r="I16" s="133">
        <v>2435</v>
      </c>
      <c r="J16" s="134">
        <v>9847498</v>
      </c>
      <c r="K16" s="134">
        <f>J16/I16</f>
        <v>4044.147022587269</v>
      </c>
      <c r="Q16" s="121"/>
    </row>
    <row r="17" spans="3:17">
      <c r="C17" s="141" t="s">
        <v>952</v>
      </c>
      <c r="D17" s="12">
        <f>F38</f>
        <v>233572.75903472747</v>
      </c>
      <c r="E17" s="12">
        <f>D17/12</f>
        <v>19464.396586227289</v>
      </c>
      <c r="G17" s="823"/>
      <c r="H17" s="398" t="s">
        <v>994</v>
      </c>
      <c r="I17" s="133">
        <v>1168</v>
      </c>
      <c r="J17" s="134">
        <v>3889020</v>
      </c>
      <c r="K17" s="134">
        <f>J17/I17</f>
        <v>3329.6404109589039</v>
      </c>
      <c r="Q17" s="121"/>
    </row>
    <row r="18" spans="3:17">
      <c r="C18" s="141" t="s">
        <v>953</v>
      </c>
      <c r="D18" s="12">
        <f>F40</f>
        <v>164495.27901455149</v>
      </c>
      <c r="E18" s="12">
        <f t="shared" si="2"/>
        <v>13707.93991787929</v>
      </c>
      <c r="G18" s="823"/>
      <c r="H18" s="398" t="s">
        <v>995</v>
      </c>
      <c r="I18" s="133">
        <v>10854</v>
      </c>
      <c r="J18" s="134">
        <v>22772047</v>
      </c>
      <c r="K18" s="134">
        <f>J18/I18</f>
        <v>2098.0327068361894</v>
      </c>
      <c r="Q18" s="121"/>
    </row>
    <row r="19" spans="3:17">
      <c r="C19" s="141" t="s">
        <v>954</v>
      </c>
      <c r="D19" s="12">
        <f>F32</f>
        <v>254383.22336924105</v>
      </c>
      <c r="E19" s="12">
        <f t="shared" si="2"/>
        <v>21198.601947436753</v>
      </c>
      <c r="G19" s="823"/>
      <c r="H19" s="398" t="s">
        <v>981</v>
      </c>
      <c r="I19" s="131">
        <v>5315</v>
      </c>
      <c r="J19" s="132">
        <v>11788743</v>
      </c>
      <c r="K19" s="132">
        <f>J19/I19</f>
        <v>2218.0137347130762</v>
      </c>
      <c r="Q19" s="121"/>
    </row>
    <row r="20" spans="3:17">
      <c r="C20" s="141" t="s">
        <v>955</v>
      </c>
      <c r="D20" s="12">
        <f>F47</f>
        <v>397246.04090487625</v>
      </c>
      <c r="E20" s="12">
        <f t="shared" si="2"/>
        <v>33103.836742073021</v>
      </c>
      <c r="F20" s="119"/>
      <c r="G20" s="824"/>
      <c r="H20" s="398" t="s">
        <v>996</v>
      </c>
      <c r="I20" s="131">
        <v>1384</v>
      </c>
      <c r="J20" s="132">
        <v>2319779</v>
      </c>
      <c r="K20" s="132">
        <f>J20/I20</f>
        <v>1676.1408959537573</v>
      </c>
      <c r="P20" s="122"/>
      <c r="Q20" s="121"/>
    </row>
    <row r="21" spans="3:17">
      <c r="C21" s="141" t="s">
        <v>957</v>
      </c>
      <c r="D21" s="12">
        <f>D60</f>
        <v>37015.7425296</v>
      </c>
      <c r="E21" s="12">
        <f t="shared" si="2"/>
        <v>3084.6452107999999</v>
      </c>
      <c r="P21" s="122"/>
      <c r="Q21" s="121"/>
    </row>
    <row r="22" spans="3:17">
      <c r="C22" s="141" t="s">
        <v>997</v>
      </c>
      <c r="D22" s="12">
        <f>F35</f>
        <v>382797.72996413306</v>
      </c>
      <c r="E22" s="12">
        <f>D22/12</f>
        <v>31899.810830344421</v>
      </c>
      <c r="P22" s="122"/>
      <c r="Q22" s="121"/>
    </row>
    <row r="23" spans="3:17">
      <c r="C23" s="141" t="s">
        <v>958</v>
      </c>
      <c r="D23" s="12">
        <f>F43</f>
        <v>103128.21204641965</v>
      </c>
      <c r="E23" s="12">
        <f t="shared" si="2"/>
        <v>8594.0176705349713</v>
      </c>
      <c r="Q23" s="121"/>
    </row>
    <row r="24" spans="3:17">
      <c r="C24" s="141" t="s">
        <v>959</v>
      </c>
      <c r="D24" s="12">
        <f>F41</f>
        <v>95162.76879419772</v>
      </c>
      <c r="E24" s="12">
        <f t="shared" si="2"/>
        <v>7930.23073284981</v>
      </c>
      <c r="I24" s="111"/>
      <c r="J24" s="111"/>
      <c r="P24" s="122"/>
      <c r="Q24" s="121"/>
    </row>
    <row r="25" spans="3:17">
      <c r="C25" s="141" t="s">
        <v>960</v>
      </c>
      <c r="D25" s="12">
        <f>F39</f>
        <v>182828.55000467083</v>
      </c>
      <c r="E25" s="12">
        <f t="shared" si="2"/>
        <v>15235.712500389236</v>
      </c>
      <c r="I25" s="111"/>
      <c r="J25" s="111"/>
      <c r="P25" s="122"/>
      <c r="Q25" s="121"/>
    </row>
    <row r="26" spans="3:17">
      <c r="I26" s="111"/>
      <c r="J26" s="111"/>
      <c r="P26" s="122"/>
      <c r="Q26" s="121"/>
    </row>
    <row r="27" spans="3:17">
      <c r="G27" t="s">
        <v>998</v>
      </c>
      <c r="Q27" s="121"/>
    </row>
    <row r="28" spans="3:17">
      <c r="C28" s="802" t="s">
        <v>999</v>
      </c>
      <c r="D28" s="802"/>
      <c r="E28" s="802"/>
      <c r="F28" s="802"/>
      <c r="G28" s="669">
        <v>1.20678457E-2</v>
      </c>
      <c r="Q28" s="121"/>
    </row>
    <row r="29" spans="3:17" ht="15" thickBot="1">
      <c r="C29" s="820" t="s">
        <v>1000</v>
      </c>
      <c r="D29" s="140" t="s">
        <v>1001</v>
      </c>
      <c r="E29" s="140" t="s">
        <v>1002</v>
      </c>
      <c r="F29" s="140" t="s">
        <v>1003</v>
      </c>
      <c r="Q29" s="121"/>
    </row>
    <row r="30" spans="3:17" ht="15" thickBot="1">
      <c r="C30" s="821"/>
      <c r="D30" s="691">
        <v>4054118</v>
      </c>
      <c r="E30" s="692">
        <f>D30/D30</f>
        <v>1</v>
      </c>
      <c r="F30" s="693">
        <f>'RECEITAS '!G6</f>
        <v>6892816.8338978458</v>
      </c>
      <c r="Q30" s="121"/>
    </row>
    <row r="31" spans="3:17" ht="15.75" customHeight="1">
      <c r="C31" s="785" t="s">
        <v>1004</v>
      </c>
      <c r="D31" s="290">
        <v>216874</v>
      </c>
      <c r="E31" s="139">
        <f>(D31/$D$30)+$G$28</f>
        <v>6.5562588576255701E-2</v>
      </c>
      <c r="F31" s="290">
        <f t="shared" ref="F31:F46" si="3">E31*$F$30</f>
        <v>451910.91421233391</v>
      </c>
    </row>
    <row r="32" spans="3:17">
      <c r="C32" s="785" t="s">
        <v>1005</v>
      </c>
      <c r="D32" s="290">
        <v>100695</v>
      </c>
      <c r="E32" s="139">
        <f t="shared" ref="E32:E47" si="4">(D32/$D$30)+$G$28</f>
        <v>3.6905553926548908E-2</v>
      </c>
      <c r="F32" s="290">
        <f>E32*$F$30</f>
        <v>254383.22336924105</v>
      </c>
    </row>
    <row r="33" spans="3:14">
      <c r="C33" s="785" t="s">
        <v>1006</v>
      </c>
      <c r="D33" s="290">
        <v>21195</v>
      </c>
      <c r="E33" s="139">
        <f t="shared" si="4"/>
        <v>1.7295863236736722E-2</v>
      </c>
      <c r="F33" s="290">
        <f t="shared" si="3"/>
        <v>119217.21727497377</v>
      </c>
    </row>
    <row r="34" spans="3:14">
      <c r="C34" s="785" t="s">
        <v>1007</v>
      </c>
      <c r="D34" s="290">
        <v>26845</v>
      </c>
      <c r="E34" s="139">
        <f t="shared" si="4"/>
        <v>1.8689507920981233E-2</v>
      </c>
      <c r="F34" s="290">
        <f t="shared" si="3"/>
        <v>128823.35481500658</v>
      </c>
    </row>
    <row r="35" spans="3:14">
      <c r="C35" s="785" t="s">
        <v>997</v>
      </c>
      <c r="D35" s="290">
        <v>176224</v>
      </c>
      <c r="E35" s="139">
        <f t="shared" si="4"/>
        <v>5.5535746732974373E-2</v>
      </c>
      <c r="F35" s="290">
        <f t="shared" si="3"/>
        <v>382797.72996413306</v>
      </c>
    </row>
    <row r="36" spans="3:14">
      <c r="C36" s="785" t="s">
        <v>1008</v>
      </c>
      <c r="D36" s="290">
        <v>24122</v>
      </c>
      <c r="E36" s="139">
        <f t="shared" si="4"/>
        <v>1.801784518200817E-2</v>
      </c>
      <c r="F36" s="290">
        <f t="shared" si="3"/>
        <v>124193.70658111111</v>
      </c>
    </row>
    <row r="37" spans="3:14" ht="14.25" customHeight="1">
      <c r="C37" s="667" t="s">
        <v>1009</v>
      </c>
      <c r="D37" s="290">
        <v>16643</v>
      </c>
      <c r="E37" s="139">
        <f t="shared" si="4"/>
        <v>1.6173054280509989E-2</v>
      </c>
      <c r="F37" s="290">
        <f t="shared" si="3"/>
        <v>111477.90080024287</v>
      </c>
    </row>
    <row r="38" spans="3:14">
      <c r="C38" s="785" t="s">
        <v>1010</v>
      </c>
      <c r="D38" s="290">
        <v>88455</v>
      </c>
      <c r="E38" s="139">
        <f t="shared" si="4"/>
        <v>3.388640154864575E-2</v>
      </c>
      <c r="F38" s="290">
        <f>E38*$F$30</f>
        <v>233572.75903472747</v>
      </c>
    </row>
    <row r="39" spans="3:14">
      <c r="C39" s="785" t="s">
        <v>1011</v>
      </c>
      <c r="D39" s="290">
        <v>58609</v>
      </c>
      <c r="E39" s="139">
        <f>(D39/$D$30)+$G$28</f>
        <v>2.6524504336971101E-2</v>
      </c>
      <c r="F39" s="290">
        <f>E39*$F$30</f>
        <v>182828.55000467083</v>
      </c>
      <c r="G39" s="674"/>
    </row>
    <row r="40" spans="3:14">
      <c r="C40" s="785" t="s">
        <v>1012</v>
      </c>
      <c r="D40" s="290">
        <v>47826</v>
      </c>
      <c r="E40" s="139">
        <f t="shared" si="4"/>
        <v>2.3864739623659842E-2</v>
      </c>
      <c r="F40" s="290">
        <f t="shared" si="3"/>
        <v>164495.27901455149</v>
      </c>
    </row>
    <row r="41" spans="3:14">
      <c r="C41" s="785" t="s">
        <v>1013</v>
      </c>
      <c r="D41" s="290">
        <v>7047</v>
      </c>
      <c r="E41" s="139">
        <f t="shared" si="4"/>
        <v>1.3806078282278068E-2</v>
      </c>
      <c r="F41" s="290">
        <f t="shared" si="3"/>
        <v>95162.76879419772</v>
      </c>
    </row>
    <row r="42" spans="3:14">
      <c r="C42" s="785" t="s">
        <v>1014</v>
      </c>
      <c r="D42" s="290">
        <v>86387</v>
      </c>
      <c r="E42" s="139">
        <f t="shared" si="4"/>
        <v>3.3376302927934656E-2</v>
      </c>
      <c r="F42" s="290">
        <f t="shared" si="3"/>
        <v>230056.74267494195</v>
      </c>
    </row>
    <row r="43" spans="3:14">
      <c r="C43" s="785" t="s">
        <v>1015</v>
      </c>
      <c r="D43" s="290">
        <v>11732</v>
      </c>
      <c r="E43" s="139">
        <f t="shared" si="4"/>
        <v>1.4961693387709139E-2</v>
      </c>
      <c r="F43" s="290">
        <f>(E43*$F$30)</f>
        <v>103128.21204641965</v>
      </c>
    </row>
    <row r="44" spans="3:14">
      <c r="C44" s="785" t="s">
        <v>1016</v>
      </c>
      <c r="D44" s="290">
        <v>13589</v>
      </c>
      <c r="E44" s="139">
        <f t="shared" si="4"/>
        <v>1.5419746162690035E-2</v>
      </c>
      <c r="F44" s="290">
        <f t="shared" si="3"/>
        <v>106285.48592462158</v>
      </c>
    </row>
    <row r="45" spans="3:14">
      <c r="C45" s="785" t="s">
        <v>1017</v>
      </c>
      <c r="D45" s="290">
        <v>79432</v>
      </c>
      <c r="E45" s="139">
        <f>(D45/$D$30)+$G$28</f>
        <v>3.1660763321046059E-2</v>
      </c>
      <c r="F45" s="290">
        <f t="shared" si="3"/>
        <v>218231.84239336173</v>
      </c>
      <c r="I45" s="829"/>
      <c r="J45" s="829"/>
      <c r="K45" s="829"/>
      <c r="L45" s="829"/>
      <c r="M45" s="829"/>
      <c r="N45" s="829"/>
    </row>
    <row r="46" spans="3:14">
      <c r="C46" s="785" t="s">
        <v>1018</v>
      </c>
      <c r="D46" s="290">
        <v>7752</v>
      </c>
      <c r="E46" s="139">
        <f t="shared" si="4"/>
        <v>1.3979975539338666E-2</v>
      </c>
      <c r="F46" s="290">
        <f t="shared" si="3"/>
        <v>96361.410735033671</v>
      </c>
      <c r="I46" s="829"/>
      <c r="J46" s="829"/>
      <c r="K46" s="829"/>
      <c r="L46" s="829"/>
      <c r="M46" s="829"/>
      <c r="N46" s="829"/>
    </row>
    <row r="47" spans="3:14">
      <c r="C47" s="785" t="s">
        <v>1019</v>
      </c>
      <c r="D47" s="290">
        <v>184722</v>
      </c>
      <c r="E47" s="139">
        <f t="shared" si="4"/>
        <v>5.7631887003188512E-2</v>
      </c>
      <c r="F47" s="290">
        <f>E47*$F$30</f>
        <v>397246.04090487625</v>
      </c>
      <c r="I47" s="829"/>
      <c r="J47" s="829"/>
      <c r="K47" s="829"/>
      <c r="L47" s="829"/>
      <c r="M47" s="829"/>
      <c r="N47" s="829"/>
    </row>
    <row r="48" spans="3:14" ht="10.5" customHeight="1">
      <c r="C48" s="153" t="s">
        <v>1020</v>
      </c>
    </row>
    <row r="49" spans="3:10" ht="9" customHeight="1">
      <c r="C49" s="153" t="s">
        <v>1021</v>
      </c>
    </row>
    <row r="50" spans="3:10" ht="8.25" customHeight="1">
      <c r="C50" s="153" t="s">
        <v>1022</v>
      </c>
      <c r="D50" s="153"/>
      <c r="E50" s="153"/>
      <c r="F50" s="153"/>
      <c r="G50" s="153"/>
    </row>
    <row r="53" spans="3:10">
      <c r="C53" s="802" t="s">
        <v>1023</v>
      </c>
      <c r="D53" s="802"/>
    </row>
    <row r="54" spans="3:10">
      <c r="C54" s="141" t="s">
        <v>1024</v>
      </c>
      <c r="D54" s="12">
        <f>D65</f>
        <v>2576.3000000000002</v>
      </c>
      <c r="J54" s="138"/>
    </row>
    <row r="55" spans="3:10">
      <c r="C55" s="141" t="s">
        <v>1025</v>
      </c>
      <c r="D55" s="12">
        <f>D54/10000</f>
        <v>0.25763000000000003</v>
      </c>
      <c r="G55" s="60"/>
    </row>
    <row r="56" spans="3:10">
      <c r="C56" s="141" t="s">
        <v>1026</v>
      </c>
      <c r="D56" s="146">
        <f>'Quadro de áreas'!G12</f>
        <v>11973.16</v>
      </c>
    </row>
    <row r="57" spans="3:10">
      <c r="C57" s="141" t="s">
        <v>1027</v>
      </c>
      <c r="D57" s="12">
        <f>D56*D55</f>
        <v>3084.6452108000003</v>
      </c>
      <c r="G57" s="123"/>
      <c r="I57" s="124"/>
      <c r="J57" s="124"/>
    </row>
    <row r="58" spans="3:10">
      <c r="C58" s="141" t="s">
        <v>1028</v>
      </c>
      <c r="D58" s="12" t="s">
        <v>60</v>
      </c>
    </row>
    <row r="59" spans="3:10">
      <c r="C59" s="141" t="s">
        <v>1029</v>
      </c>
      <c r="D59" s="12">
        <f>D57</f>
        <v>3084.6452108000003</v>
      </c>
    </row>
    <row r="60" spans="3:10">
      <c r="C60" s="141" t="s">
        <v>1030</v>
      </c>
      <c r="D60" s="12">
        <f>D59*12</f>
        <v>37015.7425296</v>
      </c>
    </row>
    <row r="62" spans="3:10">
      <c r="C62" s="147" t="s">
        <v>251</v>
      </c>
      <c r="D62" s="148" t="s">
        <v>1031</v>
      </c>
      <c r="E62" s="148"/>
      <c r="F62" s="343"/>
    </row>
    <row r="63" spans="3:10">
      <c r="C63" s="149" t="s">
        <v>1032</v>
      </c>
      <c r="D63" s="826" t="s">
        <v>1033</v>
      </c>
      <c r="E63" s="827"/>
      <c r="F63" s="828"/>
    </row>
    <row r="64" spans="3:10">
      <c r="C64" s="149" t="s">
        <v>1034</v>
      </c>
      <c r="D64" s="784" t="s">
        <v>1035</v>
      </c>
      <c r="E64" s="784"/>
      <c r="F64" s="785"/>
    </row>
    <row r="65" spans="3:50">
      <c r="C65" s="150" t="s">
        <v>1036</v>
      </c>
      <c r="D65" s="151">
        <v>2576.3000000000002</v>
      </c>
      <c r="E65" s="151"/>
      <c r="F65" s="152"/>
    </row>
    <row r="68" spans="3:50" s="348" customFormat="1" ht="14.45" customHeight="1">
      <c r="C68" s="348" t="s">
        <v>951</v>
      </c>
    </row>
    <row r="69" spans="3:50" s="348" customFormat="1" ht="14.45" customHeight="1"/>
    <row r="71" spans="3:50">
      <c r="J71" s="324" t="s">
        <v>497</v>
      </c>
      <c r="K71" s="372" t="s">
        <v>91</v>
      </c>
      <c r="L71" s="372" t="s">
        <v>84</v>
      </c>
      <c r="M71" s="372" t="s">
        <v>86</v>
      </c>
      <c r="N71" s="372" t="s">
        <v>92</v>
      </c>
      <c r="O71" s="372" t="s">
        <v>93</v>
      </c>
      <c r="P71" s="372" t="s">
        <v>94</v>
      </c>
      <c r="Q71" s="372" t="s">
        <v>95</v>
      </c>
      <c r="R71" s="372" t="s">
        <v>96</v>
      </c>
      <c r="S71" s="372" t="s">
        <v>97</v>
      </c>
      <c r="T71" s="372" t="s">
        <v>98</v>
      </c>
      <c r="U71" s="372" t="s">
        <v>99</v>
      </c>
      <c r="V71" s="372" t="s">
        <v>100</v>
      </c>
      <c r="W71" s="372" t="s">
        <v>101</v>
      </c>
      <c r="X71" s="372" t="s">
        <v>102</v>
      </c>
      <c r="Y71" s="372" t="s">
        <v>103</v>
      </c>
      <c r="Z71" s="372" t="s">
        <v>104</v>
      </c>
      <c r="AA71" s="372" t="s">
        <v>105</v>
      </c>
      <c r="AB71" s="372" t="s">
        <v>106</v>
      </c>
      <c r="AC71" s="372" t="s">
        <v>107</v>
      </c>
      <c r="AD71" s="372" t="s">
        <v>108</v>
      </c>
      <c r="AE71" s="372" t="s">
        <v>109</v>
      </c>
      <c r="AF71" s="372" t="s">
        <v>110</v>
      </c>
      <c r="AG71" s="372" t="s">
        <v>111</v>
      </c>
      <c r="AH71" s="372" t="s">
        <v>112</v>
      </c>
      <c r="AI71" s="372" t="s">
        <v>113</v>
      </c>
      <c r="AJ71" s="372" t="s">
        <v>114</v>
      </c>
      <c r="AK71" s="372" t="s">
        <v>115</v>
      </c>
      <c r="AL71" s="372" t="s">
        <v>116</v>
      </c>
      <c r="AM71" s="372" t="s">
        <v>117</v>
      </c>
      <c r="AN71" s="372" t="s">
        <v>118</v>
      </c>
      <c r="AO71" s="372" t="s">
        <v>119</v>
      </c>
      <c r="AP71" s="372" t="s">
        <v>120</v>
      </c>
      <c r="AQ71" s="372" t="s">
        <v>121</v>
      </c>
      <c r="AR71" s="372" t="s">
        <v>122</v>
      </c>
      <c r="AS71" s="372" t="s">
        <v>123</v>
      </c>
      <c r="AT71" s="372" t="s">
        <v>124</v>
      </c>
    </row>
    <row r="72" spans="3:50">
      <c r="C72" s="316" t="s">
        <v>1032</v>
      </c>
      <c r="D72" s="316" t="s">
        <v>1037</v>
      </c>
      <c r="E72" s="316" t="s">
        <v>1038</v>
      </c>
      <c r="F72" s="316" t="s">
        <v>1039</v>
      </c>
      <c r="G72" s="316" t="s">
        <v>1040</v>
      </c>
      <c r="H72" s="316" t="s">
        <v>1041</v>
      </c>
      <c r="J72" s="324" t="s">
        <v>1042</v>
      </c>
      <c r="K72" s="12">
        <f>SUM(K73:K87)*(1+Aux.BDI!$G$49)</f>
        <v>0</v>
      </c>
      <c r="L72" s="12">
        <f>SUM(L73:L87)*(1+Aux.BDI!$G$49)</f>
        <v>0</v>
      </c>
      <c r="M72" s="12">
        <f>SUM(M73:M87)*(1+Aux.BDI!$G$49)</f>
        <v>0</v>
      </c>
      <c r="N72" s="12">
        <f>SUM(N73:N87)*(1+Aux.BDI!$G$49)</f>
        <v>11980.428554722606</v>
      </c>
      <c r="O72" s="12">
        <f>SUM(O73:O87)*(1+Aux.BDI!$G$49)</f>
        <v>11980.428554722606</v>
      </c>
      <c r="P72" s="12">
        <f>SUM(P73:P87)*(1+Aux.BDI!$G$49)</f>
        <v>15159.419121033117</v>
      </c>
      <c r="Q72" s="12">
        <f>SUM(Q73:Q87)*(1+Aux.BDI!$G$49)</f>
        <v>11980.428554722606</v>
      </c>
      <c r="R72" s="12">
        <f>SUM(R73:R87)*(1+Aux.BDI!$G$49)</f>
        <v>31667.66869524918</v>
      </c>
      <c r="S72" s="12">
        <f>SUM(S73:S87)*(1+Aux.BDI!$G$49)</f>
        <v>15159.419121033117</v>
      </c>
      <c r="T72" s="12">
        <f>SUM(T73:T87)*(1+Aux.BDI!$G$49)</f>
        <v>11980.428554722606</v>
      </c>
      <c r="U72" s="12">
        <f>SUM(U73:U87)*(1+Aux.BDI!$G$49)</f>
        <v>11980.428554722606</v>
      </c>
      <c r="V72" s="12">
        <f>SUM(V73:V87)*(1+Aux.BDI!$G$49)</f>
        <v>15159.419121033117</v>
      </c>
      <c r="W72" s="12">
        <f>SUM(W73:W87)*(1+Aux.BDI!$G$49)</f>
        <v>31667.66869524918</v>
      </c>
      <c r="X72" s="12">
        <f>SUM(X73:X87)*(1+Aux.BDI!$G$49)</f>
        <v>11980.428554722606</v>
      </c>
      <c r="Y72" s="12">
        <f>SUM(Y73:Y87)*(1+Aux.BDI!$G$49)</f>
        <v>15159.419121033117</v>
      </c>
      <c r="Z72" s="12">
        <f>SUM(Z73:Z87)*(1+Aux.BDI!$G$49)</f>
        <v>11980.428554722606</v>
      </c>
      <c r="AA72" s="12">
        <f>SUM(AA73:AA87)*(1+Aux.BDI!$G$49)</f>
        <v>11980.428554722606</v>
      </c>
      <c r="AB72" s="12">
        <f>SUM(AB73:AB87)*(1+Aux.BDI!$G$49)</f>
        <v>47075.946831383873</v>
      </c>
      <c r="AC72" s="12">
        <f>SUM(AC73:AC87)*(1+Aux.BDI!$G$49)</f>
        <v>11980.428554722606</v>
      </c>
      <c r="AD72" s="12">
        <f>SUM(AD73:AD87)*(1+Aux.BDI!$G$49)</f>
        <v>11980.428554722606</v>
      </c>
      <c r="AE72" s="12">
        <f>SUM(AE73:AE87)*(1+Aux.BDI!$G$49)</f>
        <v>15159.419121033117</v>
      </c>
      <c r="AF72" s="12">
        <f>SUM(AF73:AF87)*(1+Aux.BDI!$G$49)</f>
        <v>11980.428554722606</v>
      </c>
      <c r="AG72" s="12">
        <f>SUM(AG73:AG87)*(1+Aux.BDI!$G$49)</f>
        <v>31667.66869524918</v>
      </c>
      <c r="AH72" s="12">
        <f>SUM(AH73:AH87)*(1+Aux.BDI!$G$49)</f>
        <v>15159.419121033117</v>
      </c>
      <c r="AI72" s="12">
        <f>SUM(AI73:AI87)*(1+Aux.BDI!$G$49)</f>
        <v>11980.428554722606</v>
      </c>
      <c r="AJ72" s="12">
        <f>SUM(AJ73:AJ87)*(1+Aux.BDI!$G$49)</f>
        <v>11980.428554722606</v>
      </c>
      <c r="AK72" s="12">
        <f>SUM(AK73:AK87)*(1+Aux.BDI!$G$49)</f>
        <v>15159.419121033117</v>
      </c>
      <c r="AL72" s="12">
        <f>SUM(AL73:AL87)*(1+Aux.BDI!$G$49)</f>
        <v>31667.66869524918</v>
      </c>
      <c r="AM72" s="12">
        <f>SUM(AM73:AM87)*(1+Aux.BDI!$G$49)</f>
        <v>11980.428554722606</v>
      </c>
      <c r="AN72" s="12">
        <f>SUM(AN73:AN87)*(1+Aux.BDI!$G$49)</f>
        <v>15159.419121033117</v>
      </c>
      <c r="AO72" s="12">
        <f>SUM(AO73:AO87)*(1+Aux.BDI!$G$49)</f>
        <v>11980.428554722606</v>
      </c>
      <c r="AP72" s="12">
        <f>SUM(AP73:AP87)*(1+Aux.BDI!$G$49)</f>
        <v>11980.428554722606</v>
      </c>
      <c r="AQ72" s="12">
        <f>SUM(AQ73:AQ87)*(1+Aux.BDI!$G$49)</f>
        <v>47075.946831383873</v>
      </c>
      <c r="AR72" s="12">
        <f>SUM(AR73:AR87)*(1+Aux.BDI!$G$49)</f>
        <v>11980.428554722606</v>
      </c>
      <c r="AS72" s="12">
        <f>SUM(AS73:AS87)*(1+Aux.BDI!$G$49)</f>
        <v>11980.428554722606</v>
      </c>
      <c r="AT72" s="12">
        <f>SUM(AT73:AT87)*(1+Aux.BDI!$G$49)</f>
        <v>15159.419121033117</v>
      </c>
      <c r="AU72" s="373"/>
    </row>
    <row r="73" spans="3:50">
      <c r="C73" s="324" t="s">
        <v>1043</v>
      </c>
      <c r="D73" s="322">
        <f>'CAPEX - Aquisições'!C56</f>
        <v>6</v>
      </c>
      <c r="E73" s="318">
        <v>289.26666666666665</v>
      </c>
      <c r="F73" s="318">
        <f t="shared" ref="F73:F87" si="5">E73*D73</f>
        <v>1735.6</v>
      </c>
      <c r="G73" s="322">
        <f>'CAPEX - Aquisições'!F75+'CAPEX - Aquisições'!G75</f>
        <v>3</v>
      </c>
      <c r="H73" s="322">
        <v>1</v>
      </c>
      <c r="J73" s="324" t="s">
        <v>1043</v>
      </c>
      <c r="K73" s="12" t="str">
        <f t="shared" ref="K73:T87" si="6">IF(COLUMN()-COLUMN($K$71)&lt;$G73,"-",IF(MOD(COLUMN()-COLUMN($K$71)-$G73,$H73)=0,$F73,"-"))</f>
        <v>-</v>
      </c>
      <c r="L73" s="12" t="str">
        <f t="shared" si="6"/>
        <v>-</v>
      </c>
      <c r="M73" s="12" t="str">
        <f t="shared" si="6"/>
        <v>-</v>
      </c>
      <c r="N73" s="12">
        <f t="shared" ref="N73:N87" si="7">IF(COLUMN()-COLUMN($K$71)&lt;$G73,"-",IF(MOD(COLUMN()-COLUMN($K$71)-$G73,$H73)=0,$F73,"-"))</f>
        <v>1735.6</v>
      </c>
      <c r="O73" s="12">
        <f t="shared" si="6"/>
        <v>1735.6</v>
      </c>
      <c r="P73" s="12">
        <f t="shared" si="6"/>
        <v>1735.6</v>
      </c>
      <c r="Q73" s="12">
        <f t="shared" si="6"/>
        <v>1735.6</v>
      </c>
      <c r="R73" s="12">
        <f t="shared" si="6"/>
        <v>1735.6</v>
      </c>
      <c r="S73" s="12">
        <f t="shared" si="6"/>
        <v>1735.6</v>
      </c>
      <c r="T73" s="12">
        <f t="shared" si="6"/>
        <v>1735.6</v>
      </c>
      <c r="U73" s="12">
        <f t="shared" ref="U73:AD87" si="8">IF(COLUMN()-COLUMN($K$71)&lt;$G73,"-",IF(MOD(COLUMN()-COLUMN($K$71)-$G73,$H73)=0,$F73,"-"))</f>
        <v>1735.6</v>
      </c>
      <c r="V73" s="12">
        <f t="shared" si="8"/>
        <v>1735.6</v>
      </c>
      <c r="W73" s="12">
        <f t="shared" si="8"/>
        <v>1735.6</v>
      </c>
      <c r="X73" s="12">
        <f t="shared" si="8"/>
        <v>1735.6</v>
      </c>
      <c r="Y73" s="12">
        <f t="shared" si="8"/>
        <v>1735.6</v>
      </c>
      <c r="Z73" s="12">
        <f t="shared" si="8"/>
        <v>1735.6</v>
      </c>
      <c r="AA73" s="12">
        <f t="shared" si="8"/>
        <v>1735.6</v>
      </c>
      <c r="AB73" s="12">
        <f t="shared" si="8"/>
        <v>1735.6</v>
      </c>
      <c r="AC73" s="12">
        <f t="shared" si="8"/>
        <v>1735.6</v>
      </c>
      <c r="AD73" s="12">
        <f t="shared" si="8"/>
        <v>1735.6</v>
      </c>
      <c r="AE73" s="12">
        <f t="shared" ref="AE73:AN87" si="9">IF(COLUMN()-COLUMN($K$71)&lt;$G73,"-",IF(MOD(COLUMN()-COLUMN($K$71)-$G73,$H73)=0,$F73,"-"))</f>
        <v>1735.6</v>
      </c>
      <c r="AF73" s="12">
        <f t="shared" si="9"/>
        <v>1735.6</v>
      </c>
      <c r="AG73" s="12">
        <f t="shared" si="9"/>
        <v>1735.6</v>
      </c>
      <c r="AH73" s="12">
        <f t="shared" si="9"/>
        <v>1735.6</v>
      </c>
      <c r="AI73" s="12">
        <f t="shared" si="9"/>
        <v>1735.6</v>
      </c>
      <c r="AJ73" s="12">
        <f t="shared" si="9"/>
        <v>1735.6</v>
      </c>
      <c r="AK73" s="12">
        <f t="shared" si="9"/>
        <v>1735.6</v>
      </c>
      <c r="AL73" s="12">
        <f t="shared" si="9"/>
        <v>1735.6</v>
      </c>
      <c r="AM73" s="12">
        <f t="shared" si="9"/>
        <v>1735.6</v>
      </c>
      <c r="AN73" s="12">
        <f t="shared" si="9"/>
        <v>1735.6</v>
      </c>
      <c r="AO73" s="12">
        <f t="shared" ref="AO73:AT87" si="10">IF(COLUMN()-COLUMN($K$71)&lt;$G73,"-",IF(MOD(COLUMN()-COLUMN($K$71)-$G73,$H73)=0,$F73,"-"))</f>
        <v>1735.6</v>
      </c>
      <c r="AP73" s="12">
        <f t="shared" si="10"/>
        <v>1735.6</v>
      </c>
      <c r="AQ73" s="12">
        <f t="shared" si="10"/>
        <v>1735.6</v>
      </c>
      <c r="AR73" s="12">
        <f t="shared" si="10"/>
        <v>1735.6</v>
      </c>
      <c r="AS73" s="12">
        <f t="shared" si="10"/>
        <v>1735.6</v>
      </c>
      <c r="AT73" s="12">
        <f t="shared" si="10"/>
        <v>1735.6</v>
      </c>
      <c r="AU73" s="373"/>
      <c r="AV73" s="373"/>
      <c r="AW73" s="373"/>
      <c r="AX73" s="373"/>
    </row>
    <row r="74" spans="3:50">
      <c r="C74" s="324" t="s">
        <v>1044</v>
      </c>
      <c r="D74" s="322">
        <f>'CAPEX - Aquisições'!C57</f>
        <v>3</v>
      </c>
      <c r="E74" s="318">
        <v>1349.3566666666666</v>
      </c>
      <c r="F74" s="318">
        <f t="shared" si="5"/>
        <v>4048.0699999999997</v>
      </c>
      <c r="G74" s="322">
        <f>'CAPEX - Aquisições'!F76+'CAPEX - Aquisições'!G76</f>
        <v>3</v>
      </c>
      <c r="H74" s="322">
        <v>1</v>
      </c>
      <c r="J74" s="324" t="s">
        <v>1044</v>
      </c>
      <c r="K74" s="12" t="str">
        <f t="shared" si="6"/>
        <v>-</v>
      </c>
      <c r="L74" s="12" t="str">
        <f t="shared" si="6"/>
        <v>-</v>
      </c>
      <c r="M74" s="12" t="str">
        <f t="shared" si="6"/>
        <v>-</v>
      </c>
      <c r="N74" s="12">
        <f t="shared" si="7"/>
        <v>4048.0699999999997</v>
      </c>
      <c r="O74" s="12">
        <f t="shared" si="6"/>
        <v>4048.0699999999997</v>
      </c>
      <c r="P74" s="12">
        <f t="shared" si="6"/>
        <v>4048.0699999999997</v>
      </c>
      <c r="Q74" s="12">
        <f t="shared" si="6"/>
        <v>4048.0699999999997</v>
      </c>
      <c r="R74" s="12">
        <f t="shared" si="6"/>
        <v>4048.0699999999997</v>
      </c>
      <c r="S74" s="12">
        <f t="shared" si="6"/>
        <v>4048.0699999999997</v>
      </c>
      <c r="T74" s="12">
        <f t="shared" si="6"/>
        <v>4048.0699999999997</v>
      </c>
      <c r="U74" s="12">
        <f t="shared" si="8"/>
        <v>4048.0699999999997</v>
      </c>
      <c r="V74" s="12">
        <f t="shared" si="8"/>
        <v>4048.0699999999997</v>
      </c>
      <c r="W74" s="12">
        <f t="shared" si="8"/>
        <v>4048.0699999999997</v>
      </c>
      <c r="X74" s="12">
        <f t="shared" si="8"/>
        <v>4048.0699999999997</v>
      </c>
      <c r="Y74" s="12">
        <f t="shared" si="8"/>
        <v>4048.0699999999997</v>
      </c>
      <c r="Z74" s="12">
        <f t="shared" si="8"/>
        <v>4048.0699999999997</v>
      </c>
      <c r="AA74" s="12">
        <f t="shared" si="8"/>
        <v>4048.0699999999997</v>
      </c>
      <c r="AB74" s="12">
        <f t="shared" si="8"/>
        <v>4048.0699999999997</v>
      </c>
      <c r="AC74" s="12">
        <f t="shared" si="8"/>
        <v>4048.0699999999997</v>
      </c>
      <c r="AD74" s="12">
        <f t="shared" si="8"/>
        <v>4048.0699999999997</v>
      </c>
      <c r="AE74" s="12">
        <f t="shared" si="9"/>
        <v>4048.0699999999997</v>
      </c>
      <c r="AF74" s="12">
        <f t="shared" si="9"/>
        <v>4048.0699999999997</v>
      </c>
      <c r="AG74" s="12">
        <f t="shared" si="9"/>
        <v>4048.0699999999997</v>
      </c>
      <c r="AH74" s="12">
        <f t="shared" si="9"/>
        <v>4048.0699999999997</v>
      </c>
      <c r="AI74" s="12">
        <f t="shared" si="9"/>
        <v>4048.0699999999997</v>
      </c>
      <c r="AJ74" s="12">
        <f t="shared" si="9"/>
        <v>4048.0699999999997</v>
      </c>
      <c r="AK74" s="12">
        <f t="shared" si="9"/>
        <v>4048.0699999999997</v>
      </c>
      <c r="AL74" s="12">
        <f t="shared" si="9"/>
        <v>4048.0699999999997</v>
      </c>
      <c r="AM74" s="12">
        <f t="shared" si="9"/>
        <v>4048.0699999999997</v>
      </c>
      <c r="AN74" s="12">
        <f t="shared" si="9"/>
        <v>4048.0699999999997</v>
      </c>
      <c r="AO74" s="12">
        <f t="shared" si="10"/>
        <v>4048.0699999999997</v>
      </c>
      <c r="AP74" s="12">
        <f t="shared" si="10"/>
        <v>4048.0699999999997</v>
      </c>
      <c r="AQ74" s="12">
        <f t="shared" si="10"/>
        <v>4048.0699999999997</v>
      </c>
      <c r="AR74" s="12">
        <f t="shared" si="10"/>
        <v>4048.0699999999997</v>
      </c>
      <c r="AS74" s="12">
        <f t="shared" si="10"/>
        <v>4048.0699999999997</v>
      </c>
      <c r="AT74" s="12">
        <f t="shared" si="10"/>
        <v>4048.0699999999997</v>
      </c>
      <c r="AU74" s="373"/>
      <c r="AV74" s="373"/>
      <c r="AW74" s="373"/>
      <c r="AX74" s="373"/>
    </row>
    <row r="75" spans="3:50">
      <c r="C75" s="324" t="s">
        <v>1045</v>
      </c>
      <c r="D75" s="322">
        <f>'CAPEX - Aquisições'!C58</f>
        <v>20</v>
      </c>
      <c r="E75" s="318">
        <v>123.69666666666667</v>
      </c>
      <c r="F75" s="318">
        <f t="shared" si="5"/>
        <v>2473.9333333333334</v>
      </c>
      <c r="G75" s="322">
        <f>'CAPEX - Aquisições'!F77+'CAPEX - Aquisições'!G77</f>
        <v>7</v>
      </c>
      <c r="H75" s="322">
        <v>5</v>
      </c>
      <c r="J75" s="324" t="s">
        <v>1045</v>
      </c>
      <c r="K75" s="12" t="str">
        <f t="shared" si="6"/>
        <v>-</v>
      </c>
      <c r="L75" s="12" t="str">
        <f t="shared" si="6"/>
        <v>-</v>
      </c>
      <c r="M75" s="12" t="str">
        <f t="shared" si="6"/>
        <v>-</v>
      </c>
      <c r="N75" s="12" t="str">
        <f t="shared" si="7"/>
        <v>-</v>
      </c>
      <c r="O75" s="12" t="str">
        <f t="shared" si="6"/>
        <v>-</v>
      </c>
      <c r="P75" s="12" t="str">
        <f t="shared" si="6"/>
        <v>-</v>
      </c>
      <c r="Q75" s="12" t="str">
        <f t="shared" si="6"/>
        <v>-</v>
      </c>
      <c r="R75" s="12">
        <f t="shared" si="6"/>
        <v>2473.9333333333334</v>
      </c>
      <c r="S75" s="12" t="str">
        <f t="shared" si="6"/>
        <v>-</v>
      </c>
      <c r="T75" s="12" t="str">
        <f t="shared" si="6"/>
        <v>-</v>
      </c>
      <c r="U75" s="12" t="str">
        <f t="shared" si="8"/>
        <v>-</v>
      </c>
      <c r="V75" s="12" t="str">
        <f t="shared" si="8"/>
        <v>-</v>
      </c>
      <c r="W75" s="12">
        <f t="shared" si="8"/>
        <v>2473.9333333333334</v>
      </c>
      <c r="X75" s="12" t="str">
        <f t="shared" si="8"/>
        <v>-</v>
      </c>
      <c r="Y75" s="12" t="str">
        <f t="shared" si="8"/>
        <v>-</v>
      </c>
      <c r="Z75" s="12" t="str">
        <f t="shared" si="8"/>
        <v>-</v>
      </c>
      <c r="AA75" s="12" t="str">
        <f t="shared" si="8"/>
        <v>-</v>
      </c>
      <c r="AB75" s="12">
        <f t="shared" si="8"/>
        <v>2473.9333333333334</v>
      </c>
      <c r="AC75" s="12" t="str">
        <f t="shared" si="8"/>
        <v>-</v>
      </c>
      <c r="AD75" s="12" t="str">
        <f t="shared" si="8"/>
        <v>-</v>
      </c>
      <c r="AE75" s="12" t="str">
        <f t="shared" si="9"/>
        <v>-</v>
      </c>
      <c r="AF75" s="12" t="str">
        <f t="shared" si="9"/>
        <v>-</v>
      </c>
      <c r="AG75" s="12">
        <f t="shared" si="9"/>
        <v>2473.9333333333334</v>
      </c>
      <c r="AH75" s="12" t="str">
        <f t="shared" si="9"/>
        <v>-</v>
      </c>
      <c r="AI75" s="12" t="str">
        <f t="shared" si="9"/>
        <v>-</v>
      </c>
      <c r="AJ75" s="12" t="str">
        <f t="shared" si="9"/>
        <v>-</v>
      </c>
      <c r="AK75" s="12" t="str">
        <f t="shared" si="9"/>
        <v>-</v>
      </c>
      <c r="AL75" s="12">
        <f t="shared" si="9"/>
        <v>2473.9333333333334</v>
      </c>
      <c r="AM75" s="12" t="str">
        <f t="shared" si="9"/>
        <v>-</v>
      </c>
      <c r="AN75" s="12" t="str">
        <f t="shared" si="9"/>
        <v>-</v>
      </c>
      <c r="AO75" s="12" t="str">
        <f t="shared" si="10"/>
        <v>-</v>
      </c>
      <c r="AP75" s="12" t="str">
        <f t="shared" si="10"/>
        <v>-</v>
      </c>
      <c r="AQ75" s="12">
        <f t="shared" si="10"/>
        <v>2473.9333333333334</v>
      </c>
      <c r="AR75" s="12" t="str">
        <f t="shared" si="10"/>
        <v>-</v>
      </c>
      <c r="AS75" s="12" t="str">
        <f t="shared" si="10"/>
        <v>-</v>
      </c>
      <c r="AT75" s="12" t="str">
        <f t="shared" si="10"/>
        <v>-</v>
      </c>
      <c r="AU75" s="373"/>
      <c r="AV75" s="373"/>
      <c r="AW75" s="373"/>
      <c r="AX75" s="373"/>
    </row>
    <row r="76" spans="3:50">
      <c r="C76" s="324" t="s">
        <v>1046</v>
      </c>
      <c r="D76" s="322">
        <f>'CAPEX - Aquisições'!C59</f>
        <v>20</v>
      </c>
      <c r="E76" s="318">
        <v>172.45666666666668</v>
      </c>
      <c r="F76" s="318">
        <f t="shared" si="5"/>
        <v>3449.1333333333337</v>
      </c>
      <c r="G76" s="322">
        <f>'CAPEX - Aquisições'!F78+'CAPEX - Aquisições'!G78</f>
        <v>7</v>
      </c>
      <c r="H76" s="322">
        <v>5</v>
      </c>
      <c r="J76" s="324" t="s">
        <v>1046</v>
      </c>
      <c r="K76" s="12" t="str">
        <f t="shared" si="6"/>
        <v>-</v>
      </c>
      <c r="L76" s="12" t="str">
        <f t="shared" si="6"/>
        <v>-</v>
      </c>
      <c r="M76" s="12" t="str">
        <f t="shared" si="6"/>
        <v>-</v>
      </c>
      <c r="N76" s="12" t="str">
        <f t="shared" si="7"/>
        <v>-</v>
      </c>
      <c r="O76" s="12" t="str">
        <f t="shared" si="6"/>
        <v>-</v>
      </c>
      <c r="P76" s="12" t="str">
        <f t="shared" si="6"/>
        <v>-</v>
      </c>
      <c r="Q76" s="12" t="str">
        <f t="shared" si="6"/>
        <v>-</v>
      </c>
      <c r="R76" s="12">
        <f t="shared" si="6"/>
        <v>3449.1333333333337</v>
      </c>
      <c r="S76" s="12" t="str">
        <f t="shared" si="6"/>
        <v>-</v>
      </c>
      <c r="T76" s="12" t="str">
        <f t="shared" si="6"/>
        <v>-</v>
      </c>
      <c r="U76" s="12" t="str">
        <f t="shared" si="8"/>
        <v>-</v>
      </c>
      <c r="V76" s="12" t="str">
        <f t="shared" si="8"/>
        <v>-</v>
      </c>
      <c r="W76" s="12">
        <f t="shared" si="8"/>
        <v>3449.1333333333337</v>
      </c>
      <c r="X76" s="12" t="str">
        <f t="shared" si="8"/>
        <v>-</v>
      </c>
      <c r="Y76" s="12" t="str">
        <f t="shared" si="8"/>
        <v>-</v>
      </c>
      <c r="Z76" s="12" t="str">
        <f t="shared" si="8"/>
        <v>-</v>
      </c>
      <c r="AA76" s="12" t="str">
        <f t="shared" si="8"/>
        <v>-</v>
      </c>
      <c r="AB76" s="12">
        <f t="shared" si="8"/>
        <v>3449.1333333333337</v>
      </c>
      <c r="AC76" s="12" t="str">
        <f t="shared" si="8"/>
        <v>-</v>
      </c>
      <c r="AD76" s="12" t="str">
        <f t="shared" si="8"/>
        <v>-</v>
      </c>
      <c r="AE76" s="12" t="str">
        <f t="shared" si="9"/>
        <v>-</v>
      </c>
      <c r="AF76" s="12" t="str">
        <f t="shared" si="9"/>
        <v>-</v>
      </c>
      <c r="AG76" s="12">
        <f t="shared" si="9"/>
        <v>3449.1333333333337</v>
      </c>
      <c r="AH76" s="12" t="str">
        <f t="shared" si="9"/>
        <v>-</v>
      </c>
      <c r="AI76" s="12" t="str">
        <f t="shared" si="9"/>
        <v>-</v>
      </c>
      <c r="AJ76" s="12" t="str">
        <f t="shared" si="9"/>
        <v>-</v>
      </c>
      <c r="AK76" s="12" t="str">
        <f t="shared" si="9"/>
        <v>-</v>
      </c>
      <c r="AL76" s="12">
        <f t="shared" si="9"/>
        <v>3449.1333333333337</v>
      </c>
      <c r="AM76" s="12" t="str">
        <f t="shared" si="9"/>
        <v>-</v>
      </c>
      <c r="AN76" s="12" t="str">
        <f t="shared" si="9"/>
        <v>-</v>
      </c>
      <c r="AO76" s="12" t="str">
        <f t="shared" si="10"/>
        <v>-</v>
      </c>
      <c r="AP76" s="12" t="str">
        <f t="shared" si="10"/>
        <v>-</v>
      </c>
      <c r="AQ76" s="12">
        <f t="shared" si="10"/>
        <v>3449.1333333333337</v>
      </c>
      <c r="AR76" s="12" t="str">
        <f t="shared" si="10"/>
        <v>-</v>
      </c>
      <c r="AS76" s="12" t="str">
        <f t="shared" si="10"/>
        <v>-</v>
      </c>
      <c r="AT76" s="12" t="str">
        <f t="shared" si="10"/>
        <v>-</v>
      </c>
      <c r="AU76" s="373"/>
      <c r="AV76" s="373"/>
      <c r="AW76" s="373"/>
      <c r="AX76" s="373"/>
    </row>
    <row r="77" spans="3:50">
      <c r="C77" s="324" t="s">
        <v>1047</v>
      </c>
      <c r="D77" s="322">
        <f>'CAPEX - Aquisições'!C60</f>
        <v>10</v>
      </c>
      <c r="E77" s="318">
        <v>556.32666666666671</v>
      </c>
      <c r="F77" s="318">
        <f t="shared" si="5"/>
        <v>5563.2666666666673</v>
      </c>
      <c r="G77" s="322">
        <f>'CAPEX - Aquisições'!F79+'CAPEX - Aquisições'!G79</f>
        <v>7</v>
      </c>
      <c r="H77" s="322">
        <v>5</v>
      </c>
      <c r="J77" s="324" t="s">
        <v>1047</v>
      </c>
      <c r="K77" s="12" t="str">
        <f t="shared" si="6"/>
        <v>-</v>
      </c>
      <c r="L77" s="12" t="str">
        <f t="shared" si="6"/>
        <v>-</v>
      </c>
      <c r="M77" s="12" t="str">
        <f t="shared" si="6"/>
        <v>-</v>
      </c>
      <c r="N77" s="12" t="str">
        <f t="shared" si="7"/>
        <v>-</v>
      </c>
      <c r="O77" s="12" t="str">
        <f t="shared" si="6"/>
        <v>-</v>
      </c>
      <c r="P77" s="12" t="str">
        <f t="shared" si="6"/>
        <v>-</v>
      </c>
      <c r="Q77" s="12" t="str">
        <f t="shared" si="6"/>
        <v>-</v>
      </c>
      <c r="R77" s="12">
        <f t="shared" si="6"/>
        <v>5563.2666666666673</v>
      </c>
      <c r="S77" s="12" t="str">
        <f t="shared" si="6"/>
        <v>-</v>
      </c>
      <c r="T77" s="12" t="str">
        <f t="shared" si="6"/>
        <v>-</v>
      </c>
      <c r="U77" s="12" t="str">
        <f t="shared" si="8"/>
        <v>-</v>
      </c>
      <c r="V77" s="12" t="str">
        <f t="shared" si="8"/>
        <v>-</v>
      </c>
      <c r="W77" s="12">
        <f t="shared" si="8"/>
        <v>5563.2666666666673</v>
      </c>
      <c r="X77" s="12" t="str">
        <f t="shared" si="8"/>
        <v>-</v>
      </c>
      <c r="Y77" s="12" t="str">
        <f t="shared" si="8"/>
        <v>-</v>
      </c>
      <c r="Z77" s="12" t="str">
        <f t="shared" si="8"/>
        <v>-</v>
      </c>
      <c r="AA77" s="12" t="str">
        <f t="shared" si="8"/>
        <v>-</v>
      </c>
      <c r="AB77" s="12">
        <f t="shared" si="8"/>
        <v>5563.2666666666673</v>
      </c>
      <c r="AC77" s="12" t="str">
        <f t="shared" si="8"/>
        <v>-</v>
      </c>
      <c r="AD77" s="12" t="str">
        <f t="shared" si="8"/>
        <v>-</v>
      </c>
      <c r="AE77" s="12" t="str">
        <f t="shared" si="9"/>
        <v>-</v>
      </c>
      <c r="AF77" s="12" t="str">
        <f t="shared" si="9"/>
        <v>-</v>
      </c>
      <c r="AG77" s="12">
        <f t="shared" si="9"/>
        <v>5563.2666666666673</v>
      </c>
      <c r="AH77" s="12" t="str">
        <f t="shared" si="9"/>
        <v>-</v>
      </c>
      <c r="AI77" s="12" t="str">
        <f t="shared" si="9"/>
        <v>-</v>
      </c>
      <c r="AJ77" s="12" t="str">
        <f t="shared" si="9"/>
        <v>-</v>
      </c>
      <c r="AK77" s="12" t="str">
        <f t="shared" si="9"/>
        <v>-</v>
      </c>
      <c r="AL77" s="12">
        <f t="shared" si="9"/>
        <v>5563.2666666666673</v>
      </c>
      <c r="AM77" s="12" t="str">
        <f t="shared" si="9"/>
        <v>-</v>
      </c>
      <c r="AN77" s="12" t="str">
        <f t="shared" si="9"/>
        <v>-</v>
      </c>
      <c r="AO77" s="12" t="str">
        <f t="shared" si="10"/>
        <v>-</v>
      </c>
      <c r="AP77" s="12" t="str">
        <f t="shared" si="10"/>
        <v>-</v>
      </c>
      <c r="AQ77" s="12">
        <f t="shared" si="10"/>
        <v>5563.2666666666673</v>
      </c>
      <c r="AR77" s="12" t="str">
        <f t="shared" si="10"/>
        <v>-</v>
      </c>
      <c r="AS77" s="12" t="str">
        <f t="shared" si="10"/>
        <v>-</v>
      </c>
      <c r="AT77" s="12" t="str">
        <f t="shared" si="10"/>
        <v>-</v>
      </c>
      <c r="AU77" s="373"/>
      <c r="AV77" s="373"/>
      <c r="AW77" s="373"/>
      <c r="AX77" s="373"/>
    </row>
    <row r="78" spans="3:50">
      <c r="C78" s="324" t="s">
        <v>717</v>
      </c>
      <c r="D78" s="322">
        <f>'CAPEX - Aquisições'!C61</f>
        <v>10</v>
      </c>
      <c r="E78" s="318">
        <v>128.64333333333335</v>
      </c>
      <c r="F78" s="318">
        <f t="shared" si="5"/>
        <v>1286.4333333333334</v>
      </c>
      <c r="G78" s="322">
        <f>'CAPEX - Aquisições'!F80+'CAPEX - Aquisições'!G80</f>
        <v>5</v>
      </c>
      <c r="H78" s="322">
        <v>3</v>
      </c>
      <c r="J78" s="324" t="s">
        <v>717</v>
      </c>
      <c r="K78" s="12" t="str">
        <f t="shared" si="6"/>
        <v>-</v>
      </c>
      <c r="L78" s="12" t="str">
        <f t="shared" si="6"/>
        <v>-</v>
      </c>
      <c r="M78" s="12" t="str">
        <f t="shared" si="6"/>
        <v>-</v>
      </c>
      <c r="N78" s="12" t="str">
        <f t="shared" si="7"/>
        <v>-</v>
      </c>
      <c r="O78" s="12" t="str">
        <f t="shared" si="6"/>
        <v>-</v>
      </c>
      <c r="P78" s="12">
        <f t="shared" si="6"/>
        <v>1286.4333333333334</v>
      </c>
      <c r="Q78" s="12" t="str">
        <f t="shared" si="6"/>
        <v>-</v>
      </c>
      <c r="R78" s="12" t="str">
        <f t="shared" si="6"/>
        <v>-</v>
      </c>
      <c r="S78" s="12">
        <f t="shared" si="6"/>
        <v>1286.4333333333334</v>
      </c>
      <c r="T78" s="12" t="str">
        <f t="shared" si="6"/>
        <v>-</v>
      </c>
      <c r="U78" s="12" t="str">
        <f t="shared" si="8"/>
        <v>-</v>
      </c>
      <c r="V78" s="12">
        <f t="shared" si="8"/>
        <v>1286.4333333333334</v>
      </c>
      <c r="W78" s="12" t="str">
        <f t="shared" si="8"/>
        <v>-</v>
      </c>
      <c r="X78" s="12" t="str">
        <f t="shared" si="8"/>
        <v>-</v>
      </c>
      <c r="Y78" s="12">
        <f t="shared" si="8"/>
        <v>1286.4333333333334</v>
      </c>
      <c r="Z78" s="12" t="str">
        <f t="shared" si="8"/>
        <v>-</v>
      </c>
      <c r="AA78" s="12" t="str">
        <f t="shared" si="8"/>
        <v>-</v>
      </c>
      <c r="AB78" s="12">
        <f t="shared" si="8"/>
        <v>1286.4333333333334</v>
      </c>
      <c r="AC78" s="12" t="str">
        <f t="shared" si="8"/>
        <v>-</v>
      </c>
      <c r="AD78" s="12" t="str">
        <f t="shared" si="8"/>
        <v>-</v>
      </c>
      <c r="AE78" s="12">
        <f t="shared" si="9"/>
        <v>1286.4333333333334</v>
      </c>
      <c r="AF78" s="12" t="str">
        <f t="shared" si="9"/>
        <v>-</v>
      </c>
      <c r="AG78" s="12" t="str">
        <f t="shared" si="9"/>
        <v>-</v>
      </c>
      <c r="AH78" s="12">
        <f t="shared" si="9"/>
        <v>1286.4333333333334</v>
      </c>
      <c r="AI78" s="12" t="str">
        <f t="shared" si="9"/>
        <v>-</v>
      </c>
      <c r="AJ78" s="12" t="str">
        <f t="shared" si="9"/>
        <v>-</v>
      </c>
      <c r="AK78" s="12">
        <f t="shared" si="9"/>
        <v>1286.4333333333334</v>
      </c>
      <c r="AL78" s="12" t="str">
        <f t="shared" si="9"/>
        <v>-</v>
      </c>
      <c r="AM78" s="12" t="str">
        <f t="shared" si="9"/>
        <v>-</v>
      </c>
      <c r="AN78" s="12">
        <f t="shared" si="9"/>
        <v>1286.4333333333334</v>
      </c>
      <c r="AO78" s="12" t="str">
        <f t="shared" si="10"/>
        <v>-</v>
      </c>
      <c r="AP78" s="12" t="str">
        <f t="shared" si="10"/>
        <v>-</v>
      </c>
      <c r="AQ78" s="12">
        <f t="shared" si="10"/>
        <v>1286.4333333333334</v>
      </c>
      <c r="AR78" s="12" t="str">
        <f t="shared" si="10"/>
        <v>-</v>
      </c>
      <c r="AS78" s="12" t="str">
        <f t="shared" si="10"/>
        <v>-</v>
      </c>
      <c r="AT78" s="12">
        <f t="shared" si="10"/>
        <v>1286.4333333333334</v>
      </c>
      <c r="AU78" s="373"/>
      <c r="AV78" s="373"/>
      <c r="AW78" s="373"/>
      <c r="AX78" s="373"/>
    </row>
    <row r="79" spans="3:50">
      <c r="C79" s="324" t="s">
        <v>1048</v>
      </c>
      <c r="D79" s="322">
        <f>'CAPEX - Aquisições'!C62</f>
        <v>10</v>
      </c>
      <c r="E79" s="318">
        <v>139.62</v>
      </c>
      <c r="F79" s="318">
        <f t="shared" si="5"/>
        <v>1396.2</v>
      </c>
      <c r="G79" s="322">
        <f>'CAPEX - Aquisições'!F81+'CAPEX - Aquisições'!G81</f>
        <v>7</v>
      </c>
      <c r="H79" s="322">
        <v>5</v>
      </c>
      <c r="J79" s="324" t="s">
        <v>1048</v>
      </c>
      <c r="K79" s="12" t="str">
        <f t="shared" si="6"/>
        <v>-</v>
      </c>
      <c r="L79" s="12" t="str">
        <f t="shared" si="6"/>
        <v>-</v>
      </c>
      <c r="M79" s="12" t="str">
        <f t="shared" si="6"/>
        <v>-</v>
      </c>
      <c r="N79" s="12" t="str">
        <f t="shared" si="7"/>
        <v>-</v>
      </c>
      <c r="O79" s="12" t="str">
        <f t="shared" si="6"/>
        <v>-</v>
      </c>
      <c r="P79" s="12" t="str">
        <f t="shared" si="6"/>
        <v>-</v>
      </c>
      <c r="Q79" s="12" t="str">
        <f t="shared" si="6"/>
        <v>-</v>
      </c>
      <c r="R79" s="12">
        <f t="shared" si="6"/>
        <v>1396.2</v>
      </c>
      <c r="S79" s="12" t="str">
        <f t="shared" si="6"/>
        <v>-</v>
      </c>
      <c r="T79" s="12" t="str">
        <f t="shared" si="6"/>
        <v>-</v>
      </c>
      <c r="U79" s="12" t="str">
        <f t="shared" si="8"/>
        <v>-</v>
      </c>
      <c r="V79" s="12" t="str">
        <f t="shared" si="8"/>
        <v>-</v>
      </c>
      <c r="W79" s="12">
        <f t="shared" si="8"/>
        <v>1396.2</v>
      </c>
      <c r="X79" s="12" t="str">
        <f t="shared" si="8"/>
        <v>-</v>
      </c>
      <c r="Y79" s="12" t="str">
        <f t="shared" si="8"/>
        <v>-</v>
      </c>
      <c r="Z79" s="12" t="str">
        <f t="shared" si="8"/>
        <v>-</v>
      </c>
      <c r="AA79" s="12" t="str">
        <f t="shared" si="8"/>
        <v>-</v>
      </c>
      <c r="AB79" s="12">
        <f t="shared" si="8"/>
        <v>1396.2</v>
      </c>
      <c r="AC79" s="12" t="str">
        <f t="shared" si="8"/>
        <v>-</v>
      </c>
      <c r="AD79" s="12" t="str">
        <f t="shared" si="8"/>
        <v>-</v>
      </c>
      <c r="AE79" s="12" t="str">
        <f t="shared" si="9"/>
        <v>-</v>
      </c>
      <c r="AF79" s="12" t="str">
        <f t="shared" si="9"/>
        <v>-</v>
      </c>
      <c r="AG79" s="12">
        <f t="shared" si="9"/>
        <v>1396.2</v>
      </c>
      <c r="AH79" s="12" t="str">
        <f t="shared" si="9"/>
        <v>-</v>
      </c>
      <c r="AI79" s="12" t="str">
        <f t="shared" si="9"/>
        <v>-</v>
      </c>
      <c r="AJ79" s="12" t="str">
        <f t="shared" si="9"/>
        <v>-</v>
      </c>
      <c r="AK79" s="12" t="str">
        <f t="shared" si="9"/>
        <v>-</v>
      </c>
      <c r="AL79" s="12">
        <f t="shared" si="9"/>
        <v>1396.2</v>
      </c>
      <c r="AM79" s="12" t="str">
        <f t="shared" si="9"/>
        <v>-</v>
      </c>
      <c r="AN79" s="12" t="str">
        <f t="shared" si="9"/>
        <v>-</v>
      </c>
      <c r="AO79" s="12" t="str">
        <f t="shared" si="10"/>
        <v>-</v>
      </c>
      <c r="AP79" s="12" t="str">
        <f t="shared" si="10"/>
        <v>-</v>
      </c>
      <c r="AQ79" s="12">
        <f t="shared" si="10"/>
        <v>1396.2</v>
      </c>
      <c r="AR79" s="12" t="str">
        <f t="shared" si="10"/>
        <v>-</v>
      </c>
      <c r="AS79" s="12" t="str">
        <f t="shared" si="10"/>
        <v>-</v>
      </c>
      <c r="AT79" s="12" t="str">
        <f t="shared" si="10"/>
        <v>-</v>
      </c>
      <c r="AU79" s="373"/>
      <c r="AV79" s="373"/>
      <c r="AW79" s="373"/>
      <c r="AX79" s="373"/>
    </row>
    <row r="80" spans="3:50">
      <c r="C80" s="324" t="s">
        <v>1049</v>
      </c>
      <c r="D80" s="322">
        <f>'CAPEX - Aquisições'!C63</f>
        <v>5</v>
      </c>
      <c r="E80" s="318">
        <v>111.39333333333335</v>
      </c>
      <c r="F80" s="318">
        <f t="shared" si="5"/>
        <v>556.9666666666667</v>
      </c>
      <c r="G80" s="322">
        <f>'CAPEX - Aquisições'!F82+'CAPEX - Aquisições'!G82</f>
        <v>5</v>
      </c>
      <c r="H80" s="322">
        <v>3</v>
      </c>
      <c r="J80" s="324" t="s">
        <v>1049</v>
      </c>
      <c r="K80" s="12" t="str">
        <f t="shared" si="6"/>
        <v>-</v>
      </c>
      <c r="L80" s="12" t="str">
        <f t="shared" si="6"/>
        <v>-</v>
      </c>
      <c r="M80" s="12" t="str">
        <f t="shared" si="6"/>
        <v>-</v>
      </c>
      <c r="N80" s="12" t="str">
        <f t="shared" si="7"/>
        <v>-</v>
      </c>
      <c r="O80" s="12" t="str">
        <f t="shared" si="6"/>
        <v>-</v>
      </c>
      <c r="P80" s="12">
        <f t="shared" si="6"/>
        <v>556.9666666666667</v>
      </c>
      <c r="Q80" s="12" t="str">
        <f t="shared" si="6"/>
        <v>-</v>
      </c>
      <c r="R80" s="12" t="str">
        <f t="shared" si="6"/>
        <v>-</v>
      </c>
      <c r="S80" s="12">
        <f t="shared" si="6"/>
        <v>556.9666666666667</v>
      </c>
      <c r="T80" s="12" t="str">
        <f t="shared" si="6"/>
        <v>-</v>
      </c>
      <c r="U80" s="12" t="str">
        <f t="shared" si="8"/>
        <v>-</v>
      </c>
      <c r="V80" s="12">
        <f t="shared" si="8"/>
        <v>556.9666666666667</v>
      </c>
      <c r="W80" s="12" t="str">
        <f t="shared" si="8"/>
        <v>-</v>
      </c>
      <c r="X80" s="12" t="str">
        <f t="shared" si="8"/>
        <v>-</v>
      </c>
      <c r="Y80" s="12">
        <f t="shared" si="8"/>
        <v>556.9666666666667</v>
      </c>
      <c r="Z80" s="12" t="str">
        <f t="shared" si="8"/>
        <v>-</v>
      </c>
      <c r="AA80" s="12" t="str">
        <f t="shared" si="8"/>
        <v>-</v>
      </c>
      <c r="AB80" s="12">
        <f t="shared" si="8"/>
        <v>556.9666666666667</v>
      </c>
      <c r="AC80" s="12" t="str">
        <f t="shared" si="8"/>
        <v>-</v>
      </c>
      <c r="AD80" s="12" t="str">
        <f t="shared" si="8"/>
        <v>-</v>
      </c>
      <c r="AE80" s="12">
        <f t="shared" si="9"/>
        <v>556.9666666666667</v>
      </c>
      <c r="AF80" s="12" t="str">
        <f t="shared" si="9"/>
        <v>-</v>
      </c>
      <c r="AG80" s="12" t="str">
        <f t="shared" si="9"/>
        <v>-</v>
      </c>
      <c r="AH80" s="12">
        <f t="shared" si="9"/>
        <v>556.9666666666667</v>
      </c>
      <c r="AI80" s="12" t="str">
        <f t="shared" si="9"/>
        <v>-</v>
      </c>
      <c r="AJ80" s="12" t="str">
        <f t="shared" si="9"/>
        <v>-</v>
      </c>
      <c r="AK80" s="12">
        <f t="shared" si="9"/>
        <v>556.9666666666667</v>
      </c>
      <c r="AL80" s="12" t="str">
        <f t="shared" si="9"/>
        <v>-</v>
      </c>
      <c r="AM80" s="12" t="str">
        <f t="shared" si="9"/>
        <v>-</v>
      </c>
      <c r="AN80" s="12">
        <f t="shared" si="9"/>
        <v>556.9666666666667</v>
      </c>
      <c r="AO80" s="12" t="str">
        <f t="shared" si="10"/>
        <v>-</v>
      </c>
      <c r="AP80" s="12" t="str">
        <f t="shared" si="10"/>
        <v>-</v>
      </c>
      <c r="AQ80" s="12">
        <f t="shared" si="10"/>
        <v>556.9666666666667</v>
      </c>
      <c r="AR80" s="12" t="str">
        <f t="shared" si="10"/>
        <v>-</v>
      </c>
      <c r="AS80" s="12" t="str">
        <f t="shared" si="10"/>
        <v>-</v>
      </c>
      <c r="AT80" s="12">
        <f t="shared" si="10"/>
        <v>556.9666666666667</v>
      </c>
      <c r="AU80" s="373"/>
      <c r="AV80" s="373"/>
      <c r="AW80" s="373"/>
      <c r="AX80" s="373"/>
    </row>
    <row r="81" spans="3:50">
      <c r="C81" s="324" t="s">
        <v>1050</v>
      </c>
      <c r="D81" s="322">
        <f>'CAPEX - Aquisições'!C64</f>
        <v>10</v>
      </c>
      <c r="E81" s="318">
        <v>91.626666666666665</v>
      </c>
      <c r="F81" s="318">
        <f t="shared" si="5"/>
        <v>916.26666666666665</v>
      </c>
      <c r="G81" s="322">
        <f>'CAPEX - Aquisições'!F83+'CAPEX - Aquisições'!G83</f>
        <v>5</v>
      </c>
      <c r="H81" s="322">
        <v>3</v>
      </c>
      <c r="J81" s="324" t="s">
        <v>1050</v>
      </c>
      <c r="K81" s="12" t="str">
        <f t="shared" si="6"/>
        <v>-</v>
      </c>
      <c r="L81" s="12" t="str">
        <f t="shared" si="6"/>
        <v>-</v>
      </c>
      <c r="M81" s="12" t="str">
        <f t="shared" si="6"/>
        <v>-</v>
      </c>
      <c r="N81" s="12" t="str">
        <f t="shared" si="7"/>
        <v>-</v>
      </c>
      <c r="O81" s="12" t="str">
        <f t="shared" si="6"/>
        <v>-</v>
      </c>
      <c r="P81" s="12">
        <f t="shared" si="6"/>
        <v>916.26666666666665</v>
      </c>
      <c r="Q81" s="12" t="str">
        <f t="shared" si="6"/>
        <v>-</v>
      </c>
      <c r="R81" s="12" t="str">
        <f t="shared" si="6"/>
        <v>-</v>
      </c>
      <c r="S81" s="12">
        <f t="shared" si="6"/>
        <v>916.26666666666665</v>
      </c>
      <c r="T81" s="12" t="str">
        <f t="shared" si="6"/>
        <v>-</v>
      </c>
      <c r="U81" s="12" t="str">
        <f t="shared" si="8"/>
        <v>-</v>
      </c>
      <c r="V81" s="12">
        <f t="shared" si="8"/>
        <v>916.26666666666665</v>
      </c>
      <c r="W81" s="12" t="str">
        <f t="shared" si="8"/>
        <v>-</v>
      </c>
      <c r="X81" s="12" t="str">
        <f t="shared" si="8"/>
        <v>-</v>
      </c>
      <c r="Y81" s="12">
        <f t="shared" si="8"/>
        <v>916.26666666666665</v>
      </c>
      <c r="Z81" s="12" t="str">
        <f t="shared" si="8"/>
        <v>-</v>
      </c>
      <c r="AA81" s="12" t="str">
        <f t="shared" si="8"/>
        <v>-</v>
      </c>
      <c r="AB81" s="12">
        <f t="shared" si="8"/>
        <v>916.26666666666665</v>
      </c>
      <c r="AC81" s="12" t="str">
        <f t="shared" si="8"/>
        <v>-</v>
      </c>
      <c r="AD81" s="12" t="str">
        <f t="shared" si="8"/>
        <v>-</v>
      </c>
      <c r="AE81" s="12">
        <f t="shared" si="9"/>
        <v>916.26666666666665</v>
      </c>
      <c r="AF81" s="12" t="str">
        <f t="shared" si="9"/>
        <v>-</v>
      </c>
      <c r="AG81" s="12" t="str">
        <f t="shared" si="9"/>
        <v>-</v>
      </c>
      <c r="AH81" s="12">
        <f t="shared" si="9"/>
        <v>916.26666666666665</v>
      </c>
      <c r="AI81" s="12" t="str">
        <f t="shared" si="9"/>
        <v>-</v>
      </c>
      <c r="AJ81" s="12" t="str">
        <f t="shared" si="9"/>
        <v>-</v>
      </c>
      <c r="AK81" s="12">
        <f t="shared" si="9"/>
        <v>916.26666666666665</v>
      </c>
      <c r="AL81" s="12" t="str">
        <f t="shared" si="9"/>
        <v>-</v>
      </c>
      <c r="AM81" s="12" t="str">
        <f t="shared" si="9"/>
        <v>-</v>
      </c>
      <c r="AN81" s="12">
        <f t="shared" si="9"/>
        <v>916.26666666666665</v>
      </c>
      <c r="AO81" s="12" t="str">
        <f t="shared" si="10"/>
        <v>-</v>
      </c>
      <c r="AP81" s="12" t="str">
        <f t="shared" si="10"/>
        <v>-</v>
      </c>
      <c r="AQ81" s="12">
        <f t="shared" si="10"/>
        <v>916.26666666666665</v>
      </c>
      <c r="AR81" s="12" t="str">
        <f t="shared" si="10"/>
        <v>-</v>
      </c>
      <c r="AS81" s="12" t="str">
        <f t="shared" si="10"/>
        <v>-</v>
      </c>
      <c r="AT81" s="12">
        <f t="shared" si="10"/>
        <v>916.26666666666665</v>
      </c>
      <c r="AU81" s="373"/>
      <c r="AV81" s="373"/>
      <c r="AW81" s="373"/>
      <c r="AX81" s="373"/>
    </row>
    <row r="82" spans="3:50">
      <c r="C82" s="324" t="s">
        <v>1051</v>
      </c>
      <c r="D82" s="322">
        <f>'CAPEX - Aquisições'!C65</f>
        <v>20</v>
      </c>
      <c r="E82" s="318">
        <v>119.69333333333334</v>
      </c>
      <c r="F82" s="318">
        <f t="shared" si="5"/>
        <v>2393.8666666666668</v>
      </c>
      <c r="G82" s="322">
        <f>'CAPEX - Aquisições'!F84+'CAPEX - Aquisições'!G84</f>
        <v>7</v>
      </c>
      <c r="H82" s="322">
        <v>5</v>
      </c>
      <c r="J82" s="324" t="s">
        <v>1051</v>
      </c>
      <c r="K82" s="12" t="str">
        <f t="shared" si="6"/>
        <v>-</v>
      </c>
      <c r="L82" s="12" t="str">
        <f t="shared" si="6"/>
        <v>-</v>
      </c>
      <c r="M82" s="12" t="str">
        <f t="shared" si="6"/>
        <v>-</v>
      </c>
      <c r="N82" s="12" t="str">
        <f t="shared" si="7"/>
        <v>-</v>
      </c>
      <c r="O82" s="12" t="str">
        <f t="shared" si="6"/>
        <v>-</v>
      </c>
      <c r="P82" s="12" t="str">
        <f t="shared" si="6"/>
        <v>-</v>
      </c>
      <c r="Q82" s="12" t="str">
        <f t="shared" si="6"/>
        <v>-</v>
      </c>
      <c r="R82" s="12">
        <f t="shared" si="6"/>
        <v>2393.8666666666668</v>
      </c>
      <c r="S82" s="12" t="str">
        <f t="shared" si="6"/>
        <v>-</v>
      </c>
      <c r="T82" s="12" t="str">
        <f t="shared" si="6"/>
        <v>-</v>
      </c>
      <c r="U82" s="12" t="str">
        <f t="shared" si="8"/>
        <v>-</v>
      </c>
      <c r="V82" s="12" t="str">
        <f t="shared" si="8"/>
        <v>-</v>
      </c>
      <c r="W82" s="12">
        <f t="shared" si="8"/>
        <v>2393.8666666666668</v>
      </c>
      <c r="X82" s="12" t="str">
        <f t="shared" si="8"/>
        <v>-</v>
      </c>
      <c r="Y82" s="12" t="str">
        <f t="shared" si="8"/>
        <v>-</v>
      </c>
      <c r="Z82" s="12" t="str">
        <f t="shared" si="8"/>
        <v>-</v>
      </c>
      <c r="AA82" s="12" t="str">
        <f t="shared" si="8"/>
        <v>-</v>
      </c>
      <c r="AB82" s="12">
        <f t="shared" si="8"/>
        <v>2393.8666666666668</v>
      </c>
      <c r="AC82" s="12" t="str">
        <f t="shared" si="8"/>
        <v>-</v>
      </c>
      <c r="AD82" s="12" t="str">
        <f t="shared" si="8"/>
        <v>-</v>
      </c>
      <c r="AE82" s="12" t="str">
        <f t="shared" si="9"/>
        <v>-</v>
      </c>
      <c r="AF82" s="12" t="str">
        <f t="shared" si="9"/>
        <v>-</v>
      </c>
      <c r="AG82" s="12">
        <f t="shared" si="9"/>
        <v>2393.8666666666668</v>
      </c>
      <c r="AH82" s="12" t="str">
        <f t="shared" si="9"/>
        <v>-</v>
      </c>
      <c r="AI82" s="12" t="str">
        <f t="shared" si="9"/>
        <v>-</v>
      </c>
      <c r="AJ82" s="12" t="str">
        <f t="shared" si="9"/>
        <v>-</v>
      </c>
      <c r="AK82" s="12" t="str">
        <f t="shared" si="9"/>
        <v>-</v>
      </c>
      <c r="AL82" s="12">
        <f t="shared" si="9"/>
        <v>2393.8666666666668</v>
      </c>
      <c r="AM82" s="12" t="str">
        <f t="shared" si="9"/>
        <v>-</v>
      </c>
      <c r="AN82" s="12" t="str">
        <f t="shared" si="9"/>
        <v>-</v>
      </c>
      <c r="AO82" s="12" t="str">
        <f t="shared" si="10"/>
        <v>-</v>
      </c>
      <c r="AP82" s="12" t="str">
        <f t="shared" si="10"/>
        <v>-</v>
      </c>
      <c r="AQ82" s="12">
        <f t="shared" si="10"/>
        <v>2393.8666666666668</v>
      </c>
      <c r="AR82" s="12" t="str">
        <f t="shared" si="10"/>
        <v>-</v>
      </c>
      <c r="AS82" s="12" t="str">
        <f t="shared" si="10"/>
        <v>-</v>
      </c>
      <c r="AT82" s="12" t="str">
        <f t="shared" si="10"/>
        <v>-</v>
      </c>
      <c r="AU82" s="373"/>
      <c r="AV82" s="373"/>
      <c r="AW82" s="373"/>
      <c r="AX82" s="373"/>
    </row>
    <row r="83" spans="3:50" ht="15" customHeight="1">
      <c r="C83" s="324" t="s">
        <v>1052</v>
      </c>
      <c r="D83" s="322">
        <f>'CAPEX - Aquisições'!C66</f>
        <v>15</v>
      </c>
      <c r="E83" s="318">
        <v>120.93333333333332</v>
      </c>
      <c r="F83" s="318">
        <f t="shared" si="5"/>
        <v>1813.9999999999998</v>
      </c>
      <c r="G83" s="322">
        <f>'CAPEX - Aquisições'!F85+'CAPEX - Aquisições'!G85</f>
        <v>7</v>
      </c>
      <c r="H83" s="322">
        <v>5</v>
      </c>
      <c r="J83" s="324" t="s">
        <v>1052</v>
      </c>
      <c r="K83" s="12" t="str">
        <f t="shared" si="6"/>
        <v>-</v>
      </c>
      <c r="L83" s="12" t="str">
        <f t="shared" si="6"/>
        <v>-</v>
      </c>
      <c r="M83" s="12" t="str">
        <f t="shared" si="6"/>
        <v>-</v>
      </c>
      <c r="N83" s="12" t="str">
        <f t="shared" si="7"/>
        <v>-</v>
      </c>
      <c r="O83" s="12" t="str">
        <f t="shared" si="6"/>
        <v>-</v>
      </c>
      <c r="P83" s="12" t="str">
        <f t="shared" si="6"/>
        <v>-</v>
      </c>
      <c r="Q83" s="12" t="str">
        <f t="shared" si="6"/>
        <v>-</v>
      </c>
      <c r="R83" s="12">
        <f t="shared" si="6"/>
        <v>1813.9999999999998</v>
      </c>
      <c r="S83" s="12" t="str">
        <f t="shared" si="6"/>
        <v>-</v>
      </c>
      <c r="T83" s="12" t="str">
        <f t="shared" si="6"/>
        <v>-</v>
      </c>
      <c r="U83" s="12" t="str">
        <f t="shared" si="8"/>
        <v>-</v>
      </c>
      <c r="V83" s="12" t="str">
        <f t="shared" si="8"/>
        <v>-</v>
      </c>
      <c r="W83" s="12">
        <f t="shared" si="8"/>
        <v>1813.9999999999998</v>
      </c>
      <c r="X83" s="12" t="str">
        <f t="shared" si="8"/>
        <v>-</v>
      </c>
      <c r="Y83" s="12" t="str">
        <f t="shared" si="8"/>
        <v>-</v>
      </c>
      <c r="Z83" s="12" t="str">
        <f t="shared" si="8"/>
        <v>-</v>
      </c>
      <c r="AA83" s="12" t="str">
        <f t="shared" si="8"/>
        <v>-</v>
      </c>
      <c r="AB83" s="12">
        <f t="shared" si="8"/>
        <v>1813.9999999999998</v>
      </c>
      <c r="AC83" s="12" t="str">
        <f t="shared" si="8"/>
        <v>-</v>
      </c>
      <c r="AD83" s="12" t="str">
        <f t="shared" si="8"/>
        <v>-</v>
      </c>
      <c r="AE83" s="12" t="str">
        <f t="shared" si="9"/>
        <v>-</v>
      </c>
      <c r="AF83" s="12" t="str">
        <f t="shared" si="9"/>
        <v>-</v>
      </c>
      <c r="AG83" s="12">
        <f t="shared" si="9"/>
        <v>1813.9999999999998</v>
      </c>
      <c r="AH83" s="12" t="str">
        <f t="shared" si="9"/>
        <v>-</v>
      </c>
      <c r="AI83" s="12" t="str">
        <f t="shared" si="9"/>
        <v>-</v>
      </c>
      <c r="AJ83" s="12" t="str">
        <f t="shared" si="9"/>
        <v>-</v>
      </c>
      <c r="AK83" s="12" t="str">
        <f t="shared" si="9"/>
        <v>-</v>
      </c>
      <c r="AL83" s="12">
        <f t="shared" si="9"/>
        <v>1813.9999999999998</v>
      </c>
      <c r="AM83" s="12" t="str">
        <f t="shared" si="9"/>
        <v>-</v>
      </c>
      <c r="AN83" s="12" t="str">
        <f t="shared" si="9"/>
        <v>-</v>
      </c>
      <c r="AO83" s="12" t="str">
        <f t="shared" si="10"/>
        <v>-</v>
      </c>
      <c r="AP83" s="12" t="str">
        <f t="shared" si="10"/>
        <v>-</v>
      </c>
      <c r="AQ83" s="12">
        <f t="shared" si="10"/>
        <v>1813.9999999999998</v>
      </c>
      <c r="AR83" s="12" t="str">
        <f t="shared" si="10"/>
        <v>-</v>
      </c>
      <c r="AS83" s="12" t="str">
        <f t="shared" si="10"/>
        <v>-</v>
      </c>
      <c r="AT83" s="12" t="str">
        <f t="shared" si="10"/>
        <v>-</v>
      </c>
      <c r="AU83" s="373"/>
      <c r="AV83" s="373"/>
      <c r="AW83" s="373"/>
      <c r="AX83" s="373"/>
    </row>
    <row r="84" spans="3:50">
      <c r="C84" s="324" t="s">
        <v>1053</v>
      </c>
      <c r="D84" s="322">
        <f>'CAPEX - Aquisições'!C67</f>
        <v>15</v>
      </c>
      <c r="E84" s="318">
        <v>177.27666666666664</v>
      </c>
      <c r="F84" s="318">
        <f t="shared" si="5"/>
        <v>2659.1499999999996</v>
      </c>
      <c r="G84" s="322">
        <f>'CAPEX - Aquisições'!F86+'CAPEX - Aquisições'!G86</f>
        <v>3</v>
      </c>
      <c r="H84" s="322">
        <f>H73</f>
        <v>1</v>
      </c>
      <c r="J84" s="324" t="s">
        <v>1053</v>
      </c>
      <c r="K84" s="12" t="str">
        <f t="shared" si="6"/>
        <v>-</v>
      </c>
      <c r="L84" s="12" t="str">
        <f t="shared" si="6"/>
        <v>-</v>
      </c>
      <c r="M84" s="12" t="str">
        <f t="shared" si="6"/>
        <v>-</v>
      </c>
      <c r="N84" s="12">
        <f t="shared" si="7"/>
        <v>2659.1499999999996</v>
      </c>
      <c r="O84" s="12">
        <f t="shared" si="6"/>
        <v>2659.1499999999996</v>
      </c>
      <c r="P84" s="12">
        <f t="shared" si="6"/>
        <v>2659.1499999999996</v>
      </c>
      <c r="Q84" s="12">
        <f t="shared" si="6"/>
        <v>2659.1499999999996</v>
      </c>
      <c r="R84" s="12">
        <f t="shared" si="6"/>
        <v>2659.1499999999996</v>
      </c>
      <c r="S84" s="12">
        <f t="shared" si="6"/>
        <v>2659.1499999999996</v>
      </c>
      <c r="T84" s="12">
        <f t="shared" si="6"/>
        <v>2659.1499999999996</v>
      </c>
      <c r="U84" s="12">
        <f t="shared" si="8"/>
        <v>2659.1499999999996</v>
      </c>
      <c r="V84" s="12">
        <f t="shared" si="8"/>
        <v>2659.1499999999996</v>
      </c>
      <c r="W84" s="12">
        <f t="shared" si="8"/>
        <v>2659.1499999999996</v>
      </c>
      <c r="X84" s="12">
        <f t="shared" si="8"/>
        <v>2659.1499999999996</v>
      </c>
      <c r="Y84" s="12">
        <f t="shared" si="8"/>
        <v>2659.1499999999996</v>
      </c>
      <c r="Z84" s="12">
        <f t="shared" si="8"/>
        <v>2659.1499999999996</v>
      </c>
      <c r="AA84" s="12">
        <f t="shared" si="8"/>
        <v>2659.1499999999996</v>
      </c>
      <c r="AB84" s="12">
        <f t="shared" si="8"/>
        <v>2659.1499999999996</v>
      </c>
      <c r="AC84" s="12">
        <f t="shared" si="8"/>
        <v>2659.1499999999996</v>
      </c>
      <c r="AD84" s="12">
        <f t="shared" si="8"/>
        <v>2659.1499999999996</v>
      </c>
      <c r="AE84" s="12">
        <f t="shared" si="9"/>
        <v>2659.1499999999996</v>
      </c>
      <c r="AF84" s="12">
        <f t="shared" si="9"/>
        <v>2659.1499999999996</v>
      </c>
      <c r="AG84" s="12">
        <f t="shared" si="9"/>
        <v>2659.1499999999996</v>
      </c>
      <c r="AH84" s="12">
        <f t="shared" si="9"/>
        <v>2659.1499999999996</v>
      </c>
      <c r="AI84" s="12">
        <f t="shared" si="9"/>
        <v>2659.1499999999996</v>
      </c>
      <c r="AJ84" s="12">
        <f t="shared" si="9"/>
        <v>2659.1499999999996</v>
      </c>
      <c r="AK84" s="12">
        <f t="shared" si="9"/>
        <v>2659.1499999999996</v>
      </c>
      <c r="AL84" s="12">
        <f t="shared" si="9"/>
        <v>2659.1499999999996</v>
      </c>
      <c r="AM84" s="12">
        <f t="shared" si="9"/>
        <v>2659.1499999999996</v>
      </c>
      <c r="AN84" s="12">
        <f t="shared" si="9"/>
        <v>2659.1499999999996</v>
      </c>
      <c r="AO84" s="12">
        <f t="shared" si="10"/>
        <v>2659.1499999999996</v>
      </c>
      <c r="AP84" s="12">
        <f t="shared" si="10"/>
        <v>2659.1499999999996</v>
      </c>
      <c r="AQ84" s="12">
        <f t="shared" si="10"/>
        <v>2659.1499999999996</v>
      </c>
      <c r="AR84" s="12">
        <f t="shared" si="10"/>
        <v>2659.1499999999996</v>
      </c>
      <c r="AS84" s="12">
        <f t="shared" si="10"/>
        <v>2659.1499999999996</v>
      </c>
      <c r="AT84" s="12">
        <f t="shared" si="10"/>
        <v>2659.1499999999996</v>
      </c>
      <c r="AU84" s="373"/>
      <c r="AV84" s="373"/>
      <c r="AW84" s="373"/>
      <c r="AX84" s="373"/>
    </row>
    <row r="85" spans="3:50">
      <c r="C85" s="324" t="s">
        <v>1054</v>
      </c>
      <c r="D85" s="322">
        <f>'CAPEX - Aquisições'!C68</f>
        <v>40</v>
      </c>
      <c r="E85" s="318">
        <v>48.93333333333333</v>
      </c>
      <c r="F85" s="318">
        <f t="shared" si="5"/>
        <v>1957.3333333333333</v>
      </c>
      <c r="G85" s="322">
        <f>'CAPEX - Aquisições'!F87+'CAPEX - Aquisições'!G87</f>
        <v>3</v>
      </c>
      <c r="H85" s="322">
        <f>H74</f>
        <v>1</v>
      </c>
      <c r="J85" s="324" t="s">
        <v>1054</v>
      </c>
      <c r="K85" s="12" t="str">
        <f t="shared" si="6"/>
        <v>-</v>
      </c>
      <c r="L85" s="12" t="str">
        <f t="shared" si="6"/>
        <v>-</v>
      </c>
      <c r="M85" s="12" t="str">
        <f t="shared" si="6"/>
        <v>-</v>
      </c>
      <c r="N85" s="12">
        <f t="shared" si="7"/>
        <v>1957.3333333333333</v>
      </c>
      <c r="O85" s="12">
        <f t="shared" si="6"/>
        <v>1957.3333333333333</v>
      </c>
      <c r="P85" s="12">
        <f t="shared" si="6"/>
        <v>1957.3333333333333</v>
      </c>
      <c r="Q85" s="12">
        <f t="shared" si="6"/>
        <v>1957.3333333333333</v>
      </c>
      <c r="R85" s="12">
        <f t="shared" si="6"/>
        <v>1957.3333333333333</v>
      </c>
      <c r="S85" s="12">
        <f t="shared" si="6"/>
        <v>1957.3333333333333</v>
      </c>
      <c r="T85" s="12">
        <f t="shared" si="6"/>
        <v>1957.3333333333333</v>
      </c>
      <c r="U85" s="12">
        <f t="shared" si="8"/>
        <v>1957.3333333333333</v>
      </c>
      <c r="V85" s="12">
        <f t="shared" si="8"/>
        <v>1957.3333333333333</v>
      </c>
      <c r="W85" s="12">
        <f t="shared" si="8"/>
        <v>1957.3333333333333</v>
      </c>
      <c r="X85" s="12">
        <f t="shared" si="8"/>
        <v>1957.3333333333333</v>
      </c>
      <c r="Y85" s="12">
        <f t="shared" si="8"/>
        <v>1957.3333333333333</v>
      </c>
      <c r="Z85" s="12">
        <f t="shared" si="8"/>
        <v>1957.3333333333333</v>
      </c>
      <c r="AA85" s="12">
        <f t="shared" si="8"/>
        <v>1957.3333333333333</v>
      </c>
      <c r="AB85" s="12">
        <f t="shared" si="8"/>
        <v>1957.3333333333333</v>
      </c>
      <c r="AC85" s="12">
        <f t="shared" si="8"/>
        <v>1957.3333333333333</v>
      </c>
      <c r="AD85" s="12">
        <f t="shared" si="8"/>
        <v>1957.3333333333333</v>
      </c>
      <c r="AE85" s="12">
        <f t="shared" si="9"/>
        <v>1957.3333333333333</v>
      </c>
      <c r="AF85" s="12">
        <f t="shared" si="9"/>
        <v>1957.3333333333333</v>
      </c>
      <c r="AG85" s="12">
        <f t="shared" si="9"/>
        <v>1957.3333333333333</v>
      </c>
      <c r="AH85" s="12">
        <f t="shared" si="9"/>
        <v>1957.3333333333333</v>
      </c>
      <c r="AI85" s="12">
        <f t="shared" si="9"/>
        <v>1957.3333333333333</v>
      </c>
      <c r="AJ85" s="12">
        <f t="shared" si="9"/>
        <v>1957.3333333333333</v>
      </c>
      <c r="AK85" s="12">
        <f t="shared" si="9"/>
        <v>1957.3333333333333</v>
      </c>
      <c r="AL85" s="12">
        <f t="shared" si="9"/>
        <v>1957.3333333333333</v>
      </c>
      <c r="AM85" s="12">
        <f t="shared" si="9"/>
        <v>1957.3333333333333</v>
      </c>
      <c r="AN85" s="12">
        <f t="shared" si="9"/>
        <v>1957.3333333333333</v>
      </c>
      <c r="AO85" s="12">
        <f t="shared" si="10"/>
        <v>1957.3333333333333</v>
      </c>
      <c r="AP85" s="12">
        <f t="shared" si="10"/>
        <v>1957.3333333333333</v>
      </c>
      <c r="AQ85" s="12">
        <f t="shared" si="10"/>
        <v>1957.3333333333333</v>
      </c>
      <c r="AR85" s="12">
        <f t="shared" si="10"/>
        <v>1957.3333333333333</v>
      </c>
      <c r="AS85" s="12">
        <f t="shared" si="10"/>
        <v>1957.3333333333333</v>
      </c>
      <c r="AT85" s="12">
        <f t="shared" si="10"/>
        <v>1957.3333333333333</v>
      </c>
      <c r="AU85" s="373"/>
      <c r="AV85" s="373"/>
      <c r="AW85" s="373"/>
      <c r="AX85" s="373"/>
    </row>
    <row r="86" spans="3:50">
      <c r="C86" s="324" t="s">
        <v>1055</v>
      </c>
      <c r="D86" s="322">
        <f>'CAPEX - Aquisições'!C69</f>
        <v>8</v>
      </c>
      <c r="E86" s="318">
        <v>270.08999999999997</v>
      </c>
      <c r="F86" s="318">
        <f t="shared" si="5"/>
        <v>2160.7199999999998</v>
      </c>
      <c r="G86" s="322">
        <f>'CAPEX - Aquisições'!F88+'CAPEX - Aquisições'!G88</f>
        <v>17</v>
      </c>
      <c r="H86" s="322">
        <v>15</v>
      </c>
      <c r="J86" s="324" t="s">
        <v>1055</v>
      </c>
      <c r="K86" s="12" t="str">
        <f t="shared" si="6"/>
        <v>-</v>
      </c>
      <c r="L86" s="12" t="str">
        <f t="shared" si="6"/>
        <v>-</v>
      </c>
      <c r="M86" s="12" t="str">
        <f t="shared" si="6"/>
        <v>-</v>
      </c>
      <c r="N86" s="12" t="str">
        <f t="shared" si="7"/>
        <v>-</v>
      </c>
      <c r="O86" s="12" t="str">
        <f t="shared" si="6"/>
        <v>-</v>
      </c>
      <c r="P86" s="12" t="str">
        <f t="shared" si="6"/>
        <v>-</v>
      </c>
      <c r="Q86" s="12" t="str">
        <f t="shared" si="6"/>
        <v>-</v>
      </c>
      <c r="R86" s="12" t="str">
        <f t="shared" si="6"/>
        <v>-</v>
      </c>
      <c r="S86" s="12" t="str">
        <f t="shared" si="6"/>
        <v>-</v>
      </c>
      <c r="T86" s="12" t="str">
        <f t="shared" si="6"/>
        <v>-</v>
      </c>
      <c r="U86" s="12" t="str">
        <f t="shared" si="8"/>
        <v>-</v>
      </c>
      <c r="V86" s="12" t="str">
        <f t="shared" si="8"/>
        <v>-</v>
      </c>
      <c r="W86" s="12" t="str">
        <f t="shared" si="8"/>
        <v>-</v>
      </c>
      <c r="X86" s="12" t="str">
        <f t="shared" si="8"/>
        <v>-</v>
      </c>
      <c r="Y86" s="12" t="str">
        <f t="shared" si="8"/>
        <v>-</v>
      </c>
      <c r="Z86" s="12" t="str">
        <f t="shared" si="8"/>
        <v>-</v>
      </c>
      <c r="AA86" s="12" t="str">
        <f t="shared" si="8"/>
        <v>-</v>
      </c>
      <c r="AB86" s="12">
        <f t="shared" si="8"/>
        <v>2160.7199999999998</v>
      </c>
      <c r="AC86" s="12" t="str">
        <f t="shared" si="8"/>
        <v>-</v>
      </c>
      <c r="AD86" s="12" t="str">
        <f t="shared" si="8"/>
        <v>-</v>
      </c>
      <c r="AE86" s="12" t="str">
        <f t="shared" si="9"/>
        <v>-</v>
      </c>
      <c r="AF86" s="12" t="str">
        <f t="shared" si="9"/>
        <v>-</v>
      </c>
      <c r="AG86" s="12" t="str">
        <f t="shared" si="9"/>
        <v>-</v>
      </c>
      <c r="AH86" s="12" t="str">
        <f t="shared" si="9"/>
        <v>-</v>
      </c>
      <c r="AI86" s="12" t="str">
        <f t="shared" si="9"/>
        <v>-</v>
      </c>
      <c r="AJ86" s="12" t="str">
        <f t="shared" si="9"/>
        <v>-</v>
      </c>
      <c r="AK86" s="12" t="str">
        <f t="shared" si="9"/>
        <v>-</v>
      </c>
      <c r="AL86" s="12" t="str">
        <f t="shared" si="9"/>
        <v>-</v>
      </c>
      <c r="AM86" s="12" t="str">
        <f t="shared" si="9"/>
        <v>-</v>
      </c>
      <c r="AN86" s="12" t="str">
        <f t="shared" si="9"/>
        <v>-</v>
      </c>
      <c r="AO86" s="12" t="str">
        <f t="shared" si="10"/>
        <v>-</v>
      </c>
      <c r="AP86" s="12" t="str">
        <f t="shared" si="10"/>
        <v>-</v>
      </c>
      <c r="AQ86" s="12">
        <f t="shared" si="10"/>
        <v>2160.7199999999998</v>
      </c>
      <c r="AR86" s="12" t="str">
        <f t="shared" si="10"/>
        <v>-</v>
      </c>
      <c r="AS86" s="12" t="str">
        <f t="shared" si="10"/>
        <v>-</v>
      </c>
      <c r="AT86" s="12" t="str">
        <f t="shared" si="10"/>
        <v>-</v>
      </c>
      <c r="AU86" s="373"/>
      <c r="AV86" s="373"/>
      <c r="AW86" s="373"/>
      <c r="AX86" s="373"/>
    </row>
    <row r="87" spans="3:50">
      <c r="C87" s="324" t="s">
        <v>1056</v>
      </c>
      <c r="D87" s="322">
        <f>'CAPEX - Aquisições'!C70</f>
        <v>8</v>
      </c>
      <c r="E87" s="318">
        <v>1056.9333333333334</v>
      </c>
      <c r="F87" s="318">
        <f t="shared" si="5"/>
        <v>8455.4666666666672</v>
      </c>
      <c r="G87" s="322">
        <f>'CAPEX - Aquisições'!F89+'CAPEX - Aquisições'!G89</f>
        <v>17</v>
      </c>
      <c r="H87" s="322">
        <v>15</v>
      </c>
      <c r="J87" s="324" t="s">
        <v>1056</v>
      </c>
      <c r="K87" s="12" t="str">
        <f t="shared" si="6"/>
        <v>-</v>
      </c>
      <c r="L87" s="12" t="str">
        <f t="shared" si="6"/>
        <v>-</v>
      </c>
      <c r="M87" s="12" t="str">
        <f t="shared" si="6"/>
        <v>-</v>
      </c>
      <c r="N87" s="12" t="str">
        <f t="shared" si="7"/>
        <v>-</v>
      </c>
      <c r="O87" s="12" t="str">
        <f t="shared" si="6"/>
        <v>-</v>
      </c>
      <c r="P87" s="12" t="str">
        <f t="shared" si="6"/>
        <v>-</v>
      </c>
      <c r="Q87" s="12" t="str">
        <f t="shared" si="6"/>
        <v>-</v>
      </c>
      <c r="R87" s="12" t="str">
        <f t="shared" si="6"/>
        <v>-</v>
      </c>
      <c r="S87" s="12" t="str">
        <f t="shared" si="6"/>
        <v>-</v>
      </c>
      <c r="T87" s="12" t="str">
        <f t="shared" si="6"/>
        <v>-</v>
      </c>
      <c r="U87" s="12" t="str">
        <f t="shared" si="8"/>
        <v>-</v>
      </c>
      <c r="V87" s="12" t="str">
        <f t="shared" si="8"/>
        <v>-</v>
      </c>
      <c r="W87" s="12" t="str">
        <f t="shared" si="8"/>
        <v>-</v>
      </c>
      <c r="X87" s="12" t="str">
        <f t="shared" si="8"/>
        <v>-</v>
      </c>
      <c r="Y87" s="12" t="str">
        <f t="shared" si="8"/>
        <v>-</v>
      </c>
      <c r="Z87" s="12" t="str">
        <f t="shared" si="8"/>
        <v>-</v>
      </c>
      <c r="AA87" s="12" t="str">
        <f t="shared" si="8"/>
        <v>-</v>
      </c>
      <c r="AB87" s="12">
        <f t="shared" si="8"/>
        <v>8455.4666666666672</v>
      </c>
      <c r="AC87" s="12" t="str">
        <f t="shared" si="8"/>
        <v>-</v>
      </c>
      <c r="AD87" s="12" t="str">
        <f t="shared" si="8"/>
        <v>-</v>
      </c>
      <c r="AE87" s="12" t="str">
        <f t="shared" si="9"/>
        <v>-</v>
      </c>
      <c r="AF87" s="12" t="str">
        <f t="shared" si="9"/>
        <v>-</v>
      </c>
      <c r="AG87" s="12" t="str">
        <f t="shared" si="9"/>
        <v>-</v>
      </c>
      <c r="AH87" s="12" t="str">
        <f t="shared" si="9"/>
        <v>-</v>
      </c>
      <c r="AI87" s="12" t="str">
        <f t="shared" si="9"/>
        <v>-</v>
      </c>
      <c r="AJ87" s="12" t="str">
        <f t="shared" si="9"/>
        <v>-</v>
      </c>
      <c r="AK87" s="12" t="str">
        <f t="shared" si="9"/>
        <v>-</v>
      </c>
      <c r="AL87" s="12" t="str">
        <f t="shared" si="9"/>
        <v>-</v>
      </c>
      <c r="AM87" s="12" t="str">
        <f t="shared" si="9"/>
        <v>-</v>
      </c>
      <c r="AN87" s="12" t="str">
        <f t="shared" si="9"/>
        <v>-</v>
      </c>
      <c r="AO87" s="12" t="str">
        <f t="shared" si="10"/>
        <v>-</v>
      </c>
      <c r="AP87" s="12" t="str">
        <f t="shared" si="10"/>
        <v>-</v>
      </c>
      <c r="AQ87" s="12">
        <f t="shared" si="10"/>
        <v>8455.4666666666672</v>
      </c>
      <c r="AR87" s="12" t="str">
        <f t="shared" si="10"/>
        <v>-</v>
      </c>
      <c r="AS87" s="12" t="str">
        <f t="shared" si="10"/>
        <v>-</v>
      </c>
      <c r="AT87" s="12" t="str">
        <f t="shared" si="10"/>
        <v>-</v>
      </c>
      <c r="AU87" s="373"/>
      <c r="AV87" s="373"/>
      <c r="AW87" s="373"/>
      <c r="AX87" s="373"/>
    </row>
    <row r="89" spans="3:50" s="348" customFormat="1" ht="14.45" customHeight="1">
      <c r="C89" s="348" t="s">
        <v>1057</v>
      </c>
    </row>
    <row r="90" spans="3:50" s="348" customFormat="1" ht="14.45" customHeight="1"/>
    <row r="93" spans="3:50">
      <c r="C93" s="407" t="s">
        <v>1058</v>
      </c>
      <c r="D93" s="372" t="s">
        <v>224</v>
      </c>
      <c r="E93" s="372" t="s">
        <v>84</v>
      </c>
      <c r="F93" s="372" t="s">
        <v>86</v>
      </c>
      <c r="G93" s="372" t="s">
        <v>92</v>
      </c>
      <c r="H93" s="372" t="s">
        <v>93</v>
      </c>
      <c r="I93" s="372" t="s">
        <v>94</v>
      </c>
      <c r="J93" s="372" t="s">
        <v>95</v>
      </c>
      <c r="K93" s="372" t="s">
        <v>96</v>
      </c>
      <c r="L93" s="372" t="s">
        <v>97</v>
      </c>
      <c r="M93" s="372" t="s">
        <v>98</v>
      </c>
      <c r="N93" s="372" t="s">
        <v>99</v>
      </c>
      <c r="O93" s="372" t="s">
        <v>100</v>
      </c>
      <c r="P93" s="372" t="s">
        <v>101</v>
      </c>
      <c r="Q93" s="372" t="s">
        <v>102</v>
      </c>
      <c r="R93" s="372" t="s">
        <v>103</v>
      </c>
      <c r="S93" s="372" t="s">
        <v>104</v>
      </c>
      <c r="T93" s="372" t="s">
        <v>105</v>
      </c>
      <c r="U93" s="372" t="s">
        <v>106</v>
      </c>
      <c r="V93" s="372" t="s">
        <v>107</v>
      </c>
      <c r="W93" s="372" t="s">
        <v>108</v>
      </c>
      <c r="X93" s="372" t="s">
        <v>109</v>
      </c>
      <c r="Y93" s="372" t="s">
        <v>110</v>
      </c>
      <c r="Z93" s="372" t="s">
        <v>111</v>
      </c>
      <c r="AA93" s="372" t="s">
        <v>112</v>
      </c>
      <c r="AB93" s="372" t="s">
        <v>113</v>
      </c>
      <c r="AC93" s="372" t="s">
        <v>114</v>
      </c>
      <c r="AD93" s="372" t="s">
        <v>115</v>
      </c>
      <c r="AE93" s="372" t="s">
        <v>116</v>
      </c>
      <c r="AF93" s="372" t="s">
        <v>117</v>
      </c>
      <c r="AG93" s="372" t="s">
        <v>118</v>
      </c>
      <c r="AH93" s="372" t="s">
        <v>119</v>
      </c>
      <c r="AI93" s="372" t="s">
        <v>120</v>
      </c>
      <c r="AJ93" s="372" t="s">
        <v>121</v>
      </c>
      <c r="AK93" s="372" t="s">
        <v>122</v>
      </c>
      <c r="AL93" s="372" t="s">
        <v>123</v>
      </c>
      <c r="AM93" s="372" t="s">
        <v>124</v>
      </c>
    </row>
    <row r="94" spans="3:50">
      <c r="C94" s="406" t="s">
        <v>1059</v>
      </c>
      <c r="D94" s="12" t="str">
        <f t="shared" ref="D94:AM94" si="11">IF(COLUMN()-COLUMN($D$93)&lt;$D112,"-",IF(MOD(COLUMN()-COLUMN($D$93)-$D112,$D113)=0,$D123,"-"))</f>
        <v>-</v>
      </c>
      <c r="E94" s="12" t="str">
        <f t="shared" si="11"/>
        <v>-</v>
      </c>
      <c r="F94" s="12" t="str">
        <f t="shared" si="11"/>
        <v>-</v>
      </c>
      <c r="G94" s="12">
        <f t="shared" si="11"/>
        <v>4291.9799999999996</v>
      </c>
      <c r="H94" s="12" t="str">
        <f t="shared" si="11"/>
        <v>-</v>
      </c>
      <c r="I94" s="12" t="str">
        <f t="shared" si="11"/>
        <v>-</v>
      </c>
      <c r="J94" s="12" t="str">
        <f t="shared" si="11"/>
        <v>-</v>
      </c>
      <c r="K94" s="12" t="str">
        <f t="shared" si="11"/>
        <v>-</v>
      </c>
      <c r="L94" s="12" t="str">
        <f t="shared" si="11"/>
        <v>-</v>
      </c>
      <c r="M94" s="12" t="str">
        <f t="shared" si="11"/>
        <v>-</v>
      </c>
      <c r="N94" s="12" t="str">
        <f t="shared" si="11"/>
        <v>-</v>
      </c>
      <c r="O94" s="12" t="str">
        <f t="shared" si="11"/>
        <v>-</v>
      </c>
      <c r="P94" s="12" t="str">
        <f t="shared" si="11"/>
        <v>-</v>
      </c>
      <c r="Q94" s="12">
        <f t="shared" si="11"/>
        <v>4291.9799999999996</v>
      </c>
      <c r="R94" s="12" t="str">
        <f t="shared" si="11"/>
        <v>-</v>
      </c>
      <c r="S94" s="12" t="str">
        <f t="shared" si="11"/>
        <v>-</v>
      </c>
      <c r="T94" s="12" t="str">
        <f t="shared" si="11"/>
        <v>-</v>
      </c>
      <c r="U94" s="12" t="str">
        <f t="shared" si="11"/>
        <v>-</v>
      </c>
      <c r="V94" s="12" t="str">
        <f t="shared" si="11"/>
        <v>-</v>
      </c>
      <c r="W94" s="12" t="str">
        <f t="shared" si="11"/>
        <v>-</v>
      </c>
      <c r="X94" s="12" t="str">
        <f t="shared" si="11"/>
        <v>-</v>
      </c>
      <c r="Y94" s="12" t="str">
        <f t="shared" si="11"/>
        <v>-</v>
      </c>
      <c r="Z94" s="12" t="str">
        <f t="shared" si="11"/>
        <v>-</v>
      </c>
      <c r="AA94" s="12">
        <f t="shared" si="11"/>
        <v>4291.9799999999996</v>
      </c>
      <c r="AB94" s="12" t="str">
        <f t="shared" si="11"/>
        <v>-</v>
      </c>
      <c r="AC94" s="12" t="str">
        <f t="shared" si="11"/>
        <v>-</v>
      </c>
      <c r="AD94" s="12" t="str">
        <f t="shared" si="11"/>
        <v>-</v>
      </c>
      <c r="AE94" s="12" t="str">
        <f t="shared" si="11"/>
        <v>-</v>
      </c>
      <c r="AF94" s="12" t="str">
        <f t="shared" si="11"/>
        <v>-</v>
      </c>
      <c r="AG94" s="12" t="str">
        <f t="shared" si="11"/>
        <v>-</v>
      </c>
      <c r="AH94" s="12" t="str">
        <f t="shared" si="11"/>
        <v>-</v>
      </c>
      <c r="AI94" s="12" t="str">
        <f t="shared" si="11"/>
        <v>-</v>
      </c>
      <c r="AJ94" s="12" t="str">
        <f t="shared" si="11"/>
        <v>-</v>
      </c>
      <c r="AK94" s="12">
        <f t="shared" si="11"/>
        <v>4291.9799999999996</v>
      </c>
      <c r="AL94" s="12" t="str">
        <f t="shared" si="11"/>
        <v>-</v>
      </c>
      <c r="AM94" s="12" t="str">
        <f t="shared" si="11"/>
        <v>-</v>
      </c>
    </row>
    <row r="95" spans="3:50">
      <c r="C95" s="406" t="s">
        <v>1060</v>
      </c>
      <c r="D95" s="12">
        <f>0</f>
        <v>0</v>
      </c>
      <c r="E95" s="12">
        <v>0</v>
      </c>
      <c r="F95" s="12">
        <v>0</v>
      </c>
      <c r="G95" s="12">
        <f t="shared" ref="G95:AM95" si="12">$E$109</f>
        <v>134494.38513579019</v>
      </c>
      <c r="H95" s="12">
        <f t="shared" si="12"/>
        <v>134494.38513579019</v>
      </c>
      <c r="I95" s="12">
        <f t="shared" si="12"/>
        <v>134494.38513579019</v>
      </c>
      <c r="J95" s="12">
        <f t="shared" si="12"/>
        <v>134494.38513579019</v>
      </c>
      <c r="K95" s="12">
        <f t="shared" si="12"/>
        <v>134494.38513579019</v>
      </c>
      <c r="L95" s="12">
        <f t="shared" si="12"/>
        <v>134494.38513579019</v>
      </c>
      <c r="M95" s="12">
        <f t="shared" si="12"/>
        <v>134494.38513579019</v>
      </c>
      <c r="N95" s="12">
        <f t="shared" si="12"/>
        <v>134494.38513579019</v>
      </c>
      <c r="O95" s="12">
        <f t="shared" si="12"/>
        <v>134494.38513579019</v>
      </c>
      <c r="P95" s="12">
        <f t="shared" si="12"/>
        <v>134494.38513579019</v>
      </c>
      <c r="Q95" s="12">
        <f t="shared" si="12"/>
        <v>134494.38513579019</v>
      </c>
      <c r="R95" s="12">
        <f t="shared" si="12"/>
        <v>134494.38513579019</v>
      </c>
      <c r="S95" s="12">
        <f t="shared" si="12"/>
        <v>134494.38513579019</v>
      </c>
      <c r="T95" s="12">
        <f t="shared" si="12"/>
        <v>134494.38513579019</v>
      </c>
      <c r="U95" s="12">
        <f t="shared" si="12"/>
        <v>134494.38513579019</v>
      </c>
      <c r="V95" s="12">
        <f t="shared" si="12"/>
        <v>134494.38513579019</v>
      </c>
      <c r="W95" s="12">
        <f t="shared" si="12"/>
        <v>134494.38513579019</v>
      </c>
      <c r="X95" s="12">
        <f t="shared" si="12"/>
        <v>134494.38513579019</v>
      </c>
      <c r="Y95" s="12">
        <f t="shared" si="12"/>
        <v>134494.38513579019</v>
      </c>
      <c r="Z95" s="12">
        <f t="shared" si="12"/>
        <v>134494.38513579019</v>
      </c>
      <c r="AA95" s="12">
        <f t="shared" si="12"/>
        <v>134494.38513579019</v>
      </c>
      <c r="AB95" s="12">
        <f t="shared" si="12"/>
        <v>134494.38513579019</v>
      </c>
      <c r="AC95" s="12">
        <f t="shared" si="12"/>
        <v>134494.38513579019</v>
      </c>
      <c r="AD95" s="12">
        <f t="shared" si="12"/>
        <v>134494.38513579019</v>
      </c>
      <c r="AE95" s="12">
        <f t="shared" si="12"/>
        <v>134494.38513579019</v>
      </c>
      <c r="AF95" s="12">
        <f t="shared" si="12"/>
        <v>134494.38513579019</v>
      </c>
      <c r="AG95" s="12">
        <f t="shared" si="12"/>
        <v>134494.38513579019</v>
      </c>
      <c r="AH95" s="12">
        <f t="shared" si="12"/>
        <v>134494.38513579019</v>
      </c>
      <c r="AI95" s="12">
        <f t="shared" si="12"/>
        <v>134494.38513579019</v>
      </c>
      <c r="AJ95" s="12">
        <f t="shared" si="12"/>
        <v>134494.38513579019</v>
      </c>
      <c r="AK95" s="12">
        <f t="shared" si="12"/>
        <v>134494.38513579019</v>
      </c>
      <c r="AL95" s="12">
        <f t="shared" si="12"/>
        <v>134494.38513579019</v>
      </c>
      <c r="AM95" s="12">
        <f t="shared" si="12"/>
        <v>134494.38513579019</v>
      </c>
    </row>
    <row r="96" spans="3:50">
      <c r="C96" s="406" t="s">
        <v>479</v>
      </c>
      <c r="D96" s="12">
        <f>IF('INPUTS&amp;OUTPUTS'!$K$21="Sim",SUM(D94:D95),0)</f>
        <v>0</v>
      </c>
      <c r="E96" s="12">
        <f>IF('INPUTS&amp;OUTPUTS'!$K$21="Sim",SUM(E94:E95),0)</f>
        <v>0</v>
      </c>
      <c r="F96" s="12">
        <f>IF('INPUTS&amp;OUTPUTS'!$K$21="Sim",SUM(F94:F95),0)</f>
        <v>0</v>
      </c>
      <c r="G96" s="12">
        <f>IF('INPUTS&amp;OUTPUTS'!$K$21="Sim",SUM(G94:G95),0)</f>
        <v>138786.3651357902</v>
      </c>
      <c r="H96" s="12">
        <f>IF('INPUTS&amp;OUTPUTS'!$K$21="Sim",SUM(H94:H95),0)</f>
        <v>134494.38513579019</v>
      </c>
      <c r="I96" s="12">
        <f>IF('INPUTS&amp;OUTPUTS'!$K$21="Sim",SUM(I94:I95),0)</f>
        <v>134494.38513579019</v>
      </c>
      <c r="J96" s="12">
        <f>IF('INPUTS&amp;OUTPUTS'!$K$21="Sim",SUM(J94:J95),0)</f>
        <v>134494.38513579019</v>
      </c>
      <c r="K96" s="12">
        <f>IF('INPUTS&amp;OUTPUTS'!$K$21="Sim",SUM(K94:K95),0)</f>
        <v>134494.38513579019</v>
      </c>
      <c r="L96" s="12">
        <f>IF('INPUTS&amp;OUTPUTS'!$K$21="Sim",SUM(L94:L95),0)</f>
        <v>134494.38513579019</v>
      </c>
      <c r="M96" s="12">
        <f>IF('INPUTS&amp;OUTPUTS'!$K$21="Sim",SUM(M94:M95),0)</f>
        <v>134494.38513579019</v>
      </c>
      <c r="N96" s="12">
        <f>IF('INPUTS&amp;OUTPUTS'!$K$21="Sim",SUM(N94:N95),0)</f>
        <v>134494.38513579019</v>
      </c>
      <c r="O96" s="12">
        <f>IF('INPUTS&amp;OUTPUTS'!$K$21="Sim",SUM(O94:O95),0)</f>
        <v>134494.38513579019</v>
      </c>
      <c r="P96" s="12">
        <f>IF('INPUTS&amp;OUTPUTS'!$K$21="Sim",SUM(P94:P95),0)</f>
        <v>134494.38513579019</v>
      </c>
      <c r="Q96" s="12">
        <f>IF('INPUTS&amp;OUTPUTS'!$K$21="Sim",SUM(Q94:Q95),0)</f>
        <v>138786.3651357902</v>
      </c>
      <c r="R96" s="12">
        <f>IF('INPUTS&amp;OUTPUTS'!$K$21="Sim",SUM(R94:R95),0)</f>
        <v>134494.38513579019</v>
      </c>
      <c r="S96" s="12">
        <f>IF('INPUTS&amp;OUTPUTS'!$K$21="Sim",SUM(S94:S95),0)</f>
        <v>134494.38513579019</v>
      </c>
      <c r="T96" s="12">
        <f>IF('INPUTS&amp;OUTPUTS'!$K$21="Sim",SUM(T94:T95),0)</f>
        <v>134494.38513579019</v>
      </c>
      <c r="U96" s="12">
        <f>IF('INPUTS&amp;OUTPUTS'!$K$21="Sim",SUM(U94:U95),0)</f>
        <v>134494.38513579019</v>
      </c>
      <c r="V96" s="12">
        <f>IF('INPUTS&amp;OUTPUTS'!$K$21="Sim",SUM(V94:V95),0)</f>
        <v>134494.38513579019</v>
      </c>
      <c r="W96" s="12">
        <f>IF('INPUTS&amp;OUTPUTS'!$K$21="Sim",SUM(W94:W95),0)</f>
        <v>134494.38513579019</v>
      </c>
      <c r="X96" s="12">
        <f>IF('INPUTS&amp;OUTPUTS'!$K$21="Sim",SUM(X94:X95),0)</f>
        <v>134494.38513579019</v>
      </c>
      <c r="Y96" s="12">
        <f>IF('INPUTS&amp;OUTPUTS'!$K$21="Sim",SUM(Y94:Y95),0)</f>
        <v>134494.38513579019</v>
      </c>
      <c r="Z96" s="12">
        <f>IF('INPUTS&amp;OUTPUTS'!$K$21="Sim",SUM(Z94:Z95),0)</f>
        <v>134494.38513579019</v>
      </c>
      <c r="AA96" s="12">
        <f>IF('INPUTS&amp;OUTPUTS'!$K$21="Sim",SUM(AA94:AA95),0)</f>
        <v>138786.3651357902</v>
      </c>
      <c r="AB96" s="12">
        <f>IF('INPUTS&amp;OUTPUTS'!$K$21="Sim",SUM(AB94:AB95),0)</f>
        <v>134494.38513579019</v>
      </c>
      <c r="AC96" s="12">
        <f>IF('INPUTS&amp;OUTPUTS'!$K$21="Sim",SUM(AC94:AC95),0)</f>
        <v>134494.38513579019</v>
      </c>
      <c r="AD96" s="12">
        <f>IF('INPUTS&amp;OUTPUTS'!$K$21="Sim",SUM(AD94:AD95),0)</f>
        <v>134494.38513579019</v>
      </c>
      <c r="AE96" s="12">
        <f>IF('INPUTS&amp;OUTPUTS'!$K$21="Sim",SUM(AE94:AE95),0)</f>
        <v>134494.38513579019</v>
      </c>
      <c r="AF96" s="12">
        <f>IF('INPUTS&amp;OUTPUTS'!$K$21="Sim",SUM(AF94:AF95),0)</f>
        <v>134494.38513579019</v>
      </c>
      <c r="AG96" s="12">
        <f>IF('INPUTS&amp;OUTPUTS'!$K$21="Sim",SUM(AG94:AG95),0)</f>
        <v>134494.38513579019</v>
      </c>
      <c r="AH96" s="12">
        <f>IF('INPUTS&amp;OUTPUTS'!$K$21="Sim",SUM(AH94:AH95),0)</f>
        <v>134494.38513579019</v>
      </c>
      <c r="AI96" s="12">
        <f>IF('INPUTS&amp;OUTPUTS'!$K$21="Sim",SUM(AI94:AI95),0)</f>
        <v>134494.38513579019</v>
      </c>
      <c r="AJ96" s="12">
        <f>IF('INPUTS&amp;OUTPUTS'!$K$21="Sim",SUM(AJ94:AJ95),0)</f>
        <v>134494.38513579019</v>
      </c>
      <c r="AK96" s="12">
        <f>IF('INPUTS&amp;OUTPUTS'!$K$21="Sim",SUM(AK94:AK95),0)</f>
        <v>138786.3651357902</v>
      </c>
      <c r="AL96" s="12">
        <f>IF('INPUTS&amp;OUTPUTS'!$K$21="Sim",SUM(AL94:AL95),0)</f>
        <v>134494.38513579019</v>
      </c>
      <c r="AM96" s="12">
        <f>IF('INPUTS&amp;OUTPUTS'!$K$21="Sim",SUM(AM94:AM95),0)</f>
        <v>134494.38513579019</v>
      </c>
    </row>
    <row r="99" spans="3:17" ht="15" thickBot="1">
      <c r="C99" s="806" t="s">
        <v>491</v>
      </c>
      <c r="D99" s="806"/>
    </row>
    <row r="100" spans="3:17">
      <c r="C100" s="552" t="s">
        <v>1061</v>
      </c>
      <c r="D100" s="337">
        <f>'RECEITAS '!D167</f>
        <v>12</v>
      </c>
    </row>
    <row r="101" spans="3:17">
      <c r="C101" s="552" t="s">
        <v>519</v>
      </c>
      <c r="D101" s="337">
        <v>30</v>
      </c>
    </row>
    <row r="102" spans="3:17">
      <c r="C102" s="552" t="s">
        <v>1062</v>
      </c>
      <c r="D102" s="337">
        <v>8</v>
      </c>
      <c r="N102" s="352"/>
    </row>
    <row r="103" spans="3:17">
      <c r="C103" s="552" t="s">
        <v>1063</v>
      </c>
      <c r="D103" s="337">
        <f>D113</f>
        <v>10</v>
      </c>
    </row>
    <row r="105" spans="3:17">
      <c r="C105" s="802" t="s">
        <v>1064</v>
      </c>
      <c r="D105" s="802"/>
      <c r="E105" s="802"/>
      <c r="G105" s="793" t="s">
        <v>984</v>
      </c>
      <c r="H105" s="793"/>
      <c r="I105" s="793"/>
      <c r="J105" s="793"/>
      <c r="K105" s="833"/>
      <c r="L105" s="825" t="s">
        <v>1065</v>
      </c>
      <c r="M105" s="793"/>
      <c r="N105" s="793"/>
      <c r="O105" s="793"/>
      <c r="P105" s="793"/>
    </row>
    <row r="106" spans="3:17">
      <c r="C106" s="786" t="s">
        <v>497</v>
      </c>
      <c r="D106" s="786" t="s">
        <v>1066</v>
      </c>
      <c r="E106" s="786" t="s">
        <v>1067</v>
      </c>
      <c r="G106" s="786" t="s">
        <v>985</v>
      </c>
      <c r="H106" s="786" t="s">
        <v>986</v>
      </c>
      <c r="I106" s="786" t="s">
        <v>987</v>
      </c>
      <c r="J106" s="786" t="s">
        <v>988</v>
      </c>
      <c r="K106" s="399" t="s">
        <v>989</v>
      </c>
      <c r="L106" s="786" t="s">
        <v>1068</v>
      </c>
      <c r="M106" s="786" t="s">
        <v>743</v>
      </c>
      <c r="N106" s="786" t="s">
        <v>1069</v>
      </c>
      <c r="O106" s="786" t="s">
        <v>1070</v>
      </c>
      <c r="P106" s="786" t="s">
        <v>1071</v>
      </c>
      <c r="Q106" s="786" t="s">
        <v>1072</v>
      </c>
    </row>
    <row r="107" spans="3:17">
      <c r="C107" s="141" t="s">
        <v>1073</v>
      </c>
      <c r="D107" s="12">
        <f>J117/12</f>
        <v>3075.380847255939</v>
      </c>
      <c r="E107" s="12">
        <f>J117</f>
        <v>36904.570167071266</v>
      </c>
      <c r="G107" s="822" t="s">
        <v>992</v>
      </c>
      <c r="H107" s="398" t="s">
        <v>1074</v>
      </c>
      <c r="I107" s="133">
        <v>1</v>
      </c>
      <c r="J107" s="134">
        <v>16000</v>
      </c>
      <c r="K107" s="134">
        <f>J107/I107</f>
        <v>16000</v>
      </c>
      <c r="L107" s="134">
        <f>K107/$D$101</f>
        <v>533.33333333333337</v>
      </c>
      <c r="M107" s="413">
        <v>1</v>
      </c>
      <c r="N107" s="134">
        <f>L107/$D$102</f>
        <v>66.666666666666671</v>
      </c>
      <c r="O107" s="382">
        <v>0.95220000000000005</v>
      </c>
      <c r="P107" s="134">
        <f>L107*$D$100*M107*O107</f>
        <v>6094.08</v>
      </c>
      <c r="Q107" s="134">
        <f>P107*12</f>
        <v>73128.959999999992</v>
      </c>
    </row>
    <row r="108" spans="3:17">
      <c r="C108" s="141" t="s">
        <v>1075</v>
      </c>
      <c r="D108" s="12">
        <f>SUM(P107:P109)</f>
        <v>8132.4845807265774</v>
      </c>
      <c r="E108" s="12">
        <f>SUM(Q107:Q109)</f>
        <v>97589.814968718914</v>
      </c>
      <c r="G108" s="823"/>
      <c r="H108" s="398" t="s">
        <v>1076</v>
      </c>
      <c r="I108" s="133">
        <v>523</v>
      </c>
      <c r="J108" s="134">
        <v>856323</v>
      </c>
      <c r="K108" s="134">
        <f>J108/I108</f>
        <v>1637.3288718929255</v>
      </c>
      <c r="L108" s="134">
        <f>K108/$D$101</f>
        <v>54.577629063097518</v>
      </c>
      <c r="M108" s="413">
        <v>1</v>
      </c>
      <c r="N108" s="134">
        <f>L108/$D$102</f>
        <v>6.8222036328871898</v>
      </c>
      <c r="O108" s="382">
        <v>0.95220000000000005</v>
      </c>
      <c r="P108" s="134">
        <f t="shared" ref="P108:P109" si="13">L108*$D$100*M108*O108</f>
        <v>623.62582072657756</v>
      </c>
      <c r="Q108" s="134">
        <f t="shared" ref="Q108:Q109" si="14">P108*12</f>
        <v>7483.5098487189307</v>
      </c>
    </row>
    <row r="109" spans="3:17">
      <c r="C109" s="141" t="s">
        <v>479</v>
      </c>
      <c r="D109" s="12">
        <f>SUM(D107:D108)</f>
        <v>11207.865427982517</v>
      </c>
      <c r="E109" s="12">
        <f>SUM(E107:E108)</f>
        <v>134494.38513579019</v>
      </c>
      <c r="G109" s="823"/>
      <c r="H109" s="398" t="s">
        <v>1077</v>
      </c>
      <c r="I109" s="133">
        <v>2</v>
      </c>
      <c r="J109" s="134">
        <v>7429</v>
      </c>
      <c r="K109" s="134">
        <f>J109/I109</f>
        <v>3714.5</v>
      </c>
      <c r="L109" s="134">
        <f>K109/$D$101</f>
        <v>123.81666666666666</v>
      </c>
      <c r="M109" s="413">
        <v>1</v>
      </c>
      <c r="N109" s="134">
        <f>L109/$D$102</f>
        <v>15.477083333333333</v>
      </c>
      <c r="O109" s="382">
        <v>0.95220000000000005</v>
      </c>
      <c r="P109" s="134">
        <f t="shared" si="13"/>
        <v>1414.7787599999999</v>
      </c>
      <c r="Q109" s="134">
        <f t="shared" si="14"/>
        <v>16977.345119999998</v>
      </c>
    </row>
    <row r="111" spans="3:17">
      <c r="O111" s="352"/>
    </row>
    <row r="112" spans="3:17">
      <c r="C112" s="372" t="s">
        <v>1078</v>
      </c>
      <c r="D112" s="400">
        <v>3</v>
      </c>
      <c r="G112" s="775" t="s">
        <v>999</v>
      </c>
      <c r="H112" s="775"/>
      <c r="I112" s="775"/>
      <c r="J112" s="775"/>
    </row>
    <row r="113" spans="3:10">
      <c r="C113" s="372" t="s">
        <v>1079</v>
      </c>
      <c r="D113" s="400">
        <v>10</v>
      </c>
      <c r="G113" s="782" t="s">
        <v>1080</v>
      </c>
      <c r="H113" s="140" t="s">
        <v>1081</v>
      </c>
      <c r="I113" s="140" t="s">
        <v>1082</v>
      </c>
      <c r="J113" s="140" t="s">
        <v>1003</v>
      </c>
    </row>
    <row r="114" spans="3:10">
      <c r="C114" s="372" t="s">
        <v>479</v>
      </c>
      <c r="D114" s="401">
        <f>SUM(D94:AM94)</f>
        <v>17167.919999999998</v>
      </c>
      <c r="G114" s="783"/>
      <c r="H114" s="290">
        <f>D30</f>
        <v>4054118</v>
      </c>
      <c r="I114" s="139">
        <f>H114/$H$114</f>
        <v>1</v>
      </c>
      <c r="J114" s="290">
        <f>F30</f>
        <v>6892816.8338978458</v>
      </c>
    </row>
    <row r="115" spans="3:10" ht="21.6">
      <c r="G115" s="667" t="s">
        <v>1083</v>
      </c>
      <c r="H115" s="290">
        <v>314511</v>
      </c>
      <c r="I115" s="139">
        <f>H115/$H$114</f>
        <v>7.7578156333880766E-2</v>
      </c>
      <c r="J115" s="290">
        <f>I115*$J$114</f>
        <v>534732.02192093211</v>
      </c>
    </row>
    <row r="116" spans="3:10">
      <c r="C116" s="830" t="s">
        <v>1084</v>
      </c>
      <c r="D116" s="402" t="s">
        <v>1085</v>
      </c>
      <c r="G116" s="785" t="s">
        <v>1086</v>
      </c>
      <c r="H116" s="290">
        <v>106486</v>
      </c>
      <c r="I116" s="139">
        <f>H116/$H$114</f>
        <v>2.6266132362205541E-2</v>
      </c>
      <c r="J116" s="290">
        <f>I116*$J$114</f>
        <v>181047.63930759934</v>
      </c>
    </row>
    <row r="117" spans="3:10">
      <c r="C117" s="831"/>
      <c r="D117" s="403" t="s">
        <v>1087</v>
      </c>
      <c r="G117" s="785" t="s">
        <v>1088</v>
      </c>
      <c r="H117" s="290">
        <v>21706</v>
      </c>
      <c r="I117" s="139">
        <f>H117/$H$114</f>
        <v>5.3540622152586578E-3</v>
      </c>
      <c r="J117" s="290">
        <f>I117*$J$114</f>
        <v>36904.570167071266</v>
      </c>
    </row>
    <row r="118" spans="3:10">
      <c r="C118" s="832"/>
      <c r="D118" s="405" t="s">
        <v>1089</v>
      </c>
      <c r="G118" s="785" t="s">
        <v>1090</v>
      </c>
      <c r="H118" s="290">
        <v>6514</v>
      </c>
      <c r="I118" s="139">
        <f>H118/$H$114</f>
        <v>1.606761322684737E-3</v>
      </c>
      <c r="J118" s="290">
        <f>I118*$J$114</f>
        <v>11075.111493057324</v>
      </c>
    </row>
    <row r="119" spans="3:10">
      <c r="C119" s="831" t="s">
        <v>1032</v>
      </c>
      <c r="D119" s="403" t="s">
        <v>1091</v>
      </c>
    </row>
    <row r="120" spans="3:10">
      <c r="C120" s="831"/>
      <c r="D120" s="403" t="s">
        <v>1092</v>
      </c>
      <c r="G120" s="153" t="s">
        <v>1020</v>
      </c>
    </row>
    <row r="121" spans="3:10">
      <c r="C121" s="832"/>
      <c r="D121" s="405" t="s">
        <v>1093</v>
      </c>
      <c r="G121" s="153" t="s">
        <v>1021</v>
      </c>
    </row>
    <row r="122" spans="3:10">
      <c r="C122" s="781" t="s">
        <v>1034</v>
      </c>
      <c r="D122" s="405" t="s">
        <v>1094</v>
      </c>
      <c r="G122" s="153" t="s">
        <v>1095</v>
      </c>
    </row>
    <row r="123" spans="3:10">
      <c r="C123" s="781" t="s">
        <v>1036</v>
      </c>
      <c r="D123" s="404">
        <v>4291.9799999999996</v>
      </c>
    </row>
  </sheetData>
  <mergeCells count="15">
    <mergeCell ref="C116:C118"/>
    <mergeCell ref="C119:C121"/>
    <mergeCell ref="C105:E105"/>
    <mergeCell ref="G107:G109"/>
    <mergeCell ref="G105:K105"/>
    <mergeCell ref="C29:C30"/>
    <mergeCell ref="C28:F28"/>
    <mergeCell ref="G16:G20"/>
    <mergeCell ref="L105:P105"/>
    <mergeCell ref="C99:D99"/>
    <mergeCell ref="C53:D53"/>
    <mergeCell ref="D63:F63"/>
    <mergeCell ref="I45:N45"/>
    <mergeCell ref="I46:N46"/>
    <mergeCell ref="I47:N47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6"/>
  <dimension ref="A1:Q44"/>
  <sheetViews>
    <sheetView showGridLines="0" zoomScale="110" zoomScaleNormal="110" workbookViewId="0">
      <selection activeCell="D1" sqref="D1"/>
    </sheetView>
  </sheetViews>
  <sheetFormatPr defaultColWidth="9.140625" defaultRowHeight="13.9"/>
  <cols>
    <col min="1" max="1" width="3.7109375" style="2" customWidth="1"/>
    <col min="2" max="2" width="3.28515625" style="2" customWidth="1"/>
    <col min="3" max="3" width="3.7109375" style="125" customWidth="1"/>
    <col min="4" max="4" width="29.7109375" style="125" bestFit="1" customWidth="1"/>
    <col min="5" max="5" width="16.7109375" style="125" bestFit="1" customWidth="1"/>
    <col min="6" max="6" width="2.85546875" style="125" customWidth="1"/>
    <col min="7" max="7" width="26.140625" style="125" bestFit="1" customWidth="1"/>
    <col min="8" max="8" width="22" style="125" bestFit="1" customWidth="1"/>
    <col min="9" max="9" width="12.42578125" style="125" bestFit="1" customWidth="1"/>
    <col min="10" max="10" width="16.7109375" style="125" bestFit="1" customWidth="1"/>
    <col min="11" max="11" width="22.7109375" style="125" bestFit="1" customWidth="1"/>
    <col min="12" max="12" width="5.28515625" style="125" customWidth="1"/>
    <col min="13" max="14" width="34.28515625" style="125" bestFit="1" customWidth="1"/>
    <col min="15" max="15" width="12.42578125" style="125" bestFit="1" customWidth="1"/>
    <col min="16" max="16" width="16.7109375" style="125" bestFit="1" customWidth="1"/>
    <col min="17" max="17" width="22.7109375" style="125" bestFit="1" customWidth="1"/>
    <col min="18" max="16384" width="9.140625" style="125"/>
  </cols>
  <sheetData>
    <row r="1" spans="3:17" ht="21">
      <c r="C1" s="2"/>
      <c r="D1" s="348" t="s">
        <v>1096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3:17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4" spans="3:17" ht="21">
      <c r="D4" s="836" t="s">
        <v>1097</v>
      </c>
      <c r="E4" s="836"/>
      <c r="G4" s="701" t="s">
        <v>1098</v>
      </c>
      <c r="H4" s="348"/>
      <c r="I4" s="348"/>
      <c r="J4" s="348"/>
      <c r="K4" s="348"/>
      <c r="L4" s="348"/>
      <c r="M4" s="348"/>
      <c r="N4" s="348"/>
      <c r="O4" s="348"/>
      <c r="P4" s="348"/>
      <c r="Q4" s="348"/>
    </row>
    <row r="5" spans="3:17" ht="21">
      <c r="D5" s="810" t="str">
        <f>H7</f>
        <v>Iluminação do Parque</v>
      </c>
      <c r="E5" s="810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</row>
    <row r="6" spans="3:17">
      <c r="D6" s="810" t="str">
        <f>H15</f>
        <v>Área administrativa</v>
      </c>
      <c r="E6" s="810"/>
    </row>
    <row r="7" spans="3:17">
      <c r="D7" s="810" t="str">
        <f>N7</f>
        <v>Sistemas de irrigação do parque</v>
      </c>
      <c r="E7" s="810"/>
      <c r="G7" s="787" t="s">
        <v>1099</v>
      </c>
      <c r="H7" s="787" t="s">
        <v>1100</v>
      </c>
      <c r="I7" s="788" t="s">
        <v>1101</v>
      </c>
      <c r="J7" s="788"/>
      <c r="K7" s="788">
        <f>H10+H11+H12+H13</f>
        <v>514</v>
      </c>
      <c r="M7" s="787" t="s">
        <v>1097</v>
      </c>
      <c r="N7" s="787" t="s">
        <v>1102</v>
      </c>
      <c r="O7" s="788" t="s">
        <v>1101</v>
      </c>
      <c r="P7" s="788"/>
      <c r="Q7" s="788">
        <f>N10</f>
        <v>1</v>
      </c>
    </row>
    <row r="8" spans="3:17">
      <c r="D8" s="810" t="str">
        <f>N12</f>
        <v>Vestiário</v>
      </c>
      <c r="E8" s="810"/>
      <c r="G8" s="787"/>
      <c r="H8" s="787"/>
      <c r="I8" s="788" t="s">
        <v>1103</v>
      </c>
      <c r="J8" s="788"/>
      <c r="K8" s="788">
        <f>ROUND(SUM(K10:K13)*K7,2)</f>
        <v>1426.86</v>
      </c>
      <c r="M8" s="787"/>
      <c r="N8" s="787"/>
      <c r="O8" s="788" t="s">
        <v>1103</v>
      </c>
      <c r="P8" s="788"/>
      <c r="Q8" s="788">
        <f>ROUND(SUM(Q10)*Q7,2)</f>
        <v>1.47</v>
      </c>
    </row>
    <row r="9" spans="3:17">
      <c r="G9" s="788" t="s">
        <v>497</v>
      </c>
      <c r="H9" s="788" t="s">
        <v>498</v>
      </c>
      <c r="I9" s="788" t="s">
        <v>1104</v>
      </c>
      <c r="J9" s="788" t="s">
        <v>1105</v>
      </c>
      <c r="K9" s="788" t="s">
        <v>1106</v>
      </c>
      <c r="M9" s="788" t="s">
        <v>497</v>
      </c>
      <c r="N9" s="788" t="s">
        <v>498</v>
      </c>
      <c r="O9" s="788" t="s">
        <v>1104</v>
      </c>
      <c r="P9" s="788" t="s">
        <v>1105</v>
      </c>
      <c r="Q9" s="788" t="s">
        <v>1106</v>
      </c>
    </row>
    <row r="10" spans="3:17">
      <c r="D10" s="786" t="s">
        <v>1107</v>
      </c>
      <c r="E10" s="786" t="s">
        <v>1108</v>
      </c>
      <c r="G10" s="128" t="s">
        <v>1109</v>
      </c>
      <c r="H10" s="677">
        <v>200</v>
      </c>
      <c r="I10" s="127">
        <v>51</v>
      </c>
      <c r="J10" s="677">
        <v>8</v>
      </c>
      <c r="K10" s="127">
        <f>ROUND(I10*J10,2)/1000</f>
        <v>0.40799999999999997</v>
      </c>
      <c r="M10" s="128" t="s">
        <v>1110</v>
      </c>
      <c r="N10" s="127">
        <v>1</v>
      </c>
      <c r="O10" s="127">
        <v>245</v>
      </c>
      <c r="P10" s="677">
        <v>6</v>
      </c>
      <c r="Q10" s="127">
        <f>ROUND(O10*P10,2)/1000</f>
        <v>1.47</v>
      </c>
    </row>
    <row r="11" spans="3:17">
      <c r="D11" s="778" t="s">
        <v>1111</v>
      </c>
      <c r="E11" s="778" t="s">
        <v>1112</v>
      </c>
      <c r="G11" s="128" t="s">
        <v>1113</v>
      </c>
      <c r="H11" s="677">
        <v>281</v>
      </c>
      <c r="I11" s="127">
        <v>6</v>
      </c>
      <c r="J11" s="127">
        <f>J10</f>
        <v>8</v>
      </c>
      <c r="K11" s="127">
        <f>ROUND(I11*J11,2)/1000</f>
        <v>4.8000000000000001E-2</v>
      </c>
    </row>
    <row r="12" spans="3:17">
      <c r="D12" s="778" t="s">
        <v>1114</v>
      </c>
      <c r="E12" s="778" t="s">
        <v>1115</v>
      </c>
      <c r="G12" s="128" t="s">
        <v>1116</v>
      </c>
      <c r="H12" s="677">
        <v>32</v>
      </c>
      <c r="I12" s="127">
        <v>200</v>
      </c>
      <c r="J12" s="127">
        <f>J10</f>
        <v>8</v>
      </c>
      <c r="K12" s="127">
        <f>ROUND(I12*J12,2)/1000</f>
        <v>1.6</v>
      </c>
      <c r="M12" s="787" t="s">
        <v>1097</v>
      </c>
      <c r="N12" s="787" t="s">
        <v>1117</v>
      </c>
      <c r="O12" s="788" t="s">
        <v>1101</v>
      </c>
      <c r="P12" s="788"/>
      <c r="Q12" s="788">
        <f>SUM(N15:N16)</f>
        <v>12</v>
      </c>
    </row>
    <row r="13" spans="3:17">
      <c r="D13" s="778" t="s">
        <v>1118</v>
      </c>
      <c r="E13" s="778" t="s">
        <v>1119</v>
      </c>
      <c r="G13" s="128" t="s">
        <v>1120</v>
      </c>
      <c r="H13" s="677">
        <v>1</v>
      </c>
      <c r="I13" s="127">
        <v>90</v>
      </c>
      <c r="J13" s="127">
        <f>J10</f>
        <v>8</v>
      </c>
      <c r="K13" s="127">
        <f>ROUND(I13*J13,2)/1000</f>
        <v>0.72</v>
      </c>
      <c r="M13" s="787"/>
      <c r="N13" s="787"/>
      <c r="O13" s="788" t="s">
        <v>1103</v>
      </c>
      <c r="P13" s="788"/>
      <c r="Q13" s="788">
        <f>ROUND(SUM(Q15:Q16)*Q12,2)</f>
        <v>10.75</v>
      </c>
    </row>
    <row r="14" spans="3:17">
      <c r="M14" s="788" t="s">
        <v>497</v>
      </c>
      <c r="N14" s="788" t="s">
        <v>498</v>
      </c>
      <c r="O14" s="788" t="s">
        <v>1104</v>
      </c>
      <c r="P14" s="788" t="s">
        <v>1105</v>
      </c>
      <c r="Q14" s="788" t="s">
        <v>1106</v>
      </c>
    </row>
    <row r="15" spans="3:17">
      <c r="D15" s="786" t="s">
        <v>1121</v>
      </c>
      <c r="E15" s="786" t="s">
        <v>1122</v>
      </c>
      <c r="G15" s="835" t="s">
        <v>1097</v>
      </c>
      <c r="H15" s="835" t="s">
        <v>1123</v>
      </c>
      <c r="I15" s="834" t="s">
        <v>1101</v>
      </c>
      <c r="J15" s="834"/>
      <c r="K15" s="788">
        <f>SUM(H18:H20)</f>
        <v>14</v>
      </c>
      <c r="M15" s="128" t="s">
        <v>1124</v>
      </c>
      <c r="N15" s="127">
        <v>6</v>
      </c>
      <c r="O15" s="127">
        <f>I18</f>
        <v>100</v>
      </c>
      <c r="P15" s="127">
        <f>J10</f>
        <v>8</v>
      </c>
      <c r="Q15" s="127">
        <f>ROUND(O15*P15,2)/1000</f>
        <v>0.8</v>
      </c>
    </row>
    <row r="16" spans="3:17">
      <c r="D16" s="778" t="s">
        <v>1125</v>
      </c>
      <c r="E16" s="778">
        <v>0.85333300000000001</v>
      </c>
      <c r="G16" s="835"/>
      <c r="H16" s="835"/>
      <c r="I16" s="834" t="s">
        <v>1103</v>
      </c>
      <c r="J16" s="834"/>
      <c r="K16" s="788">
        <f>ROUND(SUM(K18:K20)*K15,2)</f>
        <v>619.83000000000004</v>
      </c>
      <c r="M16" s="128" t="s">
        <v>1126</v>
      </c>
      <c r="N16" s="127">
        <v>6</v>
      </c>
      <c r="O16" s="127">
        <v>12</v>
      </c>
      <c r="P16" s="127">
        <f>J10</f>
        <v>8</v>
      </c>
      <c r="Q16" s="127">
        <f>ROUND(O16*P16,2)/1000</f>
        <v>9.6000000000000002E-2</v>
      </c>
    </row>
    <row r="17" spans="4:17">
      <c r="D17" s="778" t="s">
        <v>1127</v>
      </c>
      <c r="E17" s="778">
        <v>1.080649</v>
      </c>
      <c r="G17" s="788" t="s">
        <v>497</v>
      </c>
      <c r="H17" s="788" t="s">
        <v>498</v>
      </c>
      <c r="I17" s="788" t="s">
        <v>1104</v>
      </c>
      <c r="J17" s="788" t="s">
        <v>1105</v>
      </c>
      <c r="K17" s="788" t="s">
        <v>1106</v>
      </c>
    </row>
    <row r="18" spans="4:17">
      <c r="D18" s="129" t="s">
        <v>1128</v>
      </c>
      <c r="G18" s="128" t="s">
        <v>1124</v>
      </c>
      <c r="H18" s="677">
        <v>6</v>
      </c>
      <c r="I18" s="127">
        <v>100</v>
      </c>
      <c r="J18" s="677">
        <v>20</v>
      </c>
      <c r="K18" s="127">
        <f>ROUND(I18*J18,2)/1000</f>
        <v>2</v>
      </c>
      <c r="M18" s="835" t="s">
        <v>1097</v>
      </c>
      <c r="N18" s="835" t="s">
        <v>1129</v>
      </c>
      <c r="O18" s="834" t="s">
        <v>1101</v>
      </c>
      <c r="P18" s="834"/>
      <c r="Q18" s="788">
        <f>SUM(N21:N23)</f>
        <v>6</v>
      </c>
    </row>
    <row r="19" spans="4:17" ht="14.25" customHeight="1">
      <c r="G19" s="128" t="s">
        <v>1126</v>
      </c>
      <c r="H19" s="677">
        <v>6</v>
      </c>
      <c r="I19" s="127">
        <v>12</v>
      </c>
      <c r="J19" s="127">
        <f>J10</f>
        <v>8</v>
      </c>
      <c r="K19" s="127">
        <f>ROUND(I19*J19,2)/1000</f>
        <v>9.6000000000000002E-2</v>
      </c>
      <c r="M19" s="835"/>
      <c r="N19" s="835"/>
      <c r="O19" s="834" t="s">
        <v>1103</v>
      </c>
      <c r="P19" s="834"/>
      <c r="Q19" s="788">
        <f>ROUND(SUM(Q21:Q23)*Q18,2)</f>
        <v>139.11000000000001</v>
      </c>
    </row>
    <row r="20" spans="4:17" ht="14.25" customHeight="1">
      <c r="G20" s="128" t="s">
        <v>1130</v>
      </c>
      <c r="H20" s="677">
        <v>2</v>
      </c>
      <c r="I20" s="127">
        <f>18000*0.2929</f>
        <v>5272.2</v>
      </c>
      <c r="J20" s="127">
        <f>J10</f>
        <v>8</v>
      </c>
      <c r="K20" s="127">
        <f>ROUND(I20*J20,2)/1000</f>
        <v>42.177599999999998</v>
      </c>
      <c r="M20" s="788" t="s">
        <v>497</v>
      </c>
      <c r="N20" s="788" t="s">
        <v>498</v>
      </c>
      <c r="O20" s="788" t="s">
        <v>1104</v>
      </c>
      <c r="P20" s="788" t="s">
        <v>1105</v>
      </c>
      <c r="Q20" s="788" t="s">
        <v>1106</v>
      </c>
    </row>
    <row r="21" spans="4:17">
      <c r="M21" s="128" t="s">
        <v>1124</v>
      </c>
      <c r="N21" s="127">
        <v>2</v>
      </c>
      <c r="O21" s="127">
        <f>I18</f>
        <v>100</v>
      </c>
      <c r="P21" s="127">
        <f>J18</f>
        <v>20</v>
      </c>
      <c r="Q21" s="127">
        <f>ROUND(O21*P21,2)/1000</f>
        <v>2</v>
      </c>
    </row>
    <row r="22" spans="4:17">
      <c r="G22" s="834" t="s">
        <v>1131</v>
      </c>
      <c r="H22" s="834"/>
      <c r="M22" s="128" t="s">
        <v>1126</v>
      </c>
      <c r="N22" s="127">
        <v>2</v>
      </c>
      <c r="O22" s="127">
        <v>12</v>
      </c>
      <c r="P22" s="127">
        <f>J19</f>
        <v>8</v>
      </c>
      <c r="Q22" s="127">
        <f>ROUND(O22*P22,2)/1000</f>
        <v>9.6000000000000002E-2</v>
      </c>
    </row>
    <row r="23" spans="4:17">
      <c r="G23" s="788" t="s">
        <v>1121</v>
      </c>
      <c r="H23" s="128" t="s">
        <v>1127</v>
      </c>
      <c r="M23" s="128" t="s">
        <v>1130</v>
      </c>
      <c r="N23" s="127">
        <v>2</v>
      </c>
      <c r="O23" s="127">
        <f>9000*0.2929</f>
        <v>2636.1</v>
      </c>
      <c r="P23" s="127">
        <f>J20</f>
        <v>8</v>
      </c>
      <c r="Q23" s="127">
        <f>ROUND(O23*P23,2)/1000</f>
        <v>21.088799999999999</v>
      </c>
    </row>
    <row r="24" spans="4:17">
      <c r="G24" s="788" t="s">
        <v>1132</v>
      </c>
      <c r="H24" s="127">
        <f>I10+I11+I12+I13+O10+I18+I19+I20+O15+O16+O21+O22+O23</f>
        <v>8836.2999999999993</v>
      </c>
    </row>
    <row r="25" spans="4:17">
      <c r="G25" s="788" t="s">
        <v>1133</v>
      </c>
      <c r="H25" s="127">
        <f>K8+Q8+Q13+K16+Q19</f>
        <v>2198.02</v>
      </c>
      <c r="N25" s="137"/>
    </row>
    <row r="26" spans="4:17">
      <c r="G26" s="788" t="s">
        <v>1134</v>
      </c>
      <c r="H26" s="668">
        <f>IF(H23="Unidade Comercial",E17,E16)</f>
        <v>1.080649</v>
      </c>
      <c r="I26" s="135"/>
    </row>
    <row r="27" spans="4:17">
      <c r="G27" s="788" t="s">
        <v>1135</v>
      </c>
      <c r="H27" s="126">
        <f>H25*H26*30</f>
        <v>71258.643449399999</v>
      </c>
    </row>
    <row r="28" spans="4:17">
      <c r="G28" s="788" t="s">
        <v>1136</v>
      </c>
      <c r="H28" s="126">
        <f>H27*12</f>
        <v>855103.72139279998</v>
      </c>
      <c r="I28" s="136"/>
    </row>
    <row r="44" spans="9:9">
      <c r="I44" s="135"/>
    </row>
  </sheetData>
  <mergeCells count="14">
    <mergeCell ref="D4:E4"/>
    <mergeCell ref="N18:N19"/>
    <mergeCell ref="O18:P18"/>
    <mergeCell ref="O19:P19"/>
    <mergeCell ref="G15:G16"/>
    <mergeCell ref="D5:E5"/>
    <mergeCell ref="D6:E6"/>
    <mergeCell ref="D7:E7"/>
    <mergeCell ref="D8:E8"/>
    <mergeCell ref="G22:H22"/>
    <mergeCell ref="H15:H16"/>
    <mergeCell ref="I16:J16"/>
    <mergeCell ref="I15:J15"/>
    <mergeCell ref="M18:M19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8">
    <tabColor theme="7" tint="0.39997558519241921"/>
    <pageSetUpPr fitToPage="1"/>
  </sheetPr>
  <dimension ref="B2:U45"/>
  <sheetViews>
    <sheetView showGridLines="0" workbookViewId="0">
      <selection activeCell="G4" sqref="G4"/>
    </sheetView>
  </sheetViews>
  <sheetFormatPr defaultRowHeight="14.45"/>
  <cols>
    <col min="1" max="1" width="3.140625" customWidth="1"/>
    <col min="2" max="2" width="1.85546875" customWidth="1"/>
    <col min="3" max="3" width="4.140625" style="62" customWidth="1"/>
    <col min="4" max="4" width="5.7109375" customWidth="1"/>
    <col min="5" max="5" width="7.85546875" customWidth="1"/>
    <col min="6" max="6" width="43.42578125" customWidth="1"/>
    <col min="7" max="7" width="10.140625" style="61" bestFit="1" customWidth="1"/>
    <col min="8" max="8" width="3.28515625" customWidth="1"/>
    <col min="9" max="9" width="1.42578125" customWidth="1"/>
    <col min="10" max="10" width="8.42578125" style="63" customWidth="1"/>
    <col min="11" max="11" width="2.7109375" customWidth="1"/>
    <col min="12" max="12" width="13.42578125" style="61" customWidth="1"/>
    <col min="13" max="13" width="3.42578125" customWidth="1"/>
    <col min="14" max="14" width="9.85546875" customWidth="1"/>
    <col min="15" max="15" width="3.7109375" style="114" customWidth="1"/>
    <col min="16" max="16" width="4.28515625" customWidth="1"/>
    <col min="17" max="17" width="2.28515625" customWidth="1"/>
    <col min="18" max="18" width="17.28515625" customWidth="1"/>
    <col min="19" max="19" width="13.42578125" customWidth="1"/>
    <col min="20" max="20" width="13.28515625" bestFit="1" customWidth="1"/>
    <col min="21" max="21" width="10.28515625" bestFit="1" customWidth="1"/>
  </cols>
  <sheetData>
    <row r="2" spans="2:21" ht="15" thickBot="1">
      <c r="B2" s="75"/>
      <c r="C2" s="100"/>
      <c r="D2" s="75"/>
      <c r="E2" s="75"/>
      <c r="F2" s="75"/>
      <c r="G2" s="76"/>
      <c r="H2" s="75"/>
      <c r="I2" s="75"/>
      <c r="J2" s="101"/>
      <c r="K2" s="75"/>
      <c r="L2" s="76"/>
      <c r="M2" s="75"/>
      <c r="N2" s="75"/>
      <c r="O2" s="113"/>
    </row>
    <row r="3" spans="2:21">
      <c r="B3" s="75"/>
      <c r="C3" s="837" t="s">
        <v>1137</v>
      </c>
      <c r="D3" s="838"/>
      <c r="E3" s="838"/>
      <c r="F3" s="838"/>
      <c r="G3" s="838"/>
      <c r="H3" s="838"/>
      <c r="I3" s="838"/>
      <c r="J3" s="839"/>
      <c r="K3" s="75"/>
      <c r="L3" s="840" t="s">
        <v>1138</v>
      </c>
      <c r="M3" s="841"/>
      <c r="N3" s="842"/>
      <c r="O3" s="113"/>
    </row>
    <row r="4" spans="2:21">
      <c r="B4" s="75"/>
      <c r="C4" s="92">
        <v>1</v>
      </c>
      <c r="D4" s="93" t="s">
        <v>1139</v>
      </c>
      <c r="E4" s="93"/>
      <c r="F4" s="93"/>
      <c r="G4" s="94">
        <f>G6+G5</f>
        <v>51737.359999999993</v>
      </c>
      <c r="H4" s="93" t="s">
        <v>1140</v>
      </c>
      <c r="I4" s="95"/>
      <c r="J4" s="99">
        <v>1</v>
      </c>
      <c r="K4" s="75"/>
      <c r="L4" s="104">
        <f>L6+L5</f>
        <v>51737.359999999993</v>
      </c>
      <c r="M4" s="93" t="s">
        <v>1140</v>
      </c>
      <c r="N4" s="99">
        <v>1</v>
      </c>
      <c r="O4" s="113"/>
    </row>
    <row r="5" spans="2:21">
      <c r="B5" s="75"/>
      <c r="C5" s="92"/>
      <c r="D5" s="93" t="s">
        <v>1141</v>
      </c>
      <c r="E5" s="93"/>
      <c r="F5" s="93"/>
      <c r="G5" s="94">
        <f>G8+G11</f>
        <v>16119.24</v>
      </c>
      <c r="H5" s="93" t="s">
        <v>1140</v>
      </c>
      <c r="I5" s="95"/>
      <c r="J5" s="99">
        <f>G5*$J$4/$G$4</f>
        <v>0.3115589972120727</v>
      </c>
      <c r="K5" s="75"/>
      <c r="L5" s="104">
        <f>L8+L11</f>
        <v>14545.769999999997</v>
      </c>
      <c r="M5" s="93" t="s">
        <v>1140</v>
      </c>
      <c r="N5" s="99">
        <f>L5*$N$4/$L$4</f>
        <v>0.28114635149532174</v>
      </c>
      <c r="O5" s="113"/>
    </row>
    <row r="6" spans="2:21">
      <c r="B6" s="75"/>
      <c r="C6" s="92"/>
      <c r="D6" s="93" t="s">
        <v>1142</v>
      </c>
      <c r="E6" s="93"/>
      <c r="F6" s="93"/>
      <c r="G6" s="94">
        <f>G9+G16</f>
        <v>35618.119999999995</v>
      </c>
      <c r="H6" s="93" t="s">
        <v>1140</v>
      </c>
      <c r="I6" s="95"/>
      <c r="J6" s="99">
        <f>G6*$J$4/$G$4</f>
        <v>0.6884410027879273</v>
      </c>
      <c r="K6" s="75"/>
      <c r="L6" s="104">
        <f>L9+L16</f>
        <v>37191.589999999997</v>
      </c>
      <c r="M6" s="93" t="s">
        <v>1140</v>
      </c>
      <c r="N6" s="99">
        <f>L6*$N$4/$L$4</f>
        <v>0.71885364850467826</v>
      </c>
      <c r="O6" s="113"/>
    </row>
    <row r="7" spans="2:21">
      <c r="B7" s="75"/>
      <c r="C7" s="83" t="s">
        <v>1143</v>
      </c>
      <c r="D7" s="66" t="s">
        <v>1144</v>
      </c>
      <c r="E7" s="66"/>
      <c r="F7" s="66"/>
      <c r="G7" s="67">
        <f>SUM(G8:G9)</f>
        <v>5595.58</v>
      </c>
      <c r="H7" s="66" t="s">
        <v>1140</v>
      </c>
      <c r="I7" s="68"/>
      <c r="J7" s="79">
        <f>G7*$J$4/$G$4</f>
        <v>0.108153566397667</v>
      </c>
      <c r="K7" s="75"/>
      <c r="L7" s="105">
        <f>SUM(L8:L9)</f>
        <v>6423.1</v>
      </c>
      <c r="M7" s="66" t="s">
        <v>1140</v>
      </c>
      <c r="N7" s="79">
        <f>L7*$N$4/$L$4</f>
        <v>0.12414819774337155</v>
      </c>
      <c r="O7" s="113"/>
    </row>
    <row r="8" spans="2:21">
      <c r="B8" s="75"/>
      <c r="C8" s="84"/>
      <c r="D8" s="69" t="s">
        <v>1145</v>
      </c>
      <c r="E8" s="65" t="s">
        <v>1146</v>
      </c>
      <c r="F8" s="65"/>
      <c r="G8" s="70">
        <f>132.24+126.34+205.01+336.4+5.53+320.68+628.19</f>
        <v>1754.39</v>
      </c>
      <c r="H8" s="65" t="s">
        <v>1140</v>
      </c>
      <c r="I8" s="65"/>
      <c r="J8" s="80">
        <f>G8*$J$4/$G$7</f>
        <v>0.31353139442202599</v>
      </c>
      <c r="K8" s="75"/>
      <c r="L8" s="106">
        <f>132.24+126.34+205.01+336.4+5.53+320.68+628.19+827.52</f>
        <v>2581.91</v>
      </c>
      <c r="M8" s="65" t="s">
        <v>1140</v>
      </c>
      <c r="N8" s="80">
        <f>L8*$N$4/$L$7</f>
        <v>0.40197256776322954</v>
      </c>
      <c r="O8" s="113"/>
    </row>
    <row r="9" spans="2:21">
      <c r="B9" s="75"/>
      <c r="C9" s="84"/>
      <c r="D9" s="69" t="s">
        <v>1147</v>
      </c>
      <c r="E9" s="65" t="s">
        <v>1148</v>
      </c>
      <c r="F9" s="65"/>
      <c r="G9" s="70">
        <v>3841.19</v>
      </c>
      <c r="H9" s="65" t="s">
        <v>1140</v>
      </c>
      <c r="I9" s="65"/>
      <c r="J9" s="80">
        <f>G9*$J$4/$G$7</f>
        <v>0.68646860557797407</v>
      </c>
      <c r="K9" s="75"/>
      <c r="L9" s="106">
        <v>3841.19</v>
      </c>
      <c r="M9" s="65" t="s">
        <v>1140</v>
      </c>
      <c r="N9" s="80">
        <f>L9*$N$4/$L$7</f>
        <v>0.59802743223677035</v>
      </c>
      <c r="O9" s="113"/>
      <c r="Q9" s="61"/>
    </row>
    <row r="10" spans="2:21">
      <c r="B10" s="75"/>
      <c r="C10" s="83" t="s">
        <v>1149</v>
      </c>
      <c r="D10" s="66" t="s">
        <v>1150</v>
      </c>
      <c r="E10" s="66"/>
      <c r="F10" s="66"/>
      <c r="G10" s="67">
        <f>G11+G16</f>
        <v>46141.779999999992</v>
      </c>
      <c r="H10" s="66" t="s">
        <v>1140</v>
      </c>
      <c r="I10" s="68"/>
      <c r="J10" s="79">
        <f>G10*$J$4/$G$4</f>
        <v>0.89184643360233296</v>
      </c>
      <c r="K10" s="75"/>
      <c r="L10" s="105">
        <f>SUM(L11+L16)</f>
        <v>45314.259999999995</v>
      </c>
      <c r="M10" s="66" t="s">
        <v>1140</v>
      </c>
      <c r="N10" s="79">
        <f>L10*$N$4/$L$4</f>
        <v>0.87585180225662851</v>
      </c>
      <c r="O10" s="113"/>
    </row>
    <row r="11" spans="2:21">
      <c r="B11" s="75"/>
      <c r="C11" s="84"/>
      <c r="D11" s="69" t="s">
        <v>1151</v>
      </c>
      <c r="E11" s="65" t="s">
        <v>1146</v>
      </c>
      <c r="F11" s="65"/>
      <c r="G11" s="70">
        <f>SUM(G12:G15)</f>
        <v>14364.85</v>
      </c>
      <c r="H11" s="65" t="s">
        <v>1140</v>
      </c>
      <c r="I11" s="65"/>
      <c r="J11" s="80">
        <f>G11*$J$4/$G$10</f>
        <v>0.31131980604129278</v>
      </c>
      <c r="K11" s="75"/>
      <c r="L11" s="106">
        <f>SUM(L12:L15)</f>
        <v>11963.859999999997</v>
      </c>
      <c r="M11" s="65" t="s">
        <v>1140</v>
      </c>
      <c r="N11" s="80">
        <f>L11*$N$4/$L$10</f>
        <v>0.26401975890150248</v>
      </c>
      <c r="O11" s="113"/>
    </row>
    <row r="12" spans="2:21">
      <c r="B12" s="75"/>
      <c r="C12" s="84"/>
      <c r="D12" s="75"/>
      <c r="E12" s="71" t="s">
        <v>1152</v>
      </c>
      <c r="F12" s="64" t="s">
        <v>1153</v>
      </c>
      <c r="G12" s="72">
        <v>11973.16</v>
      </c>
      <c r="H12" s="64" t="s">
        <v>1140</v>
      </c>
      <c r="I12" s="64"/>
      <c r="J12" s="81">
        <f>G12*$J$4/$G$11</f>
        <v>0.83350400456670271</v>
      </c>
      <c r="K12" s="75"/>
      <c r="L12" s="107">
        <f>335.38+170.92+(45.35*11)+358.27+406.16+220.97+445.43+(7.06*7)+639.06+95.3+30.19+180.9+103.92+21.23+112.1+11.5+21.23+150.92+8.15+2890.8+1290.78+226.27+657.55+506.55+295.05+388.96</f>
        <v>10115.859999999997</v>
      </c>
      <c r="M12" s="64" t="s">
        <v>1140</v>
      </c>
      <c r="N12" s="81">
        <f>L12*$N$4/$L$11</f>
        <v>0.84553480231296585</v>
      </c>
      <c r="O12" s="113"/>
      <c r="R12" s="721" t="str">
        <f>'RECEITAS '!C42</f>
        <v>Item</v>
      </c>
      <c r="S12" s="721" t="str">
        <f>'RECEITAS '!D42</f>
        <v>Quantidade</v>
      </c>
      <c r="T12" s="721" t="str">
        <f>'RECEITAS '!E42</f>
        <v>Tamanho (m²)</v>
      </c>
      <c r="U12" s="721" t="str">
        <f>'RECEITAS '!F42</f>
        <v>ABL</v>
      </c>
    </row>
    <row r="13" spans="2:21">
      <c r="B13" s="75"/>
      <c r="C13" s="84"/>
      <c r="D13" s="75"/>
      <c r="E13" s="71" t="s">
        <v>1154</v>
      </c>
      <c r="F13" s="64" t="s">
        <v>1155</v>
      </c>
      <c r="G13" s="72">
        <f>924*2</f>
        <v>1848</v>
      </c>
      <c r="H13" s="64" t="s">
        <v>1140</v>
      </c>
      <c r="I13" s="64"/>
      <c r="J13" s="81">
        <f>G13*$J$4/$G$11</f>
        <v>0.12864735796057739</v>
      </c>
      <c r="K13" s="75"/>
      <c r="L13" s="107">
        <f>924*2</f>
        <v>1848</v>
      </c>
      <c r="M13" s="64" t="s">
        <v>1140</v>
      </c>
      <c r="N13" s="81">
        <f>L13*$N$4/$L$11</f>
        <v>0.15446519768703415</v>
      </c>
      <c r="O13" s="113"/>
      <c r="R13" s="532" t="str">
        <f>'RECEITAS '!C43</f>
        <v>Lojas 1</v>
      </c>
      <c r="S13" s="192">
        <f>'RECEITAS '!D43</f>
        <v>8</v>
      </c>
      <c r="T13" s="527">
        <f>'RECEITAS '!E43</f>
        <v>24</v>
      </c>
      <c r="U13" s="519">
        <f>'RECEITAS '!F43</f>
        <v>130.35519752675521</v>
      </c>
    </row>
    <row r="14" spans="2:21">
      <c r="B14" s="75"/>
      <c r="C14" s="84"/>
      <c r="D14" s="75"/>
      <c r="E14" s="71" t="s">
        <v>1156</v>
      </c>
      <c r="F14" s="64" t="s">
        <v>1157</v>
      </c>
      <c r="G14" s="72">
        <v>282.51</v>
      </c>
      <c r="H14" s="64" t="s">
        <v>1140</v>
      </c>
      <c r="I14" s="64"/>
      <c r="J14" s="81">
        <f>G14*$J$4/$G$11</f>
        <v>1.9666756005109694E-2</v>
      </c>
      <c r="K14" s="75"/>
      <c r="L14" s="107"/>
      <c r="M14" s="64"/>
      <c r="N14" s="81"/>
      <c r="O14" s="113"/>
      <c r="R14" s="532" t="str">
        <f>'RECEITAS '!C44</f>
        <v>Lojas 2</v>
      </c>
      <c r="S14" s="192">
        <f>'RECEITAS '!D44</f>
        <v>2</v>
      </c>
      <c r="T14" s="527">
        <f>'RECEITAS '!E44</f>
        <v>33</v>
      </c>
      <c r="U14" s="519">
        <f>'RECEITAS '!F44</f>
        <v>130.35519752675521</v>
      </c>
    </row>
    <row r="15" spans="2:21">
      <c r="B15" s="75"/>
      <c r="C15" s="84"/>
      <c r="D15" s="75"/>
      <c r="E15" s="74" t="s">
        <v>1158</v>
      </c>
      <c r="F15" s="75" t="s">
        <v>1159</v>
      </c>
      <c r="G15" s="76">
        <v>261.18</v>
      </c>
      <c r="H15" s="75" t="s">
        <v>1140</v>
      </c>
      <c r="I15" s="75"/>
      <c r="J15" s="82">
        <f>G15*$J$4/$G$11</f>
        <v>1.8181881467610173E-2</v>
      </c>
      <c r="K15" s="75"/>
      <c r="L15" s="107"/>
      <c r="M15" s="75"/>
      <c r="N15" s="82"/>
      <c r="O15" s="113"/>
      <c r="R15" s="532" t="str">
        <f>'RECEITAS '!C45</f>
        <v>Restaurante (+1 restobar)</v>
      </c>
      <c r="S15" s="192">
        <f>'RECEITAS '!D45</f>
        <v>1</v>
      </c>
      <c r="T15" s="527">
        <f>'RECEITAS '!E45</f>
        <v>125</v>
      </c>
      <c r="U15" s="519">
        <f>'RECEITAS '!F45</f>
        <v>32.5</v>
      </c>
    </row>
    <row r="16" spans="2:21">
      <c r="B16" s="75"/>
      <c r="C16" s="84"/>
      <c r="D16" s="69" t="s">
        <v>1160</v>
      </c>
      <c r="E16" s="65" t="s">
        <v>1148</v>
      </c>
      <c r="F16" s="65"/>
      <c r="G16" s="70">
        <f>SUM(G17:G40)</f>
        <v>31776.929999999993</v>
      </c>
      <c r="H16" s="65" t="s">
        <v>1140</v>
      </c>
      <c r="I16" s="65"/>
      <c r="J16" s="80">
        <f>G16*$J$4/$G$10</f>
        <v>0.68868019395870728</v>
      </c>
      <c r="K16" s="75"/>
      <c r="L16" s="106">
        <f>SUM(L17:L40)</f>
        <v>33350.399999999994</v>
      </c>
      <c r="M16" s="65" t="s">
        <v>1140</v>
      </c>
      <c r="N16" s="80">
        <f>L16*$N$4/$L$10</f>
        <v>0.73598024109849747</v>
      </c>
      <c r="O16" s="113"/>
      <c r="P16" s="61"/>
      <c r="R16" s="532" t="str">
        <f>'RECEITAS '!C46</f>
        <v>Restaurante novo</v>
      </c>
      <c r="S16" s="192">
        <f>'RECEITAS '!D46</f>
        <v>1</v>
      </c>
      <c r="T16" s="527">
        <f>'RECEITAS '!E46</f>
        <v>150</v>
      </c>
      <c r="U16" s="519">
        <f>'RECEITAS '!F46</f>
        <v>32.5</v>
      </c>
    </row>
    <row r="17" spans="2:21">
      <c r="B17" s="75"/>
      <c r="C17" s="84"/>
      <c r="D17" s="75"/>
      <c r="E17" s="71" t="s">
        <v>1161</v>
      </c>
      <c r="F17" s="64" t="s">
        <v>1162</v>
      </c>
      <c r="G17" s="72">
        <f>24*2</f>
        <v>48</v>
      </c>
      <c r="H17" s="64" t="s">
        <v>1140</v>
      </c>
      <c r="I17" s="64"/>
      <c r="J17" s="81">
        <f>G17*$J$4/$G$16</f>
        <v>1.5105298088896571E-3</v>
      </c>
      <c r="K17" s="75"/>
      <c r="L17" s="107">
        <v>2.25</v>
      </c>
      <c r="M17" s="64" t="s">
        <v>1140</v>
      </c>
      <c r="N17" s="81">
        <f>L17*$N$4/$L$16</f>
        <v>6.7465457685664953E-5</v>
      </c>
      <c r="O17" s="113"/>
      <c r="R17" s="532" t="str">
        <f>'RECEITAS '!C47</f>
        <v>Brinquedoteca</v>
      </c>
      <c r="S17" s="192">
        <f>'RECEITAS '!D47</f>
        <v>1</v>
      </c>
      <c r="T17" s="527">
        <f>'RECEITAS '!E47</f>
        <v>486</v>
      </c>
      <c r="U17" s="519">
        <f>'RECEITAS '!F47</f>
        <v>28.56</v>
      </c>
    </row>
    <row r="18" spans="2:21">
      <c r="B18" s="75"/>
      <c r="C18" s="84"/>
      <c r="D18" s="75"/>
      <c r="E18" s="71" t="s">
        <v>1163</v>
      </c>
      <c r="F18" s="75" t="s">
        <v>1164</v>
      </c>
      <c r="G18" s="76">
        <v>3954.65</v>
      </c>
      <c r="H18" s="75" t="s">
        <v>1140</v>
      </c>
      <c r="I18" s="75"/>
      <c r="J18" s="82">
        <f>G18*$J$4/$G$16</f>
        <v>0.12445034809844756</v>
      </c>
      <c r="K18" s="75"/>
      <c r="L18" s="107">
        <v>2704.96</v>
      </c>
      <c r="M18" s="75" t="s">
        <v>1140</v>
      </c>
      <c r="N18" s="81">
        <f>L18*$N$4/$L$16</f>
        <v>8.110727307618501E-2</v>
      </c>
      <c r="O18" s="113"/>
      <c r="P18" s="61"/>
      <c r="R18" s="532" t="str">
        <f>'RECEITAS '!C48</f>
        <v>Espaço PET</v>
      </c>
      <c r="S18" s="192">
        <f>'RECEITAS '!D48</f>
        <v>1</v>
      </c>
      <c r="T18" s="527">
        <f>'RECEITAS '!E48</f>
        <v>315</v>
      </c>
      <c r="U18" s="519">
        <f>'RECEITAS '!F48</f>
        <v>28.56</v>
      </c>
    </row>
    <row r="19" spans="2:21">
      <c r="B19" s="75"/>
      <c r="C19" s="84"/>
      <c r="D19" s="75"/>
      <c r="E19" s="71" t="s">
        <v>1165</v>
      </c>
      <c r="F19" s="64" t="s">
        <v>1166</v>
      </c>
      <c r="G19" s="72">
        <v>176.05</v>
      </c>
      <c r="H19" s="64" t="s">
        <v>1140</v>
      </c>
      <c r="I19" s="64"/>
      <c r="J19" s="81">
        <f>G19*$J$4/$G$16</f>
        <v>5.5401827678130027E-3</v>
      </c>
      <c r="K19" s="75"/>
      <c r="L19" s="108">
        <v>176.05</v>
      </c>
      <c r="M19" s="64" t="s">
        <v>1140</v>
      </c>
      <c r="N19" s="81">
        <f>L19*$N$4/$L$16</f>
        <v>5.2787972558050291E-3</v>
      </c>
      <c r="O19" s="113"/>
      <c r="R19" s="532" t="str">
        <f>'RECEITAS '!C49</f>
        <v>Quiosques</v>
      </c>
      <c r="S19" s="192">
        <f>'RECEITAS '!D49</f>
        <v>6</v>
      </c>
      <c r="T19" s="527">
        <f>'RECEITAS '!E49</f>
        <v>50</v>
      </c>
      <c r="U19" s="519">
        <f>'RECEITAS '!F49</f>
        <v>130.35519752675521</v>
      </c>
    </row>
    <row r="20" spans="2:21">
      <c r="B20" s="75"/>
      <c r="C20" s="84"/>
      <c r="D20" s="75"/>
      <c r="E20" s="71" t="s">
        <v>1167</v>
      </c>
      <c r="F20" s="64" t="s">
        <v>1168</v>
      </c>
      <c r="G20" s="72">
        <v>4476.29</v>
      </c>
      <c r="H20" s="64" t="s">
        <v>1140</v>
      </c>
      <c r="I20" s="64"/>
      <c r="J20" s="81">
        <f>G20*$J$4/$G$16</f>
        <v>0.14086603079655591</v>
      </c>
      <c r="K20" s="75"/>
      <c r="L20" s="107">
        <v>5172.1499999999996</v>
      </c>
      <c r="M20" s="64" t="s">
        <v>1140</v>
      </c>
      <c r="N20" s="81">
        <f>L20*$N$4/$L$16</f>
        <v>0.15508509643062754</v>
      </c>
      <c r="O20" s="113" t="s">
        <v>1169</v>
      </c>
      <c r="R20" s="533" t="str">
        <f>'RECEITAS '!C50</f>
        <v>Academia</v>
      </c>
      <c r="S20" s="190">
        <f>'RECEITAS '!D50</f>
        <v>1</v>
      </c>
      <c r="T20" s="722">
        <f>'RECEITAS '!E50</f>
        <v>1000</v>
      </c>
      <c r="U20" s="723">
        <f>'RECEITAS '!F50</f>
        <v>28.56</v>
      </c>
    </row>
    <row r="21" spans="2:21">
      <c r="B21" s="75"/>
      <c r="C21" s="84"/>
      <c r="D21" s="75"/>
      <c r="E21" s="71"/>
      <c r="F21" s="103" t="s">
        <v>1170</v>
      </c>
      <c r="G21" s="76"/>
      <c r="H21" s="75"/>
      <c r="I21" s="75"/>
      <c r="J21" s="82"/>
      <c r="K21" s="75"/>
      <c r="L21" s="843" t="s">
        <v>1171</v>
      </c>
      <c r="M21" s="844"/>
      <c r="N21" s="845"/>
      <c r="O21" s="116"/>
      <c r="S21" s="192">
        <f>SUM(S13:S20)</f>
        <v>21</v>
      </c>
      <c r="T21" s="192">
        <f>SUM(T13:T20)</f>
        <v>2183</v>
      </c>
      <c r="U21" s="192">
        <f>SUM(U13:U20)</f>
        <v>541.74559258026557</v>
      </c>
    </row>
    <row r="22" spans="2:21">
      <c r="B22" s="75"/>
      <c r="C22" s="84"/>
      <c r="D22" s="75"/>
      <c r="E22" s="71" t="s">
        <v>1172</v>
      </c>
      <c r="F22" s="64" t="s">
        <v>1173</v>
      </c>
      <c r="G22" s="72">
        <v>3958.7</v>
      </c>
      <c r="H22" s="64" t="s">
        <v>1140</v>
      </c>
      <c r="I22" s="64"/>
      <c r="J22" s="81">
        <f>G22*$J$4/$G$16</f>
        <v>0.12457779905107261</v>
      </c>
      <c r="K22" s="75"/>
      <c r="L22" s="107">
        <v>4196</v>
      </c>
      <c r="M22" s="64" t="s">
        <v>1140</v>
      </c>
      <c r="N22" s="81">
        <f>L22*$N$4/$L$16</f>
        <v>0.12581558242180005</v>
      </c>
      <c r="O22" s="113" t="s">
        <v>1174</v>
      </c>
    </row>
    <row r="23" spans="2:21">
      <c r="B23" s="75"/>
      <c r="C23" s="84"/>
      <c r="D23" s="75"/>
      <c r="E23" s="71"/>
      <c r="F23" s="112" t="s">
        <v>1175</v>
      </c>
      <c r="G23" s="72"/>
      <c r="H23" s="64"/>
      <c r="I23" s="64"/>
      <c r="J23" s="81"/>
      <c r="K23" s="75"/>
      <c r="L23" s="843" t="s">
        <v>1176</v>
      </c>
      <c r="M23" s="844"/>
      <c r="N23" s="845"/>
      <c r="O23" s="116"/>
    </row>
    <row r="24" spans="2:21">
      <c r="B24" s="75"/>
      <c r="C24" s="84"/>
      <c r="D24" s="75"/>
      <c r="E24" s="71" t="s">
        <v>1177</v>
      </c>
      <c r="F24" s="75" t="s">
        <v>1178</v>
      </c>
      <c r="G24" s="76">
        <v>97.84</v>
      </c>
      <c r="H24" s="75" t="s">
        <v>1140</v>
      </c>
      <c r="I24" s="75"/>
      <c r="J24" s="82">
        <f t="shared" ref="J24:J40" si="0">G24*$J$4/$G$16</f>
        <v>3.0789632604534176E-3</v>
      </c>
      <c r="K24" s="75"/>
      <c r="L24" s="108">
        <v>97.84</v>
      </c>
      <c r="M24" s="75" t="s">
        <v>1140</v>
      </c>
      <c r="N24" s="102">
        <f>L24*$N$4/$L$16</f>
        <v>2.9336979466513149E-3</v>
      </c>
      <c r="O24" s="113"/>
    </row>
    <row r="25" spans="2:21">
      <c r="B25" s="75"/>
      <c r="C25" s="84"/>
      <c r="D25" s="75"/>
      <c r="E25" s="71" t="s">
        <v>1179</v>
      </c>
      <c r="F25" s="64" t="s">
        <v>1180</v>
      </c>
      <c r="G25" s="72">
        <v>226.47</v>
      </c>
      <c r="H25" s="64" t="s">
        <v>1140</v>
      </c>
      <c r="I25" s="64"/>
      <c r="J25" s="81">
        <f t="shared" si="0"/>
        <v>7.1268684545675136E-3</v>
      </c>
      <c r="K25" s="75"/>
      <c r="L25" s="108">
        <v>226.47</v>
      </c>
      <c r="M25" s="64" t="s">
        <v>1140</v>
      </c>
      <c r="N25" s="81">
        <f>L25*$N$4/$L$16</f>
        <v>6.7906232009211295E-3</v>
      </c>
      <c r="O25" s="115"/>
      <c r="Q25" s="61"/>
      <c r="R25" s="111"/>
    </row>
    <row r="26" spans="2:21">
      <c r="B26" s="75"/>
      <c r="C26" s="84"/>
      <c r="D26" s="75"/>
      <c r="E26" s="71" t="s">
        <v>1181</v>
      </c>
      <c r="F26" s="75" t="s">
        <v>1182</v>
      </c>
      <c r="G26" s="76">
        <v>689.91</v>
      </c>
      <c r="H26" s="75" t="s">
        <v>1140</v>
      </c>
      <c r="I26" s="75"/>
      <c r="J26" s="82">
        <f t="shared" si="0"/>
        <v>2.171103375939715E-2</v>
      </c>
      <c r="K26" s="75"/>
      <c r="L26" s="107">
        <f>689.91*2</f>
        <v>1379.82</v>
      </c>
      <c r="M26" s="75" t="s">
        <v>1140</v>
      </c>
      <c r="N26" s="81">
        <f>L26*$N$4/$L$16</f>
        <v>4.1373416810592985E-2</v>
      </c>
      <c r="O26" s="113"/>
    </row>
    <row r="27" spans="2:21">
      <c r="B27" s="75"/>
      <c r="C27" s="84"/>
      <c r="D27" s="75"/>
      <c r="E27" s="71" t="s">
        <v>1183</v>
      </c>
      <c r="F27" s="64" t="s">
        <v>1184</v>
      </c>
      <c r="G27" s="72">
        <v>698</v>
      </c>
      <c r="H27" s="64" t="s">
        <v>1140</v>
      </c>
      <c r="I27" s="64"/>
      <c r="J27" s="81">
        <f t="shared" si="0"/>
        <v>2.1965620970937096E-2</v>
      </c>
      <c r="K27" s="75"/>
      <c r="L27" s="108">
        <v>698</v>
      </c>
      <c r="M27" s="64" t="s">
        <v>1140</v>
      </c>
      <c r="N27" s="81">
        <f>L27*$N$4/$L$16</f>
        <v>2.0929284206486282E-2</v>
      </c>
      <c r="O27" s="115"/>
      <c r="Q27" s="61"/>
    </row>
    <row r="28" spans="2:21">
      <c r="B28" s="75"/>
      <c r="C28" s="84"/>
      <c r="D28" s="75"/>
      <c r="E28" s="71" t="s">
        <v>1185</v>
      </c>
      <c r="F28" s="64" t="s">
        <v>1186</v>
      </c>
      <c r="G28" s="72">
        <v>124.64</v>
      </c>
      <c r="H28" s="64" t="s">
        <v>1140</v>
      </c>
      <c r="I28" s="64"/>
      <c r="J28" s="81">
        <f t="shared" si="0"/>
        <v>3.9223424037501432E-3</v>
      </c>
      <c r="K28" s="75"/>
      <c r="L28" s="107">
        <v>124.64</v>
      </c>
      <c r="M28" s="75" t="s">
        <v>1140</v>
      </c>
      <c r="N28" s="81">
        <f>L28*$N$4/$L$16</f>
        <v>3.7372865093072355E-3</v>
      </c>
      <c r="O28" s="113"/>
    </row>
    <row r="29" spans="2:21">
      <c r="B29" s="75"/>
      <c r="C29" s="84"/>
      <c r="D29" s="75"/>
      <c r="E29" s="71" t="s">
        <v>1187</v>
      </c>
      <c r="F29" s="64" t="s">
        <v>1188</v>
      </c>
      <c r="G29" s="72">
        <v>150</v>
      </c>
      <c r="H29" s="64" t="s">
        <v>1140</v>
      </c>
      <c r="I29" s="64"/>
      <c r="J29" s="81">
        <f t="shared" si="0"/>
        <v>4.7204056527801784E-3</v>
      </c>
      <c r="K29" s="75"/>
      <c r="L29" s="108"/>
      <c r="M29" s="64"/>
      <c r="N29" s="81"/>
      <c r="O29" s="113"/>
    </row>
    <row r="30" spans="2:21">
      <c r="B30" s="75"/>
      <c r="C30" s="84"/>
      <c r="D30" s="75"/>
      <c r="E30" s="71" t="s">
        <v>1189</v>
      </c>
      <c r="F30" s="75" t="s">
        <v>506</v>
      </c>
      <c r="G30" s="76">
        <v>486.36</v>
      </c>
      <c r="H30" s="75" t="s">
        <v>1140</v>
      </c>
      <c r="I30" s="75"/>
      <c r="J30" s="82">
        <f t="shared" si="0"/>
        <v>1.5305443288574451E-2</v>
      </c>
      <c r="K30" s="75"/>
      <c r="L30" s="108"/>
      <c r="M30" s="75"/>
      <c r="N30" s="81"/>
      <c r="O30" s="113"/>
      <c r="Q30" s="61"/>
    </row>
    <row r="31" spans="2:21">
      <c r="B31" s="75"/>
      <c r="C31" s="84"/>
      <c r="D31" s="75"/>
      <c r="E31" s="71" t="s">
        <v>1190</v>
      </c>
      <c r="F31" s="64" t="s">
        <v>1191</v>
      </c>
      <c r="G31" s="72">
        <f>56.5*2</f>
        <v>113</v>
      </c>
      <c r="H31" s="64" t="s">
        <v>1140</v>
      </c>
      <c r="I31" s="64"/>
      <c r="J31" s="81">
        <f t="shared" si="0"/>
        <v>3.5560389250944009E-3</v>
      </c>
      <c r="K31" s="75"/>
      <c r="L31" s="108"/>
      <c r="M31" s="64"/>
      <c r="N31" s="81"/>
      <c r="O31" s="113"/>
    </row>
    <row r="32" spans="2:21">
      <c r="B32" s="75"/>
      <c r="C32" s="84"/>
      <c r="D32" s="75"/>
      <c r="E32" s="71" t="s">
        <v>1192</v>
      </c>
      <c r="F32" s="75" t="s">
        <v>1193</v>
      </c>
      <c r="G32" s="76">
        <f>30.44*6</f>
        <v>182.64000000000001</v>
      </c>
      <c r="H32" s="75" t="s">
        <v>1140</v>
      </c>
      <c r="I32" s="75"/>
      <c r="J32" s="82">
        <f t="shared" si="0"/>
        <v>5.7475659228251458E-3</v>
      </c>
      <c r="K32" s="75"/>
      <c r="L32" s="108">
        <f>50.33*3</f>
        <v>150.99</v>
      </c>
      <c r="M32" s="75" t="s">
        <v>1140</v>
      </c>
      <c r="N32" s="81">
        <f>L32*$N$4/$L$16</f>
        <v>4.5273819804260229E-3</v>
      </c>
      <c r="O32" s="113"/>
    </row>
    <row r="33" spans="2:15">
      <c r="B33" s="75"/>
      <c r="C33" s="84"/>
      <c r="D33" s="75"/>
      <c r="E33" s="71" t="s">
        <v>1194</v>
      </c>
      <c r="F33" s="64" t="s">
        <v>1195</v>
      </c>
      <c r="G33" s="72">
        <v>315.20999999999998</v>
      </c>
      <c r="H33" s="64" t="s">
        <v>1140</v>
      </c>
      <c r="I33" s="64"/>
      <c r="J33" s="81">
        <f t="shared" si="0"/>
        <v>9.9194604387522669E-3</v>
      </c>
      <c r="K33" s="75"/>
      <c r="L33" s="108"/>
      <c r="M33" s="64"/>
      <c r="N33" s="81"/>
      <c r="O33" s="113"/>
    </row>
    <row r="34" spans="2:15">
      <c r="B34" s="75"/>
      <c r="C34" s="84"/>
      <c r="D34" s="75"/>
      <c r="E34" s="71" t="s">
        <v>1196</v>
      </c>
      <c r="F34" s="75" t="s">
        <v>1197</v>
      </c>
      <c r="G34" s="76">
        <v>1466.39</v>
      </c>
      <c r="H34" s="75" t="s">
        <v>1140</v>
      </c>
      <c r="I34" s="75"/>
      <c r="J34" s="82">
        <f t="shared" si="0"/>
        <v>4.614637096786884E-2</v>
      </c>
      <c r="K34" s="75"/>
      <c r="L34" s="107">
        <v>1466.39</v>
      </c>
      <c r="M34" s="75" t="s">
        <v>1140</v>
      </c>
      <c r="N34" s="81">
        <f>L34*$N$4/$L$16</f>
        <v>4.3969187775858773E-2</v>
      </c>
      <c r="O34" s="113"/>
    </row>
    <row r="35" spans="2:15">
      <c r="B35" s="75"/>
      <c r="C35" s="84"/>
      <c r="D35" s="75"/>
      <c r="E35" s="71" t="s">
        <v>1198</v>
      </c>
      <c r="F35" s="64" t="s">
        <v>1199</v>
      </c>
      <c r="G35" s="72">
        <v>445.55</v>
      </c>
      <c r="H35" s="64" t="s">
        <v>1140</v>
      </c>
      <c r="I35" s="64"/>
      <c r="J35" s="81">
        <f t="shared" si="0"/>
        <v>1.4021178257308057E-2</v>
      </c>
      <c r="K35" s="75"/>
      <c r="L35" s="107">
        <v>445.55</v>
      </c>
      <c r="M35" s="64" t="s">
        <v>1140</v>
      </c>
      <c r="N35" s="81">
        <f>L35*$N$4/$L$16</f>
        <v>1.3359659854154675E-2</v>
      </c>
      <c r="O35" s="113"/>
    </row>
    <row r="36" spans="2:15">
      <c r="B36" s="75"/>
      <c r="C36" s="84"/>
      <c r="D36" s="75"/>
      <c r="E36" s="71" t="s">
        <v>1200</v>
      </c>
      <c r="F36" s="75" t="s">
        <v>1201</v>
      </c>
      <c r="G36" s="76">
        <v>307.87</v>
      </c>
      <c r="H36" s="75" t="s">
        <v>1140</v>
      </c>
      <c r="I36" s="75"/>
      <c r="J36" s="82">
        <f t="shared" si="0"/>
        <v>9.6884752554762237E-3</v>
      </c>
      <c r="K36" s="75"/>
      <c r="L36" s="108"/>
      <c r="M36" s="75"/>
      <c r="N36" s="81"/>
      <c r="O36" s="113"/>
    </row>
    <row r="37" spans="2:15">
      <c r="B37" s="75"/>
      <c r="C37" s="84"/>
      <c r="D37" s="75"/>
      <c r="E37" s="71" t="s">
        <v>1202</v>
      </c>
      <c r="F37" s="64" t="s">
        <v>509</v>
      </c>
      <c r="G37" s="72">
        <v>1000</v>
      </c>
      <c r="H37" s="64" t="s">
        <v>1140</v>
      </c>
      <c r="I37" s="64"/>
      <c r="J37" s="81">
        <f t="shared" si="0"/>
        <v>3.1469371018534524E-2</v>
      </c>
      <c r="K37" s="75"/>
      <c r="L37" s="108"/>
      <c r="M37" s="64"/>
      <c r="N37" s="81"/>
      <c r="O37" s="113"/>
    </row>
    <row r="38" spans="2:15">
      <c r="B38" s="75"/>
      <c r="C38" s="84"/>
      <c r="D38" s="75"/>
      <c r="E38" s="71" t="s">
        <v>1203</v>
      </c>
      <c r="F38" s="64" t="s">
        <v>1204</v>
      </c>
      <c r="G38" s="72">
        <v>1008</v>
      </c>
      <c r="H38" s="64" t="s">
        <v>1140</v>
      </c>
      <c r="I38" s="64"/>
      <c r="J38" s="81">
        <f t="shared" si="0"/>
        <v>3.1721125986682801E-2</v>
      </c>
      <c r="K38" s="75"/>
      <c r="L38" s="108">
        <v>1056</v>
      </c>
      <c r="M38" s="75" t="s">
        <v>1140</v>
      </c>
      <c r="N38" s="81">
        <f>L38*$N$4/$L$16</f>
        <v>3.1663788140472084E-2</v>
      </c>
      <c r="O38" s="113"/>
    </row>
    <row r="39" spans="2:15">
      <c r="B39" s="75"/>
      <c r="C39" s="84"/>
      <c r="D39" s="75"/>
      <c r="E39" s="71" t="s">
        <v>1205</v>
      </c>
      <c r="F39" s="64" t="s">
        <v>1206</v>
      </c>
      <c r="G39" s="72">
        <v>297.67</v>
      </c>
      <c r="H39" s="64" t="s">
        <v>1140</v>
      </c>
      <c r="I39" s="75"/>
      <c r="J39" s="81">
        <f t="shared" si="0"/>
        <v>9.3674876710871709E-3</v>
      </c>
      <c r="K39" s="75"/>
      <c r="L39" s="107"/>
      <c r="M39" s="64"/>
      <c r="N39" s="81"/>
      <c r="O39" s="113"/>
    </row>
    <row r="40" spans="2:15" ht="15" thickBot="1">
      <c r="B40" s="75"/>
      <c r="C40" s="84"/>
      <c r="D40" s="75"/>
      <c r="E40" s="71" t="s">
        <v>1207</v>
      </c>
      <c r="F40" s="64" t="s">
        <v>1208</v>
      </c>
      <c r="G40" s="72">
        <v>11553.69</v>
      </c>
      <c r="H40" s="64" t="s">
        <v>1140</v>
      </c>
      <c r="I40" s="64"/>
      <c r="J40" s="81">
        <f t="shared" si="0"/>
        <v>0.36358735724313213</v>
      </c>
      <c r="K40" s="75"/>
      <c r="L40" s="109">
        <v>15453.29</v>
      </c>
      <c r="M40" s="90" t="s">
        <v>1140</v>
      </c>
      <c r="N40" s="110">
        <f>L40*$N$4/$L$16</f>
        <v>0.46336145893302638</v>
      </c>
      <c r="O40" s="113"/>
    </row>
    <row r="41" spans="2:15">
      <c r="B41" s="75"/>
      <c r="C41" s="84"/>
      <c r="D41" s="75"/>
      <c r="E41" s="64"/>
      <c r="F41" s="287" t="s">
        <v>1209</v>
      </c>
      <c r="G41" s="288">
        <v>2577.73</v>
      </c>
      <c r="H41" s="287" t="s">
        <v>1140</v>
      </c>
      <c r="I41" s="64"/>
      <c r="J41" s="81"/>
      <c r="K41" s="75"/>
      <c r="M41" s="75"/>
      <c r="N41" s="286"/>
      <c r="O41" s="113"/>
    </row>
    <row r="42" spans="2:15">
      <c r="B42" s="75"/>
      <c r="C42" s="84"/>
      <c r="D42" s="96" t="s">
        <v>1210</v>
      </c>
      <c r="E42" s="97" t="s">
        <v>1211</v>
      </c>
      <c r="F42" s="97"/>
      <c r="G42" s="98">
        <f>SUM(G43:G44)</f>
        <v>393.52</v>
      </c>
      <c r="H42" s="97" t="s">
        <v>1140</v>
      </c>
      <c r="I42" s="65"/>
      <c r="J42" s="80"/>
      <c r="K42" s="75"/>
      <c r="L42" s="76"/>
      <c r="M42" s="75"/>
      <c r="N42" s="75"/>
      <c r="O42" s="113"/>
    </row>
    <row r="43" spans="2:15">
      <c r="B43" s="75"/>
      <c r="C43" s="84"/>
      <c r="D43" s="75"/>
      <c r="E43" s="73" t="s">
        <v>1212</v>
      </c>
      <c r="F43" s="77" t="s">
        <v>1213</v>
      </c>
      <c r="G43" s="78">
        <v>264.86</v>
      </c>
      <c r="H43" s="77" t="s">
        <v>1140</v>
      </c>
      <c r="I43" s="75"/>
      <c r="J43" s="82"/>
      <c r="K43" s="75"/>
      <c r="L43" s="76"/>
      <c r="M43" s="75"/>
      <c r="N43" s="75"/>
      <c r="O43" s="113"/>
    </row>
    <row r="44" spans="2:15" ht="15" thickBot="1">
      <c r="B44" s="75"/>
      <c r="C44" s="85"/>
      <c r="D44" s="86"/>
      <c r="E44" s="87" t="s">
        <v>1214</v>
      </c>
      <c r="F44" s="88" t="s">
        <v>1215</v>
      </c>
      <c r="G44" s="89">
        <v>128.66</v>
      </c>
      <c r="H44" s="88" t="s">
        <v>1140</v>
      </c>
      <c r="I44" s="90"/>
      <c r="J44" s="91"/>
      <c r="K44" s="75"/>
      <c r="L44" s="76"/>
      <c r="M44" s="75"/>
      <c r="N44" s="75"/>
      <c r="O44" s="113"/>
    </row>
    <row r="45" spans="2:15">
      <c r="B45" s="75"/>
      <c r="C45" s="100"/>
      <c r="D45" s="75"/>
      <c r="E45" s="75"/>
      <c r="F45" s="75"/>
      <c r="G45" s="76"/>
      <c r="H45" s="75"/>
      <c r="I45" s="75"/>
      <c r="J45" s="101"/>
      <c r="K45" s="75"/>
      <c r="L45" s="76"/>
      <c r="M45" s="75"/>
      <c r="N45" s="75"/>
      <c r="O45" s="113"/>
    </row>
  </sheetData>
  <mergeCells count="4">
    <mergeCell ref="C3:J3"/>
    <mergeCell ref="L3:N3"/>
    <mergeCell ref="L21:N21"/>
    <mergeCell ref="L23:N23"/>
  </mergeCells>
  <pageMargins left="0.25" right="0.25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9">
    <tabColor rgb="FF00B050"/>
  </sheetPr>
  <dimension ref="A1:CD167"/>
  <sheetViews>
    <sheetView showGridLines="0" tabSelected="1" topLeftCell="B156" zoomScaleNormal="100" workbookViewId="0">
      <selection activeCell="H178" sqref="H178"/>
    </sheetView>
  </sheetViews>
  <sheetFormatPr defaultRowHeight="14.45"/>
  <cols>
    <col min="1" max="1" width="12.42578125" style="2" customWidth="1"/>
    <col min="2" max="2" width="26.140625" bestFit="1" customWidth="1"/>
    <col min="3" max="3" width="16.5703125" bestFit="1" customWidth="1"/>
    <col min="4" max="4" width="3.42578125" customWidth="1"/>
    <col min="5" max="5" width="2.5703125" customWidth="1"/>
    <col min="6" max="6" width="62.85546875" bestFit="1" customWidth="1"/>
    <col min="7" max="7" width="25.42578125" bestFit="1" customWidth="1"/>
    <col min="8" max="8" width="23.42578125" bestFit="1" customWidth="1"/>
    <col min="9" max="10" width="15.85546875" bestFit="1" customWidth="1"/>
    <col min="11" max="11" width="14.28515625" bestFit="1" customWidth="1"/>
    <col min="12" max="12" width="15.5703125" bestFit="1" customWidth="1"/>
    <col min="13" max="13" width="15.7109375" bestFit="1" customWidth="1"/>
    <col min="14" max="14" width="29" bestFit="1" customWidth="1"/>
    <col min="15" max="20" width="14.28515625" bestFit="1" customWidth="1"/>
    <col min="21" max="43" width="13.28515625" bestFit="1" customWidth="1"/>
    <col min="46" max="47" width="10.5703125" bestFit="1" customWidth="1"/>
    <col min="48" max="79" width="8.28515625" bestFit="1" customWidth="1"/>
    <col min="80" max="81" width="7.28515625" bestFit="1" customWidth="1"/>
    <col min="82" max="82" width="3.42578125" bestFit="1" customWidth="1"/>
  </cols>
  <sheetData>
    <row r="1" spans="2:43" s="2" customFormat="1" ht="21">
      <c r="B1" s="348" t="s">
        <v>1216</v>
      </c>
    </row>
    <row r="2" spans="2:43" s="2" customFormat="1" ht="13.9"/>
    <row r="3" spans="2:43">
      <c r="K3" s="1"/>
    </row>
    <row r="4" spans="2:43">
      <c r="B4" s="793" t="s">
        <v>1217</v>
      </c>
      <c r="C4" s="793"/>
      <c r="F4" s="561" t="s">
        <v>1218</v>
      </c>
      <c r="G4" s="772"/>
      <c r="H4" s="772"/>
      <c r="I4" s="772"/>
      <c r="J4" s="772"/>
    </row>
    <row r="5" spans="2:43">
      <c r="B5" s="308" t="s">
        <v>1219</v>
      </c>
      <c r="C5" s="308">
        <v>35</v>
      </c>
      <c r="F5" s="363" t="s">
        <v>1220</v>
      </c>
      <c r="G5" s="364" t="s">
        <v>1221</v>
      </c>
      <c r="H5" s="364" t="s">
        <v>1082</v>
      </c>
      <c r="I5" s="364" t="s">
        <v>1222</v>
      </c>
      <c r="J5" s="364" t="s">
        <v>1223</v>
      </c>
    </row>
    <row r="6" spans="2:43">
      <c r="B6" s="308" t="s">
        <v>19</v>
      </c>
      <c r="C6" s="309">
        <f>'AUX. CAPEX Resumo'!H58</f>
        <v>6223371.7599999998</v>
      </c>
      <c r="D6" t="s">
        <v>1224</v>
      </c>
      <c r="F6" s="365" t="s">
        <v>1225</v>
      </c>
      <c r="G6" s="622">
        <f>SUM(G7:G12)</f>
        <v>7730103.7522124508</v>
      </c>
      <c r="H6" s="366">
        <f t="shared" ref="H6:H12" si="0">G6/$G$6</f>
        <v>1</v>
      </c>
      <c r="I6" s="367" t="s">
        <v>1226</v>
      </c>
      <c r="J6" s="367" t="s">
        <v>780</v>
      </c>
    </row>
    <row r="7" spans="2:43">
      <c r="B7" s="308" t="s">
        <v>1227</v>
      </c>
      <c r="C7" s="309">
        <v>950000</v>
      </c>
      <c r="D7" t="s">
        <v>1224</v>
      </c>
      <c r="F7" s="368" t="s">
        <v>72</v>
      </c>
      <c r="G7" s="623">
        <f>'AUX. CAPEX Resumo'!G35:H35</f>
        <v>2130671.85</v>
      </c>
      <c r="H7" s="54">
        <f t="shared" si="0"/>
        <v>0.27563302101736675</v>
      </c>
      <c r="I7" s="311">
        <v>12.5</v>
      </c>
      <c r="J7" s="310">
        <f>100%/I7</f>
        <v>0.08</v>
      </c>
    </row>
    <row r="8" spans="2:43">
      <c r="B8" s="308" t="s">
        <v>1228</v>
      </c>
      <c r="C8" s="309">
        <f>'CAPEX - Aquisições'!C10</f>
        <v>384933.80229446391</v>
      </c>
      <c r="F8" s="368" t="s">
        <v>1229</v>
      </c>
      <c r="G8" s="623">
        <f>'AUX. CAPEX Resumo'!G53:H53</f>
        <v>4092699.91</v>
      </c>
      <c r="H8" s="54">
        <f t="shared" si="0"/>
        <v>0.52944954442928649</v>
      </c>
      <c r="I8" s="311">
        <v>12.5</v>
      </c>
      <c r="J8" s="560">
        <f>100%/I8</f>
        <v>0.08</v>
      </c>
    </row>
    <row r="9" spans="2:43">
      <c r="B9" s="308" t="s">
        <v>1230</v>
      </c>
      <c r="C9" s="309">
        <f>'CAPEX - Aquisições'!C14</f>
        <v>47075.946831383859</v>
      </c>
      <c r="F9" s="368" t="s">
        <v>1231</v>
      </c>
      <c r="G9" s="623">
        <f>'CAPEX - Aquisições'!C10</f>
        <v>384933.80229446391</v>
      </c>
      <c r="H9" s="54">
        <f t="shared" si="0"/>
        <v>4.9796718728942174E-2</v>
      </c>
      <c r="I9" s="311">
        <v>20</v>
      </c>
      <c r="J9" s="560">
        <f>100%/I9</f>
        <v>0.05</v>
      </c>
    </row>
    <row r="10" spans="2:43">
      <c r="B10" s="308" t="s">
        <v>1232</v>
      </c>
      <c r="C10" s="309">
        <f>IF('INPUTS&amp;OUTPUTS'!K21="Sim",SUM('CAPEX - Aquisições'!C17,'CAPEX - Aquisições'!C18),0)</f>
        <v>124722.24308660316</v>
      </c>
      <c r="D10" t="s">
        <v>1224</v>
      </c>
      <c r="F10" s="368" t="s">
        <v>1233</v>
      </c>
      <c r="G10" s="623">
        <f>'CAPEX - Aquisições'!C14</f>
        <v>47075.946831383859</v>
      </c>
      <c r="H10" s="54">
        <f t="shared" si="0"/>
        <v>6.0899501921834031E-3</v>
      </c>
      <c r="I10" s="311" t="s">
        <v>1234</v>
      </c>
      <c r="J10" s="311" t="s">
        <v>1234</v>
      </c>
    </row>
    <row r="11" spans="2:43">
      <c r="B11" s="772" t="s">
        <v>479</v>
      </c>
      <c r="C11" s="362">
        <f>SUM(C6:C10)</f>
        <v>7730103.7522124508</v>
      </c>
      <c r="F11" s="368" t="str">
        <f>B7</f>
        <v>Remuneração dos estudos</v>
      </c>
      <c r="G11" s="623">
        <f>C7</f>
        <v>950000</v>
      </c>
      <c r="H11" s="54">
        <f t="shared" si="0"/>
        <v>0.12289615126163064</v>
      </c>
      <c r="I11" s="559">
        <v>35</v>
      </c>
      <c r="J11" s="560">
        <f>100%/I11</f>
        <v>2.8571428571428571E-2</v>
      </c>
    </row>
    <row r="12" spans="2:43">
      <c r="F12" s="368" t="str">
        <f>B10</f>
        <v>Motor catamarã + Bebedouros</v>
      </c>
      <c r="G12" s="623">
        <f>C10</f>
        <v>124722.24308660316</v>
      </c>
      <c r="H12" s="54">
        <f t="shared" si="0"/>
        <v>1.6134614370590578E-2</v>
      </c>
      <c r="I12" s="311">
        <v>10</v>
      </c>
      <c r="J12" s="560">
        <f>100%/I12</f>
        <v>0.1</v>
      </c>
    </row>
    <row r="13" spans="2:43">
      <c r="B13" s="308" t="s">
        <v>1235</v>
      </c>
      <c r="C13" s="308" t="s">
        <v>1236</v>
      </c>
      <c r="F13" s="177" t="s">
        <v>1237</v>
      </c>
    </row>
    <row r="14" spans="2:43">
      <c r="B14" s="119">
        <f>(DFs!D29)</f>
        <v>-7730103.8133446369</v>
      </c>
      <c r="C14" s="192" t="s">
        <v>1238</v>
      </c>
    </row>
    <row r="15" spans="2:43">
      <c r="B15" s="119">
        <f>B14+C11</f>
        <v>-6.1132186092436314E-2</v>
      </c>
      <c r="C15" t="s">
        <v>1239</v>
      </c>
      <c r="F15" s="772" t="s">
        <v>1240</v>
      </c>
    </row>
    <row r="16" spans="2:43">
      <c r="B16" s="119">
        <f>G35-G36</f>
        <v>-6.1132186092436314E-2</v>
      </c>
      <c r="C16" t="s">
        <v>1241</v>
      </c>
      <c r="F16" s="307" t="s">
        <v>1220</v>
      </c>
      <c r="G16" s="49" t="s">
        <v>479</v>
      </c>
      <c r="H16" s="49">
        <v>2025</v>
      </c>
      <c r="I16" s="49">
        <v>2026</v>
      </c>
      <c r="J16" s="49">
        <v>2027</v>
      </c>
      <c r="K16" s="49">
        <v>2028</v>
      </c>
      <c r="L16" s="49">
        <v>2029</v>
      </c>
      <c r="M16" s="49">
        <v>2030</v>
      </c>
      <c r="N16" s="49">
        <v>2031</v>
      </c>
      <c r="O16" s="49">
        <v>2032</v>
      </c>
      <c r="P16" s="49">
        <v>2033</v>
      </c>
      <c r="Q16" s="49">
        <v>2034</v>
      </c>
      <c r="R16" s="49">
        <v>2035</v>
      </c>
      <c r="S16" s="49">
        <v>2036</v>
      </c>
      <c r="T16" s="49">
        <v>2037</v>
      </c>
      <c r="U16" s="49">
        <v>2038</v>
      </c>
      <c r="V16" s="49">
        <v>2039</v>
      </c>
      <c r="W16" s="49">
        <v>2040</v>
      </c>
      <c r="X16" s="49">
        <v>2041</v>
      </c>
      <c r="Y16" s="49">
        <v>2042</v>
      </c>
      <c r="Z16" s="49">
        <v>2043</v>
      </c>
      <c r="AA16" s="49">
        <v>2044</v>
      </c>
      <c r="AB16" s="49">
        <v>2045</v>
      </c>
      <c r="AC16" s="49">
        <v>2046</v>
      </c>
      <c r="AD16" s="49">
        <v>2047</v>
      </c>
      <c r="AE16" s="49">
        <v>2048</v>
      </c>
      <c r="AF16" s="49">
        <v>2049</v>
      </c>
      <c r="AG16" s="49">
        <v>2050</v>
      </c>
      <c r="AH16" s="49">
        <v>2051</v>
      </c>
      <c r="AI16" s="49">
        <v>2052</v>
      </c>
      <c r="AJ16" s="49">
        <v>2053</v>
      </c>
      <c r="AK16" s="49">
        <v>2054</v>
      </c>
      <c r="AL16" s="49">
        <v>2055</v>
      </c>
      <c r="AM16" s="49">
        <v>2056</v>
      </c>
      <c r="AN16" s="49">
        <v>2057</v>
      </c>
      <c r="AO16" s="49">
        <v>2058</v>
      </c>
      <c r="AP16" s="49">
        <v>2059</v>
      </c>
      <c r="AQ16" s="49">
        <v>2060</v>
      </c>
    </row>
    <row r="17" spans="2:43">
      <c r="C17" s="15" t="str">
        <f>IF(B15=B16,"ok", "erro")</f>
        <v>ok</v>
      </c>
      <c r="F17" s="306" t="s">
        <v>1227</v>
      </c>
      <c r="G17" s="14">
        <f>SUM(H17:AQ17)</f>
        <v>950000</v>
      </c>
      <c r="H17" s="14">
        <v>0</v>
      </c>
      <c r="I17" s="14">
        <v>950000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</row>
    <row r="18" spans="2:43">
      <c r="B18" s="308" t="s">
        <v>1242</v>
      </c>
      <c r="C18" s="308"/>
      <c r="F18" s="306" t="s">
        <v>72</v>
      </c>
      <c r="G18" s="14">
        <f>SUM(H18:AQ18)</f>
        <v>2130671.85</v>
      </c>
      <c r="H18" s="14">
        <v>0</v>
      </c>
      <c r="I18" s="14">
        <f>G7*I28</f>
        <v>1065335.925</v>
      </c>
      <c r="J18" s="14">
        <f>G7*J28</f>
        <v>1065335.925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</row>
    <row r="19" spans="2:43">
      <c r="B19" s="601">
        <f>G6-C11</f>
        <v>0</v>
      </c>
      <c r="C19" s="482" t="str">
        <f>IF(C11=G6,"OK", "ERRO")</f>
        <v>OK</v>
      </c>
      <c r="F19" s="306" t="s">
        <v>1229</v>
      </c>
      <c r="G19" s="14">
        <f t="shared" ref="G19:G20" si="1">SUM(H19:AQ19)</f>
        <v>4092699.91</v>
      </c>
      <c r="H19" s="14">
        <v>0</v>
      </c>
      <c r="I19" s="14">
        <f>G8*I28</f>
        <v>2046349.9550000001</v>
      </c>
      <c r="J19" s="14">
        <f>G8*J28</f>
        <v>2046349.9550000001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</row>
    <row r="20" spans="2:43">
      <c r="B20" s="308" t="s">
        <v>1243</v>
      </c>
      <c r="C20" s="308"/>
      <c r="F20" s="306" t="s">
        <v>1244</v>
      </c>
      <c r="G20" s="14">
        <f t="shared" si="1"/>
        <v>384933.80229446391</v>
      </c>
      <c r="H20" s="14">
        <f>'CAPEX - Aquisições'!D10</f>
        <v>0</v>
      </c>
      <c r="I20" s="14">
        <f>'CAPEX - Aquisições'!E10</f>
        <v>0</v>
      </c>
      <c r="J20" s="14">
        <f>'CAPEX - Aquisições'!F10</f>
        <v>384933.80229446391</v>
      </c>
      <c r="K20" s="14">
        <f>'CAPEX - Aquisições'!G10</f>
        <v>0</v>
      </c>
      <c r="L20" s="14">
        <f>'CAPEX - Aquisições'!H10</f>
        <v>0</v>
      </c>
      <c r="M20" s="14">
        <f>'CAPEX - Aquisições'!I10</f>
        <v>0</v>
      </c>
      <c r="N20" s="14">
        <f>'CAPEX - Aquisições'!J10</f>
        <v>0</v>
      </c>
      <c r="O20" s="14">
        <f>'CAPEX - Aquisições'!K10</f>
        <v>0</v>
      </c>
      <c r="P20" s="14">
        <f>'CAPEX - Aquisições'!L10</f>
        <v>0</v>
      </c>
      <c r="Q20" s="14">
        <f>'CAPEX - Aquisições'!M10</f>
        <v>0</v>
      </c>
      <c r="R20" s="14">
        <f>'CAPEX - Aquisições'!N10</f>
        <v>0</v>
      </c>
      <c r="S20" s="14">
        <f>'CAPEX - Aquisições'!O10</f>
        <v>0</v>
      </c>
      <c r="T20" s="14">
        <f>'CAPEX - Aquisições'!P10</f>
        <v>0</v>
      </c>
      <c r="U20" s="14">
        <f>'CAPEX - Aquisições'!Q10</f>
        <v>0</v>
      </c>
      <c r="V20" s="14">
        <f>'CAPEX - Aquisições'!R10</f>
        <v>0</v>
      </c>
      <c r="W20" s="14">
        <f>'CAPEX - Aquisições'!S10</f>
        <v>0</v>
      </c>
      <c r="X20" s="14">
        <f>'CAPEX - Aquisições'!T10</f>
        <v>0</v>
      </c>
      <c r="Y20" s="14">
        <f>'CAPEX - Aquisições'!U10</f>
        <v>0</v>
      </c>
      <c r="Z20" s="14">
        <f>'CAPEX - Aquisições'!V10</f>
        <v>0</v>
      </c>
      <c r="AA20" s="14">
        <f>'CAPEX - Aquisições'!W10</f>
        <v>0</v>
      </c>
      <c r="AB20" s="14">
        <f>'CAPEX - Aquisições'!X10</f>
        <v>0</v>
      </c>
      <c r="AC20" s="14">
        <f>'CAPEX - Aquisições'!Y10</f>
        <v>0</v>
      </c>
      <c r="AD20" s="14">
        <f>'CAPEX - Aquisições'!Z10</f>
        <v>0</v>
      </c>
      <c r="AE20" s="14">
        <f>'CAPEX - Aquisições'!AA10</f>
        <v>0</v>
      </c>
      <c r="AF20" s="14">
        <f>'CAPEX - Aquisições'!AB10</f>
        <v>0</v>
      </c>
      <c r="AG20" s="14">
        <f>'CAPEX - Aquisições'!AC10</f>
        <v>0</v>
      </c>
      <c r="AH20" s="14">
        <f>'CAPEX - Aquisições'!AD10</f>
        <v>0</v>
      </c>
      <c r="AI20" s="14">
        <f>'CAPEX - Aquisições'!AE10</f>
        <v>0</v>
      </c>
      <c r="AJ20" s="14">
        <f>'CAPEX - Aquisições'!AF10</f>
        <v>0</v>
      </c>
      <c r="AK20" s="14">
        <f>'CAPEX - Aquisições'!AG10</f>
        <v>0</v>
      </c>
      <c r="AL20" s="14">
        <f>'CAPEX - Aquisições'!AH10</f>
        <v>0</v>
      </c>
      <c r="AM20" s="14">
        <f>'CAPEX - Aquisições'!AI10</f>
        <v>0</v>
      </c>
      <c r="AN20" s="14">
        <f>'CAPEX - Aquisições'!AJ10</f>
        <v>0</v>
      </c>
      <c r="AO20" s="14">
        <f>'CAPEX - Aquisições'!AK10</f>
        <v>0</v>
      </c>
      <c r="AP20" s="14">
        <f>'CAPEX - Aquisições'!AL10</f>
        <v>0</v>
      </c>
      <c r="AQ20" s="14">
        <f>'CAPEX - Aquisições'!AM10</f>
        <v>0</v>
      </c>
    </row>
    <row r="21" spans="2:43">
      <c r="B21" s="730">
        <f>SUM(DFs!D66:AN69)</f>
        <v>-7730103.7522124508</v>
      </c>
      <c r="C21" s="15" t="str">
        <f>IF(C11=-CAPEX!B21,"ok", "erro")</f>
        <v>ok</v>
      </c>
      <c r="F21" s="306" t="s">
        <v>1245</v>
      </c>
      <c r="G21" s="14">
        <f>SUM(H21:AQ21)</f>
        <v>47075.946831383859</v>
      </c>
      <c r="H21" s="14">
        <f>'CAPEX - Aquisições'!D14</f>
        <v>0</v>
      </c>
      <c r="I21" s="14">
        <f>'CAPEX - Aquisições'!E14</f>
        <v>0</v>
      </c>
      <c r="J21" s="14">
        <f>'CAPEX - Aquisições'!F14</f>
        <v>47075.946831383859</v>
      </c>
      <c r="K21" s="14">
        <f>'CAPEX - Aquisições'!G14</f>
        <v>0</v>
      </c>
      <c r="L21" s="14">
        <f>'CAPEX - Aquisições'!H14</f>
        <v>0</v>
      </c>
      <c r="M21" s="14">
        <f>'CAPEX - Aquisições'!I14</f>
        <v>0</v>
      </c>
      <c r="N21" s="14">
        <f>'CAPEX - Aquisições'!J14</f>
        <v>0</v>
      </c>
      <c r="O21" s="14">
        <f>'CAPEX - Aquisições'!K14</f>
        <v>0</v>
      </c>
      <c r="P21" s="14">
        <f>'CAPEX - Aquisições'!L14</f>
        <v>0</v>
      </c>
      <c r="Q21" s="14">
        <f>'CAPEX - Aquisições'!M14</f>
        <v>0</v>
      </c>
      <c r="R21" s="14">
        <f>'CAPEX - Aquisições'!N14</f>
        <v>0</v>
      </c>
      <c r="S21" s="14">
        <f>'CAPEX - Aquisições'!O14</f>
        <v>0</v>
      </c>
      <c r="T21" s="14">
        <f>'CAPEX - Aquisições'!P14</f>
        <v>0</v>
      </c>
      <c r="U21" s="14">
        <f>'CAPEX - Aquisições'!Q14</f>
        <v>0</v>
      </c>
      <c r="V21" s="14">
        <f>'CAPEX - Aquisições'!R14</f>
        <v>0</v>
      </c>
      <c r="W21" s="14">
        <f>'CAPEX - Aquisições'!S14</f>
        <v>0</v>
      </c>
      <c r="X21" s="14">
        <f>'CAPEX - Aquisições'!T14</f>
        <v>0</v>
      </c>
      <c r="Y21" s="14">
        <f>'CAPEX - Aquisições'!U14</f>
        <v>0</v>
      </c>
      <c r="Z21" s="14">
        <f>'CAPEX - Aquisições'!V14</f>
        <v>0</v>
      </c>
      <c r="AA21" s="14">
        <f>'CAPEX - Aquisições'!W14</f>
        <v>0</v>
      </c>
      <c r="AB21" s="14">
        <f>'CAPEX - Aquisições'!X14</f>
        <v>0</v>
      </c>
      <c r="AC21" s="14">
        <f>'CAPEX - Aquisições'!Y14</f>
        <v>0</v>
      </c>
      <c r="AD21" s="14">
        <f>'CAPEX - Aquisições'!Z14</f>
        <v>0</v>
      </c>
      <c r="AE21" s="14">
        <f>'CAPEX - Aquisições'!AA14</f>
        <v>0</v>
      </c>
      <c r="AF21" s="14">
        <f>'CAPEX - Aquisições'!AB14</f>
        <v>0</v>
      </c>
      <c r="AG21" s="14">
        <f>'CAPEX - Aquisições'!AC14</f>
        <v>0</v>
      </c>
      <c r="AH21" s="14">
        <f>'CAPEX - Aquisições'!AD14</f>
        <v>0</v>
      </c>
      <c r="AI21" s="14">
        <f>'CAPEX - Aquisições'!AE14</f>
        <v>0</v>
      </c>
      <c r="AJ21" s="14">
        <f>'CAPEX - Aquisições'!AF14</f>
        <v>0</v>
      </c>
      <c r="AK21" s="14">
        <f>'CAPEX - Aquisições'!AG14</f>
        <v>0</v>
      </c>
      <c r="AL21" s="14">
        <f>'CAPEX - Aquisições'!AH14</f>
        <v>0</v>
      </c>
      <c r="AM21" s="14">
        <f>'CAPEX - Aquisições'!AI14</f>
        <v>0</v>
      </c>
      <c r="AN21" s="14">
        <f>'CAPEX - Aquisições'!AJ14</f>
        <v>0</v>
      </c>
      <c r="AO21" s="14">
        <f>'CAPEX - Aquisições'!AK14</f>
        <v>0</v>
      </c>
      <c r="AP21" s="14">
        <f>'CAPEX - Aquisições'!AL14</f>
        <v>0</v>
      </c>
      <c r="AQ21" s="14">
        <f>'CAPEX - Aquisições'!AM14</f>
        <v>0</v>
      </c>
    </row>
    <row r="22" spans="2:43">
      <c r="F22" s="306" t="s">
        <v>1246</v>
      </c>
      <c r="G22" s="14">
        <f>SUM(H22:AQ22)</f>
        <v>108652.61971794587</v>
      </c>
      <c r="H22" s="14">
        <f>'CAPEX - Aquisições'!D17</f>
        <v>0</v>
      </c>
      <c r="I22" s="14">
        <f>'CAPEX - Aquisições'!E17</f>
        <v>0</v>
      </c>
      <c r="J22" s="14">
        <f>'CAPEX - Aquisições'!F17</f>
        <v>108652.61971794587</v>
      </c>
      <c r="K22" s="14">
        <f>'CAPEX - Aquisições'!G17</f>
        <v>0</v>
      </c>
      <c r="L22" s="14">
        <f>'CAPEX - Aquisições'!H17</f>
        <v>0</v>
      </c>
      <c r="M22" s="14">
        <f>'CAPEX - Aquisições'!I17</f>
        <v>0</v>
      </c>
      <c r="N22" s="14">
        <f>'CAPEX - Aquisições'!J17</f>
        <v>0</v>
      </c>
      <c r="O22" s="14">
        <f>'CAPEX - Aquisições'!K17</f>
        <v>0</v>
      </c>
      <c r="P22" s="14">
        <f>'CAPEX - Aquisições'!L17</f>
        <v>0</v>
      </c>
      <c r="Q22" s="14">
        <f>'CAPEX - Aquisições'!M17</f>
        <v>0</v>
      </c>
      <c r="R22" s="14">
        <f>'CAPEX - Aquisições'!N17</f>
        <v>0</v>
      </c>
      <c r="S22" s="14">
        <f>'CAPEX - Aquisições'!O17</f>
        <v>0</v>
      </c>
      <c r="T22" s="14">
        <f>'CAPEX - Aquisições'!P17</f>
        <v>0</v>
      </c>
      <c r="U22" s="14">
        <f>'CAPEX - Aquisições'!Q17</f>
        <v>0</v>
      </c>
      <c r="V22" s="14">
        <f>'CAPEX - Aquisições'!R17</f>
        <v>0</v>
      </c>
      <c r="W22" s="14">
        <f>'CAPEX - Aquisições'!S17</f>
        <v>0</v>
      </c>
      <c r="X22" s="14">
        <f>'CAPEX - Aquisições'!T17</f>
        <v>0</v>
      </c>
      <c r="Y22" s="14">
        <f>'CAPEX - Aquisições'!U17</f>
        <v>0</v>
      </c>
      <c r="Z22" s="14">
        <f>'CAPEX - Aquisições'!V17</f>
        <v>0</v>
      </c>
      <c r="AA22" s="14">
        <f>'CAPEX - Aquisições'!W17</f>
        <v>0</v>
      </c>
      <c r="AB22" s="14">
        <f>'CAPEX - Aquisições'!X17</f>
        <v>0</v>
      </c>
      <c r="AC22" s="14">
        <f>'CAPEX - Aquisições'!Y17</f>
        <v>0</v>
      </c>
      <c r="AD22" s="14">
        <f>'CAPEX - Aquisições'!Z17</f>
        <v>0</v>
      </c>
      <c r="AE22" s="14">
        <f>'CAPEX - Aquisições'!AA17</f>
        <v>0</v>
      </c>
      <c r="AF22" s="14">
        <f>'CAPEX - Aquisições'!AB17</f>
        <v>0</v>
      </c>
      <c r="AG22" s="14">
        <f>'CAPEX - Aquisições'!AC17</f>
        <v>0</v>
      </c>
      <c r="AH22" s="14">
        <f>'CAPEX - Aquisições'!AD17</f>
        <v>0</v>
      </c>
      <c r="AI22" s="14">
        <f>'CAPEX - Aquisições'!AE17</f>
        <v>0</v>
      </c>
      <c r="AJ22" s="14">
        <f>'CAPEX - Aquisições'!AF17</f>
        <v>0</v>
      </c>
      <c r="AK22" s="14">
        <f>'CAPEX - Aquisições'!AG17</f>
        <v>0</v>
      </c>
      <c r="AL22" s="14">
        <f>'CAPEX - Aquisições'!AH17</f>
        <v>0</v>
      </c>
      <c r="AM22" s="14">
        <f>'CAPEX - Aquisições'!AI17</f>
        <v>0</v>
      </c>
      <c r="AN22" s="14">
        <f>'CAPEX - Aquisições'!AJ17</f>
        <v>0</v>
      </c>
      <c r="AO22" s="14">
        <f>'CAPEX - Aquisições'!AK17</f>
        <v>0</v>
      </c>
      <c r="AP22" s="14">
        <f>'CAPEX - Aquisições'!AL17</f>
        <v>0</v>
      </c>
      <c r="AQ22" s="14">
        <f>'CAPEX - Aquisições'!AM17</f>
        <v>0</v>
      </c>
    </row>
    <row r="23" spans="2:43">
      <c r="F23" s="306" t="s">
        <v>1247</v>
      </c>
      <c r="G23" s="14"/>
      <c r="H23" s="14">
        <f>'CAPEX - Aquisições'!D18</f>
        <v>0</v>
      </c>
      <c r="I23" s="14">
        <f>'CAPEX - Aquisições'!E18</f>
        <v>0</v>
      </c>
      <c r="J23" s="14">
        <f>'CAPEX - Aquisições'!F18</f>
        <v>16069.623368657294</v>
      </c>
      <c r="K23" s="14">
        <f>'CAPEX - Aquisições'!G18</f>
        <v>0</v>
      </c>
      <c r="L23" s="14">
        <f>'CAPEX - Aquisições'!H18</f>
        <v>0</v>
      </c>
      <c r="M23" s="14">
        <f>'CAPEX - Aquisições'!I18</f>
        <v>0</v>
      </c>
      <c r="N23" s="14">
        <f>'CAPEX - Aquisições'!J18</f>
        <v>0</v>
      </c>
      <c r="O23" s="14">
        <f>'CAPEX - Aquisições'!K18</f>
        <v>0</v>
      </c>
      <c r="P23" s="14">
        <f>'CAPEX - Aquisições'!L18</f>
        <v>0</v>
      </c>
      <c r="Q23" s="14">
        <f>'CAPEX - Aquisições'!M18</f>
        <v>0</v>
      </c>
      <c r="R23" s="14">
        <f>'CAPEX - Aquisições'!N18</f>
        <v>0</v>
      </c>
      <c r="S23" s="14">
        <f>'CAPEX - Aquisições'!O18</f>
        <v>0</v>
      </c>
      <c r="T23" s="14">
        <f>'CAPEX - Aquisições'!P18</f>
        <v>0</v>
      </c>
      <c r="U23" s="14">
        <f>'CAPEX - Aquisições'!Q18</f>
        <v>0</v>
      </c>
      <c r="V23" s="14">
        <f>'CAPEX - Aquisições'!R18</f>
        <v>0</v>
      </c>
      <c r="W23" s="14">
        <f>'CAPEX - Aquisições'!S18</f>
        <v>0</v>
      </c>
      <c r="X23" s="14">
        <f>'CAPEX - Aquisições'!T18</f>
        <v>0</v>
      </c>
      <c r="Y23" s="14">
        <f>'CAPEX - Aquisições'!U18</f>
        <v>0</v>
      </c>
      <c r="Z23" s="14">
        <f>'CAPEX - Aquisições'!V18</f>
        <v>0</v>
      </c>
      <c r="AA23" s="14">
        <f>'CAPEX - Aquisições'!W18</f>
        <v>0</v>
      </c>
      <c r="AB23" s="14">
        <f>'CAPEX - Aquisições'!X18</f>
        <v>0</v>
      </c>
      <c r="AC23" s="14">
        <f>'CAPEX - Aquisições'!Y18</f>
        <v>0</v>
      </c>
      <c r="AD23" s="14">
        <f>'CAPEX - Aquisições'!Z18</f>
        <v>0</v>
      </c>
      <c r="AE23" s="14">
        <f>'CAPEX - Aquisições'!AA18</f>
        <v>0</v>
      </c>
      <c r="AF23" s="14">
        <f>'CAPEX - Aquisições'!AB18</f>
        <v>0</v>
      </c>
      <c r="AG23" s="14">
        <f>'CAPEX - Aquisições'!AC18</f>
        <v>0</v>
      </c>
      <c r="AH23" s="14">
        <f>'CAPEX - Aquisições'!AD18</f>
        <v>0</v>
      </c>
      <c r="AI23" s="14">
        <f>'CAPEX - Aquisições'!AE18</f>
        <v>0</v>
      </c>
      <c r="AJ23" s="14">
        <f>'CAPEX - Aquisições'!AF18</f>
        <v>0</v>
      </c>
      <c r="AK23" s="14">
        <f>'CAPEX - Aquisições'!AG18</f>
        <v>0</v>
      </c>
      <c r="AL23" s="14">
        <f>'CAPEX - Aquisições'!AH18</f>
        <v>0</v>
      </c>
      <c r="AM23" s="14">
        <f>'CAPEX - Aquisições'!AI18</f>
        <v>0</v>
      </c>
      <c r="AN23" s="14">
        <f>'CAPEX - Aquisições'!AJ18</f>
        <v>0</v>
      </c>
      <c r="AO23" s="14">
        <f>'CAPEX - Aquisições'!AK18</f>
        <v>0</v>
      </c>
      <c r="AP23" s="14">
        <f>'CAPEX - Aquisições'!AL18</f>
        <v>0</v>
      </c>
      <c r="AQ23" s="14">
        <f>'CAPEX - Aquisições'!AM18</f>
        <v>0</v>
      </c>
    </row>
    <row r="24" spans="2:43">
      <c r="F24" s="306" t="s">
        <v>1248</v>
      </c>
      <c r="G24" s="14">
        <f>SUM(H24:AQ24)</f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</row>
    <row r="25" spans="2:43" ht="3" customHeight="1"/>
    <row r="26" spans="2:43" ht="3" customHeight="1"/>
    <row r="27" spans="2:43">
      <c r="F27" s="772" t="s">
        <v>1249</v>
      </c>
      <c r="G27" s="49"/>
      <c r="H27" s="49" t="s">
        <v>224</v>
      </c>
      <c r="I27" s="49" t="s">
        <v>84</v>
      </c>
      <c r="J27" s="49" t="s">
        <v>86</v>
      </c>
      <c r="K27" s="49" t="s">
        <v>92</v>
      </c>
      <c r="L27" s="49" t="s">
        <v>93</v>
      </c>
      <c r="M27" s="49" t="s">
        <v>94</v>
      </c>
      <c r="N27" s="49" t="s">
        <v>95</v>
      </c>
      <c r="O27" s="49" t="s">
        <v>96</v>
      </c>
      <c r="P27" s="49" t="s">
        <v>97</v>
      </c>
      <c r="Q27" s="49" t="s">
        <v>98</v>
      </c>
      <c r="R27" s="49" t="s">
        <v>99</v>
      </c>
      <c r="S27" s="49" t="s">
        <v>100</v>
      </c>
      <c r="T27" s="49" t="s">
        <v>101</v>
      </c>
      <c r="U27" s="49" t="s">
        <v>102</v>
      </c>
      <c r="V27" s="49" t="s">
        <v>103</v>
      </c>
      <c r="W27" s="49" t="s">
        <v>104</v>
      </c>
      <c r="X27" s="49" t="s">
        <v>105</v>
      </c>
      <c r="Y27" s="49" t="s">
        <v>106</v>
      </c>
      <c r="Z27" s="49" t="s">
        <v>107</v>
      </c>
      <c r="AA27" s="49" t="s">
        <v>108</v>
      </c>
      <c r="AB27" s="49" t="s">
        <v>109</v>
      </c>
      <c r="AC27" s="49" t="s">
        <v>110</v>
      </c>
      <c r="AD27" s="49" t="s">
        <v>111</v>
      </c>
      <c r="AE27" s="49" t="s">
        <v>112</v>
      </c>
      <c r="AF27" s="49" t="s">
        <v>113</v>
      </c>
      <c r="AG27" s="49" t="s">
        <v>114</v>
      </c>
      <c r="AH27" s="49" t="s">
        <v>115</v>
      </c>
      <c r="AI27" s="49" t="s">
        <v>116</v>
      </c>
      <c r="AJ27" s="49" t="s">
        <v>117</v>
      </c>
      <c r="AK27" s="49" t="s">
        <v>118</v>
      </c>
      <c r="AL27" s="49" t="s">
        <v>119</v>
      </c>
      <c r="AM27" s="49" t="s">
        <v>120</v>
      </c>
      <c r="AN27" s="49" t="s">
        <v>121</v>
      </c>
      <c r="AO27" s="49" t="s">
        <v>122</v>
      </c>
      <c r="AP27" s="49" t="s">
        <v>123</v>
      </c>
      <c r="AQ27" s="49" t="s">
        <v>124</v>
      </c>
    </row>
    <row r="28" spans="2:43">
      <c r="F28" s="369" t="s">
        <v>1250</v>
      </c>
      <c r="G28" s="49" t="s">
        <v>479</v>
      </c>
      <c r="H28" s="312">
        <v>0</v>
      </c>
      <c r="I28" s="312">
        <v>0.5</v>
      </c>
      <c r="J28" s="312">
        <v>0.5</v>
      </c>
      <c r="K28" s="312">
        <v>0</v>
      </c>
      <c r="L28" s="312">
        <v>0</v>
      </c>
      <c r="M28" s="312">
        <v>0</v>
      </c>
      <c r="N28" s="312">
        <v>0</v>
      </c>
      <c r="O28" s="312">
        <v>0</v>
      </c>
      <c r="P28" s="312">
        <v>0</v>
      </c>
      <c r="Q28" s="312">
        <v>0</v>
      </c>
      <c r="R28" s="312">
        <v>0</v>
      </c>
      <c r="S28" s="312">
        <v>0</v>
      </c>
      <c r="T28" s="312">
        <v>0</v>
      </c>
      <c r="U28" s="312">
        <v>0</v>
      </c>
      <c r="V28" s="312">
        <v>0</v>
      </c>
      <c r="W28" s="312">
        <v>0</v>
      </c>
      <c r="X28" s="312">
        <v>0</v>
      </c>
      <c r="Y28" s="312">
        <v>0</v>
      </c>
      <c r="Z28" s="312">
        <v>0</v>
      </c>
      <c r="AA28" s="312">
        <v>0</v>
      </c>
      <c r="AB28" s="312">
        <v>0</v>
      </c>
      <c r="AC28" s="312">
        <v>0</v>
      </c>
      <c r="AD28" s="312">
        <v>0</v>
      </c>
      <c r="AE28" s="312">
        <v>0</v>
      </c>
      <c r="AF28" s="312">
        <v>0</v>
      </c>
      <c r="AG28" s="312">
        <v>0</v>
      </c>
      <c r="AH28" s="312">
        <v>0</v>
      </c>
      <c r="AI28" s="312">
        <v>0</v>
      </c>
      <c r="AJ28" s="312">
        <v>0</v>
      </c>
      <c r="AK28" s="312">
        <v>0</v>
      </c>
      <c r="AL28" s="312">
        <v>0</v>
      </c>
      <c r="AM28" s="312">
        <v>0</v>
      </c>
      <c r="AN28" s="312">
        <v>0</v>
      </c>
      <c r="AO28" s="312">
        <v>0</v>
      </c>
      <c r="AP28" s="312">
        <v>0</v>
      </c>
      <c r="AQ28" s="312">
        <v>0</v>
      </c>
    </row>
    <row r="29" spans="2:43">
      <c r="F29" s="306" t="s">
        <v>1251</v>
      </c>
      <c r="G29" s="14">
        <f>SUM(H29:AP29)</f>
        <v>6223371.7599999998</v>
      </c>
      <c r="H29" s="14">
        <f>$C$6*H28</f>
        <v>0</v>
      </c>
      <c r="I29" s="14">
        <f>$C$6*I28</f>
        <v>3111685.88</v>
      </c>
      <c r="J29" s="14">
        <f>$C$6*J28</f>
        <v>3111685.88</v>
      </c>
      <c r="K29" s="14">
        <f t="shared" ref="K29:AQ29" si="2">$C$6*K28</f>
        <v>0</v>
      </c>
      <c r="L29" s="14">
        <f t="shared" si="2"/>
        <v>0</v>
      </c>
      <c r="M29" s="14">
        <f t="shared" si="2"/>
        <v>0</v>
      </c>
      <c r="N29" s="14">
        <f t="shared" si="2"/>
        <v>0</v>
      </c>
      <c r="O29" s="14">
        <f t="shared" si="2"/>
        <v>0</v>
      </c>
      <c r="P29" s="14">
        <f t="shared" si="2"/>
        <v>0</v>
      </c>
      <c r="Q29" s="14">
        <f t="shared" si="2"/>
        <v>0</v>
      </c>
      <c r="R29" s="14">
        <f t="shared" si="2"/>
        <v>0</v>
      </c>
      <c r="S29" s="14">
        <f t="shared" si="2"/>
        <v>0</v>
      </c>
      <c r="T29" s="14">
        <f t="shared" si="2"/>
        <v>0</v>
      </c>
      <c r="U29" s="14">
        <f t="shared" si="2"/>
        <v>0</v>
      </c>
      <c r="V29" s="14">
        <f t="shared" si="2"/>
        <v>0</v>
      </c>
      <c r="W29" s="14">
        <f t="shared" si="2"/>
        <v>0</v>
      </c>
      <c r="X29" s="14">
        <f t="shared" si="2"/>
        <v>0</v>
      </c>
      <c r="Y29" s="14">
        <f t="shared" si="2"/>
        <v>0</v>
      </c>
      <c r="Z29" s="14">
        <f t="shared" si="2"/>
        <v>0</v>
      </c>
      <c r="AA29" s="14">
        <f t="shared" si="2"/>
        <v>0</v>
      </c>
      <c r="AB29" s="14">
        <f t="shared" si="2"/>
        <v>0</v>
      </c>
      <c r="AC29" s="14">
        <f t="shared" si="2"/>
        <v>0</v>
      </c>
      <c r="AD29" s="14">
        <f t="shared" si="2"/>
        <v>0</v>
      </c>
      <c r="AE29" s="14">
        <f t="shared" si="2"/>
        <v>0</v>
      </c>
      <c r="AF29" s="14">
        <f t="shared" si="2"/>
        <v>0</v>
      </c>
      <c r="AG29" s="14">
        <f t="shared" si="2"/>
        <v>0</v>
      </c>
      <c r="AH29" s="14">
        <f t="shared" si="2"/>
        <v>0</v>
      </c>
      <c r="AI29" s="14">
        <f t="shared" si="2"/>
        <v>0</v>
      </c>
      <c r="AJ29" s="14">
        <f t="shared" si="2"/>
        <v>0</v>
      </c>
      <c r="AK29" s="14">
        <f t="shared" si="2"/>
        <v>0</v>
      </c>
      <c r="AL29" s="14">
        <f t="shared" si="2"/>
        <v>0</v>
      </c>
      <c r="AM29" s="14">
        <f t="shared" si="2"/>
        <v>0</v>
      </c>
      <c r="AN29" s="14">
        <f t="shared" si="2"/>
        <v>0</v>
      </c>
      <c r="AO29" s="14">
        <f t="shared" si="2"/>
        <v>0</v>
      </c>
      <c r="AP29" s="14">
        <f t="shared" si="2"/>
        <v>0</v>
      </c>
      <c r="AQ29" s="14">
        <f t="shared" si="2"/>
        <v>0</v>
      </c>
    </row>
    <row r="30" spans="2:43">
      <c r="F30" s="306" t="s">
        <v>1252</v>
      </c>
      <c r="G30" s="14">
        <f>SUM(H30:AP30)</f>
        <v>384933.80229446391</v>
      </c>
      <c r="H30" s="14">
        <f>'CAPEX - Aquisições'!D10</f>
        <v>0</v>
      </c>
      <c r="I30" s="14">
        <f>'CAPEX - Aquisições'!E10</f>
        <v>0</v>
      </c>
      <c r="J30" s="14">
        <f>'CAPEX - Aquisições'!F10</f>
        <v>384933.80229446391</v>
      </c>
      <c r="K30" s="14">
        <f>'CAPEX - Aquisições'!G10</f>
        <v>0</v>
      </c>
      <c r="L30" s="14">
        <f>'CAPEX - Aquisições'!H10</f>
        <v>0</v>
      </c>
      <c r="M30" s="14">
        <f>'CAPEX - Aquisições'!I10</f>
        <v>0</v>
      </c>
      <c r="N30" s="14">
        <f>'CAPEX - Aquisições'!J10</f>
        <v>0</v>
      </c>
      <c r="O30" s="14">
        <f>'CAPEX - Aquisições'!K10</f>
        <v>0</v>
      </c>
      <c r="P30" s="14">
        <f>'CAPEX - Aquisições'!L10</f>
        <v>0</v>
      </c>
      <c r="Q30" s="14">
        <f>'CAPEX - Aquisições'!M10</f>
        <v>0</v>
      </c>
      <c r="R30" s="14">
        <f>'CAPEX - Aquisições'!N10</f>
        <v>0</v>
      </c>
      <c r="S30" s="14">
        <f>'CAPEX - Aquisições'!O10</f>
        <v>0</v>
      </c>
      <c r="T30" s="14">
        <f>'CAPEX - Aquisições'!P10</f>
        <v>0</v>
      </c>
      <c r="U30" s="14">
        <f>'CAPEX - Aquisições'!Q10</f>
        <v>0</v>
      </c>
      <c r="V30" s="14">
        <f>'CAPEX - Aquisições'!R10</f>
        <v>0</v>
      </c>
      <c r="W30" s="14">
        <f>'CAPEX - Aquisições'!S10</f>
        <v>0</v>
      </c>
      <c r="X30" s="14">
        <f>'CAPEX - Aquisições'!T10</f>
        <v>0</v>
      </c>
      <c r="Y30" s="14">
        <f>'CAPEX - Aquisições'!U10</f>
        <v>0</v>
      </c>
      <c r="Z30" s="14">
        <f>'CAPEX - Aquisições'!V10</f>
        <v>0</v>
      </c>
      <c r="AA30" s="14">
        <f>'CAPEX - Aquisições'!W10</f>
        <v>0</v>
      </c>
      <c r="AB30" s="14">
        <f>'CAPEX - Aquisições'!X10</f>
        <v>0</v>
      </c>
      <c r="AC30" s="14">
        <f>'CAPEX - Aquisições'!Y10</f>
        <v>0</v>
      </c>
      <c r="AD30" s="14">
        <f>'CAPEX - Aquisições'!Z10</f>
        <v>0</v>
      </c>
      <c r="AE30" s="14">
        <f>'CAPEX - Aquisições'!AA10</f>
        <v>0</v>
      </c>
      <c r="AF30" s="14">
        <f>'CAPEX - Aquisições'!AB10</f>
        <v>0</v>
      </c>
      <c r="AG30" s="14">
        <f>'CAPEX - Aquisições'!AC10</f>
        <v>0</v>
      </c>
      <c r="AH30" s="14">
        <f>'CAPEX - Aquisições'!AD10</f>
        <v>0</v>
      </c>
      <c r="AI30" s="14">
        <f>'CAPEX - Aquisições'!AE10</f>
        <v>0</v>
      </c>
      <c r="AJ30" s="14">
        <f>'CAPEX - Aquisições'!AF10</f>
        <v>0</v>
      </c>
      <c r="AK30" s="14">
        <f>'CAPEX - Aquisições'!AG10</f>
        <v>0</v>
      </c>
      <c r="AL30" s="14">
        <f>'CAPEX - Aquisições'!AH10</f>
        <v>0</v>
      </c>
      <c r="AM30" s="14">
        <f>'CAPEX - Aquisições'!AI10</f>
        <v>0</v>
      </c>
      <c r="AN30" s="14">
        <f>'CAPEX - Aquisições'!AJ10</f>
        <v>0</v>
      </c>
      <c r="AO30" s="14">
        <f>'CAPEX - Aquisições'!AK10</f>
        <v>0</v>
      </c>
      <c r="AP30" s="14">
        <f>'CAPEX - Aquisições'!AL10</f>
        <v>0</v>
      </c>
      <c r="AQ30" s="14">
        <f>'CAPEX - Aquisições'!AM10</f>
        <v>0</v>
      </c>
    </row>
    <row r="31" spans="2:43">
      <c r="F31" s="306" t="s">
        <v>1253</v>
      </c>
      <c r="G31" s="14">
        <f>SUM(H31:AQ31)</f>
        <v>47075.946831383859</v>
      </c>
      <c r="H31" s="14">
        <f>'CAPEX - Aquisições'!D14</f>
        <v>0</v>
      </c>
      <c r="I31" s="14">
        <f>'CAPEX - Aquisições'!E14</f>
        <v>0</v>
      </c>
      <c r="J31" s="14">
        <f>'CAPEX - Aquisições'!F14</f>
        <v>47075.946831383859</v>
      </c>
      <c r="K31" s="14">
        <f>'CAPEX - Aquisições'!G14</f>
        <v>0</v>
      </c>
      <c r="L31" s="14">
        <f>'CAPEX - Aquisições'!H14</f>
        <v>0</v>
      </c>
      <c r="M31" s="14">
        <f>'CAPEX - Aquisições'!I14</f>
        <v>0</v>
      </c>
      <c r="N31" s="14">
        <f>'CAPEX - Aquisições'!J14</f>
        <v>0</v>
      </c>
      <c r="O31" s="14">
        <f>'CAPEX - Aquisições'!K14</f>
        <v>0</v>
      </c>
      <c r="P31" s="14">
        <f>'CAPEX - Aquisições'!L14</f>
        <v>0</v>
      </c>
      <c r="Q31" s="14">
        <f>'CAPEX - Aquisições'!M14</f>
        <v>0</v>
      </c>
      <c r="R31" s="14">
        <f>'CAPEX - Aquisições'!N14</f>
        <v>0</v>
      </c>
      <c r="S31" s="14">
        <f>'CAPEX - Aquisições'!O14</f>
        <v>0</v>
      </c>
      <c r="T31" s="14">
        <f>'CAPEX - Aquisições'!P14</f>
        <v>0</v>
      </c>
      <c r="U31" s="14">
        <f>'CAPEX - Aquisições'!Q14</f>
        <v>0</v>
      </c>
      <c r="V31" s="14">
        <f>'CAPEX - Aquisições'!R14</f>
        <v>0</v>
      </c>
      <c r="W31" s="14">
        <f>'CAPEX - Aquisições'!S14</f>
        <v>0</v>
      </c>
      <c r="X31" s="14">
        <f>'CAPEX - Aquisições'!T14</f>
        <v>0</v>
      </c>
      <c r="Y31" s="14">
        <f>'CAPEX - Aquisições'!U14</f>
        <v>0</v>
      </c>
      <c r="Z31" s="14">
        <f>'CAPEX - Aquisições'!V14</f>
        <v>0</v>
      </c>
      <c r="AA31" s="14">
        <f>'CAPEX - Aquisições'!W14</f>
        <v>0</v>
      </c>
      <c r="AB31" s="14">
        <f>'CAPEX - Aquisições'!X14</f>
        <v>0</v>
      </c>
      <c r="AC31" s="14">
        <f>'CAPEX - Aquisições'!Y14</f>
        <v>0</v>
      </c>
      <c r="AD31" s="14">
        <f>'CAPEX - Aquisições'!Z14</f>
        <v>0</v>
      </c>
      <c r="AE31" s="14">
        <f>'CAPEX - Aquisições'!AA14</f>
        <v>0</v>
      </c>
      <c r="AF31" s="14">
        <f>'CAPEX - Aquisições'!AB14</f>
        <v>0</v>
      </c>
      <c r="AG31" s="14">
        <f>'CAPEX - Aquisições'!AC14</f>
        <v>0</v>
      </c>
      <c r="AH31" s="14">
        <f>'CAPEX - Aquisições'!AD14</f>
        <v>0</v>
      </c>
      <c r="AI31" s="14">
        <f>'CAPEX - Aquisições'!AE14</f>
        <v>0</v>
      </c>
      <c r="AJ31" s="14">
        <f>'CAPEX - Aquisições'!AF14</f>
        <v>0</v>
      </c>
      <c r="AK31" s="14">
        <f>'CAPEX - Aquisições'!AG14</f>
        <v>0</v>
      </c>
      <c r="AL31" s="14">
        <f>'CAPEX - Aquisições'!AH14</f>
        <v>0</v>
      </c>
      <c r="AM31" s="14">
        <f>'CAPEX - Aquisições'!AI14</f>
        <v>0</v>
      </c>
      <c r="AN31" s="14">
        <f>'CAPEX - Aquisições'!AJ14</f>
        <v>0</v>
      </c>
      <c r="AO31" s="14">
        <f>'CAPEX - Aquisições'!AK14</f>
        <v>0</v>
      </c>
      <c r="AP31" s="14">
        <f>'CAPEX - Aquisições'!AL14</f>
        <v>0</v>
      </c>
      <c r="AQ31" s="14">
        <f>'CAPEX - Aquisições'!AM14</f>
        <v>0</v>
      </c>
    </row>
    <row r="32" spans="2:43">
      <c r="F32" s="306" t="s">
        <v>1227</v>
      </c>
      <c r="G32" s="14">
        <f>SUM(H32:AQ32)</f>
        <v>950000</v>
      </c>
      <c r="H32" s="14">
        <f>H17</f>
        <v>0</v>
      </c>
      <c r="I32" s="14">
        <f>I17</f>
        <v>950000</v>
      </c>
      <c r="J32" s="14">
        <f t="shared" ref="J32:AQ32" si="3">J17</f>
        <v>0</v>
      </c>
      <c r="K32" s="14">
        <f t="shared" si="3"/>
        <v>0</v>
      </c>
      <c r="L32" s="14">
        <f t="shared" si="3"/>
        <v>0</v>
      </c>
      <c r="M32" s="14">
        <f t="shared" si="3"/>
        <v>0</v>
      </c>
      <c r="N32" s="14">
        <f t="shared" si="3"/>
        <v>0</v>
      </c>
      <c r="O32" s="14">
        <f t="shared" si="3"/>
        <v>0</v>
      </c>
      <c r="P32" s="14">
        <f t="shared" si="3"/>
        <v>0</v>
      </c>
      <c r="Q32" s="14">
        <f t="shared" si="3"/>
        <v>0</v>
      </c>
      <c r="R32" s="14">
        <f t="shared" si="3"/>
        <v>0</v>
      </c>
      <c r="S32" s="14">
        <f t="shared" si="3"/>
        <v>0</v>
      </c>
      <c r="T32" s="14">
        <f t="shared" si="3"/>
        <v>0</v>
      </c>
      <c r="U32" s="14">
        <f t="shared" si="3"/>
        <v>0</v>
      </c>
      <c r="V32" s="14">
        <f t="shared" si="3"/>
        <v>0</v>
      </c>
      <c r="W32" s="14">
        <f t="shared" si="3"/>
        <v>0</v>
      </c>
      <c r="X32" s="14">
        <f t="shared" si="3"/>
        <v>0</v>
      </c>
      <c r="Y32" s="14">
        <f t="shared" si="3"/>
        <v>0</v>
      </c>
      <c r="Z32" s="14">
        <f t="shared" si="3"/>
        <v>0</v>
      </c>
      <c r="AA32" s="14">
        <f t="shared" si="3"/>
        <v>0</v>
      </c>
      <c r="AB32" s="14">
        <f t="shared" si="3"/>
        <v>0</v>
      </c>
      <c r="AC32" s="14">
        <f t="shared" si="3"/>
        <v>0</v>
      </c>
      <c r="AD32" s="14">
        <f t="shared" si="3"/>
        <v>0</v>
      </c>
      <c r="AE32" s="14">
        <f t="shared" si="3"/>
        <v>0</v>
      </c>
      <c r="AF32" s="14">
        <f t="shared" si="3"/>
        <v>0</v>
      </c>
      <c r="AG32" s="14">
        <f t="shared" si="3"/>
        <v>0</v>
      </c>
      <c r="AH32" s="14">
        <f t="shared" si="3"/>
        <v>0</v>
      </c>
      <c r="AI32" s="14">
        <f t="shared" si="3"/>
        <v>0</v>
      </c>
      <c r="AJ32" s="14">
        <f t="shared" si="3"/>
        <v>0</v>
      </c>
      <c r="AK32" s="14">
        <f t="shared" si="3"/>
        <v>0</v>
      </c>
      <c r="AL32" s="14">
        <f t="shared" si="3"/>
        <v>0</v>
      </c>
      <c r="AM32" s="14">
        <f t="shared" si="3"/>
        <v>0</v>
      </c>
      <c r="AN32" s="14">
        <f t="shared" si="3"/>
        <v>0</v>
      </c>
      <c r="AO32" s="14">
        <f t="shared" si="3"/>
        <v>0</v>
      </c>
      <c r="AP32" s="14">
        <f t="shared" si="3"/>
        <v>0</v>
      </c>
      <c r="AQ32" s="14">
        <f t="shared" si="3"/>
        <v>0</v>
      </c>
    </row>
    <row r="33" spans="6:82">
      <c r="F33" s="306" t="s">
        <v>1246</v>
      </c>
      <c r="G33" s="14">
        <f>SUM(H33:AQ33)</f>
        <v>108652.61971794587</v>
      </c>
      <c r="H33" s="14">
        <f>'CAPEX - Aquisições'!D17</f>
        <v>0</v>
      </c>
      <c r="I33" s="14">
        <f>'CAPEX - Aquisições'!E17</f>
        <v>0</v>
      </c>
      <c r="J33" s="14">
        <f>'CAPEX - Aquisições'!F17</f>
        <v>108652.61971794587</v>
      </c>
      <c r="K33" s="14">
        <f>'CAPEX - Aquisições'!G17</f>
        <v>0</v>
      </c>
      <c r="L33" s="14">
        <f>'CAPEX - Aquisições'!H17</f>
        <v>0</v>
      </c>
      <c r="M33" s="14">
        <f>'CAPEX - Aquisições'!I17</f>
        <v>0</v>
      </c>
      <c r="N33" s="14">
        <f>'CAPEX - Aquisições'!J17</f>
        <v>0</v>
      </c>
      <c r="O33" s="14">
        <f>'CAPEX - Aquisições'!K17</f>
        <v>0</v>
      </c>
      <c r="P33" s="14">
        <f>'CAPEX - Aquisições'!L17</f>
        <v>0</v>
      </c>
      <c r="Q33" s="14">
        <f>'CAPEX - Aquisições'!M17</f>
        <v>0</v>
      </c>
      <c r="R33" s="14">
        <f>'CAPEX - Aquisições'!N17</f>
        <v>0</v>
      </c>
      <c r="S33" s="14">
        <f>'CAPEX - Aquisições'!O17</f>
        <v>0</v>
      </c>
      <c r="T33" s="14">
        <f>'CAPEX - Aquisições'!P17</f>
        <v>0</v>
      </c>
      <c r="U33" s="14">
        <f>'CAPEX - Aquisições'!Q17</f>
        <v>0</v>
      </c>
      <c r="V33" s="14">
        <f>'CAPEX - Aquisições'!R17</f>
        <v>0</v>
      </c>
      <c r="W33" s="14">
        <f>'CAPEX - Aquisições'!S17</f>
        <v>0</v>
      </c>
      <c r="X33" s="14">
        <f>'CAPEX - Aquisições'!T17</f>
        <v>0</v>
      </c>
      <c r="Y33" s="14">
        <f>'CAPEX - Aquisições'!U17</f>
        <v>0</v>
      </c>
      <c r="Z33" s="14">
        <f>'CAPEX - Aquisições'!V17</f>
        <v>0</v>
      </c>
      <c r="AA33" s="14">
        <f>'CAPEX - Aquisições'!W17</f>
        <v>0</v>
      </c>
      <c r="AB33" s="14">
        <f>'CAPEX - Aquisições'!X17</f>
        <v>0</v>
      </c>
      <c r="AC33" s="14">
        <f>'CAPEX - Aquisições'!Y17</f>
        <v>0</v>
      </c>
      <c r="AD33" s="14">
        <f>'CAPEX - Aquisições'!Z17</f>
        <v>0</v>
      </c>
      <c r="AE33" s="14">
        <f>'CAPEX - Aquisições'!AA17</f>
        <v>0</v>
      </c>
      <c r="AF33" s="14">
        <f>'CAPEX - Aquisições'!AB17</f>
        <v>0</v>
      </c>
      <c r="AG33" s="14">
        <f>'CAPEX - Aquisições'!AC17</f>
        <v>0</v>
      </c>
      <c r="AH33" s="14">
        <f>'CAPEX - Aquisições'!AD17</f>
        <v>0</v>
      </c>
      <c r="AI33" s="14">
        <f>'CAPEX - Aquisições'!AE17</f>
        <v>0</v>
      </c>
      <c r="AJ33" s="14">
        <f>'CAPEX - Aquisições'!AF17</f>
        <v>0</v>
      </c>
      <c r="AK33" s="14">
        <f>'CAPEX - Aquisições'!AG17</f>
        <v>0</v>
      </c>
      <c r="AL33" s="14">
        <f>'CAPEX - Aquisições'!AH17</f>
        <v>0</v>
      </c>
      <c r="AM33" s="14">
        <f>'CAPEX - Aquisições'!AI17</f>
        <v>0</v>
      </c>
      <c r="AN33" s="14">
        <f>'CAPEX - Aquisições'!AJ17</f>
        <v>0</v>
      </c>
      <c r="AO33" s="14">
        <f>'CAPEX - Aquisições'!AK17</f>
        <v>0</v>
      </c>
      <c r="AP33" s="14">
        <f>'CAPEX - Aquisições'!AL17</f>
        <v>0</v>
      </c>
      <c r="AQ33" s="14">
        <f>'CAPEX - Aquisições'!AM17</f>
        <v>0</v>
      </c>
    </row>
    <row r="34" spans="6:82">
      <c r="F34" s="363" t="s">
        <v>1247</v>
      </c>
      <c r="G34" s="673">
        <f>SUM(H34:AQ34)</f>
        <v>16069.623368657294</v>
      </c>
      <c r="H34" s="673">
        <f>'CAPEX - Aquisições'!D18</f>
        <v>0</v>
      </c>
      <c r="I34" s="673">
        <f>'CAPEX - Aquisições'!E18</f>
        <v>0</v>
      </c>
      <c r="J34" s="673">
        <f>'CAPEX - Aquisições'!F18</f>
        <v>16069.623368657294</v>
      </c>
      <c r="K34" s="673">
        <f>'CAPEX - Aquisições'!G18</f>
        <v>0</v>
      </c>
      <c r="L34" s="673">
        <f>'CAPEX - Aquisições'!H18</f>
        <v>0</v>
      </c>
      <c r="M34" s="673">
        <f>'CAPEX - Aquisições'!I18</f>
        <v>0</v>
      </c>
      <c r="N34" s="673">
        <f>'CAPEX - Aquisições'!J18</f>
        <v>0</v>
      </c>
      <c r="O34" s="673">
        <f>'CAPEX - Aquisições'!K18</f>
        <v>0</v>
      </c>
      <c r="P34" s="673">
        <f>'CAPEX - Aquisições'!L18</f>
        <v>0</v>
      </c>
      <c r="Q34" s="673">
        <f>'CAPEX - Aquisições'!M18</f>
        <v>0</v>
      </c>
      <c r="R34" s="673">
        <f>'CAPEX - Aquisições'!N18</f>
        <v>0</v>
      </c>
      <c r="S34" s="673">
        <f>'CAPEX - Aquisições'!O18</f>
        <v>0</v>
      </c>
      <c r="T34" s="673">
        <f>'CAPEX - Aquisições'!P18</f>
        <v>0</v>
      </c>
      <c r="U34" s="673">
        <f>'CAPEX - Aquisições'!Q18</f>
        <v>0</v>
      </c>
      <c r="V34" s="673">
        <f>'CAPEX - Aquisições'!R18</f>
        <v>0</v>
      </c>
      <c r="W34" s="673">
        <f>'CAPEX - Aquisições'!S18</f>
        <v>0</v>
      </c>
      <c r="X34" s="673">
        <f>'CAPEX - Aquisições'!T18</f>
        <v>0</v>
      </c>
      <c r="Y34" s="673">
        <f>'CAPEX - Aquisições'!U18</f>
        <v>0</v>
      </c>
      <c r="Z34" s="673">
        <f>'CAPEX - Aquisições'!V18</f>
        <v>0</v>
      </c>
      <c r="AA34" s="673">
        <f>'CAPEX - Aquisições'!W18</f>
        <v>0</v>
      </c>
      <c r="AB34" s="673">
        <f>'CAPEX - Aquisições'!X18</f>
        <v>0</v>
      </c>
      <c r="AC34" s="673">
        <f>'CAPEX - Aquisições'!Y18</f>
        <v>0</v>
      </c>
      <c r="AD34" s="673">
        <f>'CAPEX - Aquisições'!Z18</f>
        <v>0</v>
      </c>
      <c r="AE34" s="673">
        <f>'CAPEX - Aquisições'!AA18</f>
        <v>0</v>
      </c>
      <c r="AF34" s="673">
        <f>'CAPEX - Aquisições'!AB18</f>
        <v>0</v>
      </c>
      <c r="AG34" s="673">
        <f>'CAPEX - Aquisições'!AC18</f>
        <v>0</v>
      </c>
      <c r="AH34" s="673">
        <f>'CAPEX - Aquisições'!AD18</f>
        <v>0</v>
      </c>
      <c r="AI34" s="673">
        <f>'CAPEX - Aquisições'!AE18</f>
        <v>0</v>
      </c>
      <c r="AJ34" s="673">
        <f>'CAPEX - Aquisições'!AF18</f>
        <v>0</v>
      </c>
      <c r="AK34" s="673">
        <f>'CAPEX - Aquisições'!AG18</f>
        <v>0</v>
      </c>
      <c r="AL34" s="673">
        <f>'CAPEX - Aquisições'!AH18</f>
        <v>0</v>
      </c>
      <c r="AM34" s="673">
        <f>'CAPEX - Aquisições'!AI18</f>
        <v>0</v>
      </c>
      <c r="AN34" s="673">
        <f>'CAPEX - Aquisições'!AJ18</f>
        <v>0</v>
      </c>
      <c r="AO34" s="673">
        <f>'CAPEX - Aquisições'!AK18</f>
        <v>0</v>
      </c>
      <c r="AP34" s="673">
        <f>'CAPEX - Aquisições'!AL18</f>
        <v>0</v>
      </c>
      <c r="AQ34" s="673">
        <f>'CAPEX - Aquisições'!AM18</f>
        <v>0</v>
      </c>
    </row>
    <row r="35" spans="6:82">
      <c r="F35" s="363" t="s">
        <v>479</v>
      </c>
      <c r="G35" s="672">
        <f t="shared" ref="G35:AQ35" si="4">SUM(G29:G34)</f>
        <v>7730103.7522124508</v>
      </c>
      <c r="H35" s="672">
        <f t="shared" si="4"/>
        <v>0</v>
      </c>
      <c r="I35" s="672">
        <f t="shared" si="4"/>
        <v>4061685.88</v>
      </c>
      <c r="J35" s="672">
        <f t="shared" si="4"/>
        <v>3668417.8722124505</v>
      </c>
      <c r="K35" s="672">
        <f t="shared" si="4"/>
        <v>0</v>
      </c>
      <c r="L35" s="672">
        <f t="shared" si="4"/>
        <v>0</v>
      </c>
      <c r="M35" s="672">
        <f t="shared" si="4"/>
        <v>0</v>
      </c>
      <c r="N35" s="672">
        <f t="shared" si="4"/>
        <v>0</v>
      </c>
      <c r="O35" s="672">
        <f t="shared" si="4"/>
        <v>0</v>
      </c>
      <c r="P35" s="672">
        <f t="shared" si="4"/>
        <v>0</v>
      </c>
      <c r="Q35" s="672">
        <f t="shared" si="4"/>
        <v>0</v>
      </c>
      <c r="R35" s="672">
        <f t="shared" si="4"/>
        <v>0</v>
      </c>
      <c r="S35" s="672">
        <f t="shared" si="4"/>
        <v>0</v>
      </c>
      <c r="T35" s="672">
        <f t="shared" si="4"/>
        <v>0</v>
      </c>
      <c r="U35" s="672">
        <f t="shared" si="4"/>
        <v>0</v>
      </c>
      <c r="V35" s="672">
        <f t="shared" si="4"/>
        <v>0</v>
      </c>
      <c r="W35" s="672">
        <f t="shared" si="4"/>
        <v>0</v>
      </c>
      <c r="X35" s="672">
        <f t="shared" si="4"/>
        <v>0</v>
      </c>
      <c r="Y35" s="672">
        <f t="shared" si="4"/>
        <v>0</v>
      </c>
      <c r="Z35" s="672">
        <f t="shared" si="4"/>
        <v>0</v>
      </c>
      <c r="AA35" s="672">
        <f t="shared" si="4"/>
        <v>0</v>
      </c>
      <c r="AB35" s="672">
        <f t="shared" si="4"/>
        <v>0</v>
      </c>
      <c r="AC35" s="672">
        <f t="shared" si="4"/>
        <v>0</v>
      </c>
      <c r="AD35" s="672">
        <f t="shared" si="4"/>
        <v>0</v>
      </c>
      <c r="AE35" s="672">
        <f t="shared" si="4"/>
        <v>0</v>
      </c>
      <c r="AF35" s="672">
        <f t="shared" si="4"/>
        <v>0</v>
      </c>
      <c r="AG35" s="672">
        <f t="shared" si="4"/>
        <v>0</v>
      </c>
      <c r="AH35" s="672">
        <f t="shared" si="4"/>
        <v>0</v>
      </c>
      <c r="AI35" s="672">
        <f t="shared" si="4"/>
        <v>0</v>
      </c>
      <c r="AJ35" s="672">
        <f t="shared" si="4"/>
        <v>0</v>
      </c>
      <c r="AK35" s="672">
        <f t="shared" si="4"/>
        <v>0</v>
      </c>
      <c r="AL35" s="672">
        <f t="shared" si="4"/>
        <v>0</v>
      </c>
      <c r="AM35" s="672">
        <f t="shared" si="4"/>
        <v>0</v>
      </c>
      <c r="AN35" s="672">
        <f t="shared" si="4"/>
        <v>0</v>
      </c>
      <c r="AO35" s="672">
        <f t="shared" si="4"/>
        <v>0</v>
      </c>
      <c r="AP35" s="672">
        <f t="shared" si="4"/>
        <v>0</v>
      </c>
      <c r="AQ35" s="672">
        <f t="shared" si="4"/>
        <v>0</v>
      </c>
    </row>
    <row r="36" spans="6:82">
      <c r="F36" s="306" t="s">
        <v>1254</v>
      </c>
      <c r="G36" s="629">
        <f>SUM(H36:AQ36)</f>
        <v>7730103.8133446369</v>
      </c>
      <c r="H36" s="14">
        <v>0</v>
      </c>
      <c r="I36" s="14">
        <f>I43+I84+I125+'CAPEX - Aquisições'!E132+'CAPEX - Aquisições'!E173+'CAPEX - Aquisições'!E213+'CAPEX - Aquisições'!E254+'CAPEX - Aquisições'!E311</f>
        <v>27142.857142450001</v>
      </c>
      <c r="J36" s="14">
        <f>J43+J84+J125+'CAPEX - Aquisições'!F132+'CAPEX - Aquisições'!F173+'CAPEX - Aquisições'!F213+'CAPEX - Aquisições'!F254+'CAPEX - Aquisições'!F311</f>
        <v>27142.857142450001</v>
      </c>
      <c r="K36" s="14">
        <f>K43+K84+K125+'CAPEX - Aquisições'!G132+'CAPEX - Aquisições'!G173+'CAPEX - Aquisições'!G213+'CAPEX - Aquisições'!G254+'CAPEX - Aquisições'!G311</f>
        <v>163590.72089717261</v>
      </c>
      <c r="L36" s="14">
        <f>L43+L84+L125+'CAPEX - Aquisições'!H132+'CAPEX - Aquisições'!H173+'CAPEX - Aquisições'!H213+'CAPEX - Aquisições'!H254+'CAPEX - Aquisições'!H311</f>
        <v>294362.35331573559</v>
      </c>
      <c r="M36" s="14">
        <f>M43+M84+M125+'CAPEX - Aquisições'!I132+'CAPEX - Aquisições'!I173+'CAPEX - Aquisições'!I213+'CAPEX - Aquisições'!I254+'CAPEX - Aquisições'!I311</f>
        <v>313609.04343045875</v>
      </c>
      <c r="N36" s="14">
        <f>N43+N84+N125+'CAPEX - Aquisições'!J132+'CAPEX - Aquisições'!J173+'CAPEX - Aquisições'!J213+'CAPEX - Aquisições'!J254+'CAPEX - Aquisições'!J311</f>
        <v>313609.04343045875</v>
      </c>
      <c r="O36" s="14">
        <f>O43+O84+O125+'CAPEX - Aquisições'!K132+'CAPEX - Aquisições'!K173+'CAPEX - Aquisições'!K213+'CAPEX - Aquisições'!K254+'CAPEX - Aquisições'!K311</f>
        <v>312549.37990835629</v>
      </c>
      <c r="P36" s="14">
        <f>P43+P84+P125+'CAPEX - Aquisições'!L132+'CAPEX - Aquisições'!L173+'CAPEX - Aquisições'!L213+'CAPEX - Aquisições'!L254+'CAPEX - Aquisições'!L311</f>
        <v>312549.37990835629</v>
      </c>
      <c r="Q36" s="14">
        <f>Q43+Q84+Q125+'CAPEX - Aquisições'!M132+'CAPEX - Aquisições'!M173+'CAPEX - Aquisições'!M213+'CAPEX - Aquisições'!M254+'CAPEX - Aquisições'!M311</f>
        <v>308611.93188025098</v>
      </c>
      <c r="R36" s="14">
        <f>R43+R84+R125+'CAPEX - Aquisições'!N132+'CAPEX - Aquisições'!N173+'CAPEX - Aquisições'!N213+'CAPEX - Aquisições'!N254+'CAPEX - Aquisições'!N311</f>
        <v>308611.93188025098</v>
      </c>
      <c r="S36" s="14">
        <f>S43+S84+S125+'CAPEX - Aquisições'!O132+'CAPEX - Aquisições'!O173+'CAPEX - Aquisições'!O213+'CAPEX - Aquisições'!O254+'CAPEX - Aquisições'!O311</f>
        <v>308611.93188025098</v>
      </c>
      <c r="T36" s="14">
        <f>T43+T84+T125+'CAPEX - Aquisições'!P132+'CAPEX - Aquisições'!P173+'CAPEX - Aquisições'!P213+'CAPEX - Aquisições'!P254+'CAPEX - Aquisições'!P311</f>
        <v>308611.93188025098</v>
      </c>
      <c r="U36" s="14">
        <f>U43+U84+U125+'CAPEX - Aquisições'!Q132+'CAPEX - Aquisições'!Q173+'CAPEX - Aquisições'!Q213+'CAPEX - Aquisições'!Q254+'CAPEX - Aquisições'!Q311</f>
        <v>308611.93188025098</v>
      </c>
      <c r="V36" s="14">
        <f>V43+V84+V125+'CAPEX - Aquisições'!R132+'CAPEX - Aquisições'!R173+'CAPEX - Aquisições'!R213+'CAPEX - Aquisições'!R254+'CAPEX - Aquisições'!R311</f>
        <v>296139.70757159067</v>
      </c>
      <c r="W36" s="14">
        <f>W43+W84+W125+'CAPEX - Aquisições'!S132+'CAPEX - Aquisições'!S173+'CAPEX - Aquisições'!S213+'CAPEX - Aquisições'!S254+'CAPEX - Aquisições'!S311</f>
        <v>296139.70757159067</v>
      </c>
      <c r="X36" s="14">
        <f>X43+X84+X125+'CAPEX - Aquisições'!T132+'CAPEX - Aquisições'!T173+'CAPEX - Aquisições'!T213+'CAPEX - Aquisições'!T254+'CAPEX - Aquisições'!T311</f>
        <v>296139.70757159067</v>
      </c>
      <c r="Y36" s="14">
        <f>Y43+Y84+Y125+'CAPEX - Aquisições'!U132+'CAPEX - Aquisições'!U173+'CAPEX - Aquisições'!U213+'CAPEX - Aquisições'!U254+'CAPEX - Aquisições'!U311</f>
        <v>296139.70757159067</v>
      </c>
      <c r="Z36" s="14">
        <f>Z43+Z84+Z125+'CAPEX - Aquisições'!V132+'CAPEX - Aquisições'!V173+'CAPEX - Aquisições'!V213+'CAPEX - Aquisições'!V254+'CAPEX - Aquisições'!V311</f>
        <v>296139.70757159067</v>
      </c>
      <c r="AA36" s="14">
        <f>AA43+AA84+AA125+'CAPEX - Aquisições'!W132+'CAPEX - Aquisições'!W173+'CAPEX - Aquisições'!W213+'CAPEX - Aquisições'!W254+'CAPEX - Aquisições'!W311</f>
        <v>295324.41765717318</v>
      </c>
      <c r="AB36" s="14">
        <f>AB43+AB84+AB125+'CAPEX - Aquisições'!X132+'CAPEX - Aquisições'!X173+'CAPEX - Aquisições'!X213+'CAPEX - Aquisições'!X254+'CAPEX - Aquisições'!X311</f>
        <v>295324.41765717318</v>
      </c>
      <c r="AC36" s="14">
        <f>AC43+AC84+AC125+'CAPEX - Aquisições'!Y132+'CAPEX - Aquisições'!Y173+'CAPEX - Aquisições'!Y213+'CAPEX - Aquisições'!Y254+'CAPEX - Aquisições'!Y311</f>
        <v>295324.41765717318</v>
      </c>
      <c r="AD36" s="14">
        <f>AD43+AD84+AD125+'CAPEX - Aquisições'!Z132+'CAPEX - Aquisições'!Z173+'CAPEX - Aquisições'!Z213+'CAPEX - Aquisições'!Z254+'CAPEX - Aquisições'!Z311</f>
        <v>295324.41765717318</v>
      </c>
      <c r="AE36" s="14">
        <f>AE43+AE84+AE125+'CAPEX - Aquisições'!AA132+'CAPEX - Aquisições'!AA173+'CAPEX - Aquisições'!AA213+'CAPEX - Aquisições'!AA254+'CAPEX - Aquisições'!AA311</f>
        <v>295324.41765717318</v>
      </c>
      <c r="AF36" s="14">
        <f>AF43+AF84+AF125+'CAPEX - Aquisições'!AB132+'CAPEX - Aquisições'!AB173+'CAPEX - Aquisições'!AB213+'CAPEX - Aquisições'!AB254+'CAPEX - Aquisições'!AB311</f>
        <v>295324.41765717318</v>
      </c>
      <c r="AG36" s="14">
        <f>AG43+AG84+AG125+'CAPEX - Aquisições'!AC132+'CAPEX - Aquisições'!AC173+'CAPEX - Aquisições'!AC213+'CAPEX - Aquisições'!AC254+'CAPEX - Aquisições'!AC311</f>
        <v>276077.72754245001</v>
      </c>
      <c r="AH36" s="14">
        <f>AH43+AH84+AH125+'CAPEX - Aquisições'!AD132+'CAPEX - Aquisições'!AD173+'CAPEX - Aquisições'!AD213+'CAPEX - Aquisições'!AD254+'CAPEX - Aquisições'!AD311</f>
        <v>276077.72754245001</v>
      </c>
      <c r="AI36" s="14">
        <f>AI43+AI84+AI125+'CAPEX - Aquisições'!AE132+'CAPEX - Aquisições'!AE173+'CAPEX - Aquisições'!AE213+'CAPEX - Aquisições'!AE254+'CAPEX - Aquisições'!AE311</f>
        <v>276077.72754245001</v>
      </c>
      <c r="AJ36" s="14">
        <f>AJ43+AJ84+AJ125+'CAPEX - Aquisições'!AF132+'CAPEX - Aquisições'!AF173+'CAPEX - Aquisições'!AF213+'CAPEX - Aquisições'!AF254+'CAPEX - Aquisições'!AF311</f>
        <v>151610.29234245</v>
      </c>
      <c r="AK36" s="14">
        <f>AK43+AK84+AK125+'CAPEX - Aquisições'!AG132+'CAPEX - Aquisições'!AG173+'CAPEX - Aquisições'!AG213+'CAPEX - Aquisições'!AG254+'CAPEX - Aquisições'!AG311</f>
        <v>27142.857142450001</v>
      </c>
      <c r="AL36" s="14">
        <f>AL43+AL84+AL125+'CAPEX - Aquisições'!AH132+'CAPEX - Aquisições'!AH173+'CAPEX - Aquisições'!AH213+'CAPEX - Aquisições'!AH254+'CAPEX - Aquisições'!AH311</f>
        <v>27142.857142450001</v>
      </c>
      <c r="AM36" s="14">
        <f>AM43+AM84+AM125+'CAPEX - Aquisições'!AI132+'CAPEX - Aquisições'!AI173+'CAPEX - Aquisições'!AI213+'CAPEX - Aquisições'!AI254+'CAPEX - Aquisições'!AI311</f>
        <v>27142.857142450001</v>
      </c>
      <c r="AN36" s="14">
        <f>AN43+AN84+AN125+'CAPEX - Aquisições'!AJ132+'CAPEX - Aquisições'!AJ173+'CAPEX - Aquisições'!AJ213+'CAPEX - Aquisições'!AJ254+'CAPEX - Aquisições'!AJ311</f>
        <v>27142.857142450001</v>
      </c>
      <c r="AO36" s="14">
        <f>AO43+AO84+AO125+'CAPEX - Aquisições'!AK132+'CAPEX - Aquisições'!AK173+'CAPEX - Aquisições'!AK213+'CAPEX - Aquisições'!AK254+'CAPEX - Aquisições'!AK311</f>
        <v>27142.857142450001</v>
      </c>
      <c r="AP36" s="14">
        <f>AP43+AP84+AP125+'CAPEX - Aquisições'!AL132+'CAPEX - Aquisições'!AL173+'CAPEX - Aquisições'!AL213+'CAPEX - Aquisições'!AL254+'CAPEX - Aquisições'!AL311</f>
        <v>27142.857142450001</v>
      </c>
      <c r="AQ36" s="14">
        <f>AQ43+AQ84+AQ125+'CAPEX - Aquisições'!AM132+'CAPEX - Aquisições'!AM173+'CAPEX - Aquisições'!AM213+'CAPEX - Aquisições'!AM254+'CAPEX - Aquisições'!AM311</f>
        <v>27142.857142450001</v>
      </c>
    </row>
    <row r="37" spans="6:82">
      <c r="G37" s="119"/>
      <c r="H37" s="352"/>
    </row>
    <row r="38" spans="6:82">
      <c r="G38" s="352">
        <f>G35-G36</f>
        <v>-6.1132186092436314E-2</v>
      </c>
      <c r="I38" s="119"/>
    </row>
    <row r="41" spans="6:82">
      <c r="F41" s="846" t="s">
        <v>1255</v>
      </c>
      <c r="G41" s="846"/>
    </row>
    <row r="42" spans="6:82">
      <c r="F42" s="846"/>
      <c r="G42" s="846"/>
      <c r="I42" s="49" t="s">
        <v>84</v>
      </c>
      <c r="J42" s="49" t="s">
        <v>86</v>
      </c>
      <c r="K42" s="49" t="s">
        <v>92</v>
      </c>
      <c r="L42" s="49" t="s">
        <v>93</v>
      </c>
      <c r="M42" s="49" t="s">
        <v>94</v>
      </c>
      <c r="N42" s="49" t="s">
        <v>95</v>
      </c>
      <c r="O42" s="49" t="s">
        <v>96</v>
      </c>
      <c r="P42" s="49" t="s">
        <v>97</v>
      </c>
      <c r="Q42" s="49" t="s">
        <v>98</v>
      </c>
      <c r="R42" s="49" t="s">
        <v>99</v>
      </c>
      <c r="S42" s="49" t="s">
        <v>100</v>
      </c>
      <c r="T42" s="49" t="s">
        <v>101</v>
      </c>
      <c r="U42" s="49" t="s">
        <v>102</v>
      </c>
      <c r="V42" s="49" t="s">
        <v>103</v>
      </c>
      <c r="W42" s="49" t="s">
        <v>104</v>
      </c>
      <c r="X42" s="49" t="s">
        <v>105</v>
      </c>
      <c r="Y42" s="49" t="s">
        <v>106</v>
      </c>
      <c r="Z42" s="49" t="s">
        <v>107</v>
      </c>
      <c r="AA42" s="49" t="s">
        <v>108</v>
      </c>
      <c r="AB42" s="49" t="s">
        <v>109</v>
      </c>
      <c r="AC42" s="49" t="s">
        <v>110</v>
      </c>
      <c r="AD42" s="49" t="s">
        <v>111</v>
      </c>
      <c r="AE42" s="49" t="s">
        <v>112</v>
      </c>
      <c r="AF42" s="49" t="s">
        <v>113</v>
      </c>
      <c r="AG42" s="49" t="s">
        <v>114</v>
      </c>
      <c r="AH42" s="49" t="s">
        <v>115</v>
      </c>
      <c r="AI42" s="49" t="s">
        <v>116</v>
      </c>
      <c r="AJ42" s="49" t="s">
        <v>117</v>
      </c>
      <c r="AK42" s="49" t="s">
        <v>118</v>
      </c>
      <c r="AL42" s="49" t="s">
        <v>119</v>
      </c>
      <c r="AM42" s="49" t="s">
        <v>120</v>
      </c>
      <c r="AN42" s="49" t="s">
        <v>121</v>
      </c>
      <c r="AO42" s="49" t="s">
        <v>122</v>
      </c>
      <c r="AP42" s="49" t="s">
        <v>123</v>
      </c>
      <c r="AQ42" s="49" t="s">
        <v>124</v>
      </c>
    </row>
    <row r="43" spans="6:82">
      <c r="F43" s="846"/>
      <c r="G43" s="846"/>
      <c r="I43" s="313">
        <f t="array" ref="I43:AQ43">TRANSPOSE(G45:G79)</f>
        <v>0</v>
      </c>
      <c r="J43" s="313">
        <v>0</v>
      </c>
      <c r="K43" s="313">
        <v>124467.43519999999</v>
      </c>
      <c r="L43" s="313">
        <v>248934.87039999999</v>
      </c>
      <c r="M43" s="313">
        <v>248934.87039999999</v>
      </c>
      <c r="N43" s="313">
        <v>248934.87039999999</v>
      </c>
      <c r="O43" s="313">
        <v>248934.87039999999</v>
      </c>
      <c r="P43" s="313">
        <v>248934.87039999999</v>
      </c>
      <c r="Q43" s="313">
        <v>248934.87039999999</v>
      </c>
      <c r="R43" s="313">
        <v>248934.87039999999</v>
      </c>
      <c r="S43" s="313">
        <v>248934.87039999999</v>
      </c>
      <c r="T43" s="313">
        <v>248934.87039999999</v>
      </c>
      <c r="U43" s="313">
        <v>248934.87039999999</v>
      </c>
      <c r="V43" s="313">
        <v>248934.87039999999</v>
      </c>
      <c r="W43" s="313">
        <v>248934.87039999999</v>
      </c>
      <c r="X43" s="313">
        <v>248934.87039999999</v>
      </c>
      <c r="Y43" s="313">
        <v>248934.87039999999</v>
      </c>
      <c r="Z43" s="313">
        <v>248934.87039999999</v>
      </c>
      <c r="AA43" s="313">
        <v>248934.87039999999</v>
      </c>
      <c r="AB43" s="313">
        <v>248934.87039999999</v>
      </c>
      <c r="AC43" s="313">
        <v>248934.87039999999</v>
      </c>
      <c r="AD43" s="313">
        <v>248934.87039999999</v>
      </c>
      <c r="AE43" s="313">
        <v>248934.87039999999</v>
      </c>
      <c r="AF43" s="313">
        <v>248934.87039999999</v>
      </c>
      <c r="AG43" s="313">
        <v>248934.87039999999</v>
      </c>
      <c r="AH43" s="313">
        <v>248934.87039999999</v>
      </c>
      <c r="AI43" s="313">
        <v>248934.87039999999</v>
      </c>
      <c r="AJ43" s="313">
        <v>124467.43519999999</v>
      </c>
      <c r="AK43" s="313">
        <v>0</v>
      </c>
      <c r="AL43" s="313">
        <v>0</v>
      </c>
      <c r="AM43" s="313">
        <v>0</v>
      </c>
      <c r="AN43" s="313">
        <v>0</v>
      </c>
      <c r="AO43" s="313">
        <v>0</v>
      </c>
      <c r="AP43" s="313">
        <v>0</v>
      </c>
      <c r="AQ43" s="313">
        <v>0</v>
      </c>
      <c r="AU43">
        <v>1</v>
      </c>
      <c r="AV43">
        <v>2</v>
      </c>
      <c r="AW43">
        <v>3</v>
      </c>
      <c r="AX43">
        <v>4</v>
      </c>
      <c r="AY43">
        <v>5</v>
      </c>
      <c r="AZ43">
        <v>6</v>
      </c>
      <c r="BA43">
        <v>7</v>
      </c>
      <c r="BB43">
        <v>8</v>
      </c>
      <c r="BC43">
        <v>9</v>
      </c>
      <c r="BD43">
        <v>10</v>
      </c>
      <c r="BE43">
        <v>11</v>
      </c>
      <c r="BF43">
        <v>12</v>
      </c>
      <c r="BG43">
        <v>13</v>
      </c>
      <c r="BH43">
        <v>14</v>
      </c>
      <c r="BI43">
        <v>15</v>
      </c>
      <c r="BJ43">
        <v>16</v>
      </c>
      <c r="BK43">
        <v>17</v>
      </c>
      <c r="BL43">
        <v>18</v>
      </c>
      <c r="BM43">
        <v>19</v>
      </c>
      <c r="BN43">
        <v>20</v>
      </c>
      <c r="BO43">
        <v>21</v>
      </c>
      <c r="BP43">
        <v>22</v>
      </c>
      <c r="BQ43">
        <v>23</v>
      </c>
      <c r="BR43">
        <v>24</v>
      </c>
      <c r="BS43">
        <v>25</v>
      </c>
      <c r="BT43">
        <v>26</v>
      </c>
      <c r="BU43">
        <v>27</v>
      </c>
      <c r="BV43">
        <v>28</v>
      </c>
      <c r="BW43">
        <v>29</v>
      </c>
      <c r="BX43">
        <v>30</v>
      </c>
      <c r="BY43">
        <v>31</v>
      </c>
      <c r="BZ43">
        <v>32</v>
      </c>
      <c r="CA43">
        <v>33</v>
      </c>
      <c r="CB43">
        <v>34</v>
      </c>
      <c r="CC43">
        <v>35</v>
      </c>
    </row>
    <row r="44" spans="6:82">
      <c r="AT44" t="s">
        <v>84</v>
      </c>
      <c r="AU44" s="419">
        <v>0</v>
      </c>
      <c r="AV44" s="419">
        <v>0</v>
      </c>
      <c r="AW44" s="419">
        <v>0</v>
      </c>
      <c r="AX44" s="419">
        <v>0</v>
      </c>
      <c r="AY44" s="419">
        <v>0</v>
      </c>
      <c r="AZ44" s="419">
        <v>0</v>
      </c>
      <c r="BA44" s="419">
        <v>0</v>
      </c>
      <c r="BB44" s="419">
        <v>0</v>
      </c>
      <c r="BC44" s="419">
        <v>0</v>
      </c>
      <c r="BD44" s="419">
        <v>0</v>
      </c>
      <c r="BE44" s="419">
        <v>0</v>
      </c>
      <c r="BF44" s="419">
        <v>0</v>
      </c>
      <c r="BG44" s="419">
        <v>0</v>
      </c>
      <c r="BH44" s="419">
        <v>0</v>
      </c>
      <c r="BI44" s="419">
        <v>0</v>
      </c>
      <c r="BJ44" s="419">
        <v>0</v>
      </c>
      <c r="BK44" s="419">
        <v>0</v>
      </c>
      <c r="BL44" s="419">
        <v>0</v>
      </c>
      <c r="BM44" s="419">
        <v>0</v>
      </c>
      <c r="BN44" s="419">
        <v>0</v>
      </c>
      <c r="BO44" s="419">
        <v>0</v>
      </c>
      <c r="BP44" s="419">
        <v>0</v>
      </c>
      <c r="BQ44" s="419">
        <v>0</v>
      </c>
      <c r="BR44" s="419">
        <v>0</v>
      </c>
      <c r="BS44" s="419">
        <v>0</v>
      </c>
      <c r="BT44" s="419">
        <v>0</v>
      </c>
      <c r="BU44" s="419">
        <v>0</v>
      </c>
      <c r="BV44" s="419">
        <v>0</v>
      </c>
      <c r="BW44" s="419">
        <v>0</v>
      </c>
      <c r="BX44" s="419">
        <v>0</v>
      </c>
      <c r="BY44" s="419">
        <v>0</v>
      </c>
      <c r="BZ44" s="419">
        <v>0</v>
      </c>
      <c r="CA44" s="419">
        <v>0</v>
      </c>
      <c r="CB44" s="419">
        <v>0</v>
      </c>
      <c r="CC44" s="419">
        <v>0</v>
      </c>
      <c r="CD44" s="63"/>
    </row>
    <row r="45" spans="6:82">
      <c r="F45" s="49" t="s">
        <v>84</v>
      </c>
      <c r="G45" s="285">
        <f t="shared" ref="G45:G79" si="5">SUM(I45:AQ45)</f>
        <v>0</v>
      </c>
      <c r="I45" s="285">
        <v>0</v>
      </c>
      <c r="J45" s="285">
        <v>0</v>
      </c>
      <c r="K45" s="285">
        <v>0</v>
      </c>
      <c r="L45" s="285">
        <v>0</v>
      </c>
      <c r="M45" s="285">
        <v>0</v>
      </c>
      <c r="N45" s="285">
        <v>0</v>
      </c>
      <c r="O45" s="285">
        <v>0</v>
      </c>
      <c r="P45" s="285">
        <v>0</v>
      </c>
      <c r="Q45" s="285">
        <v>0</v>
      </c>
      <c r="R45" s="285">
        <v>0</v>
      </c>
      <c r="S45" s="285">
        <v>0</v>
      </c>
      <c r="T45" s="285">
        <v>0</v>
      </c>
      <c r="U45" s="285">
        <v>0</v>
      </c>
      <c r="V45" s="285">
        <v>0</v>
      </c>
      <c r="W45" s="285">
        <v>0</v>
      </c>
      <c r="X45" s="285">
        <v>0</v>
      </c>
      <c r="Y45" s="285">
        <v>0</v>
      </c>
      <c r="Z45" s="285">
        <v>0</v>
      </c>
      <c r="AA45" s="285">
        <v>0</v>
      </c>
      <c r="AB45" s="285">
        <v>0</v>
      </c>
      <c r="AC45" s="285">
        <v>0</v>
      </c>
      <c r="AD45" s="285">
        <v>0</v>
      </c>
      <c r="AE45" s="285">
        <v>0</v>
      </c>
      <c r="AF45" s="285">
        <v>0</v>
      </c>
      <c r="AG45" s="285">
        <v>0</v>
      </c>
      <c r="AH45" s="285">
        <v>0</v>
      </c>
      <c r="AI45" s="285">
        <v>0</v>
      </c>
      <c r="AJ45" s="285">
        <v>0</v>
      </c>
      <c r="AK45" s="285">
        <v>0</v>
      </c>
      <c r="AL45" s="285">
        <v>0</v>
      </c>
      <c r="AM45" s="285">
        <v>0</v>
      </c>
      <c r="AN45" s="285">
        <v>0</v>
      </c>
      <c r="AO45" s="285">
        <v>0</v>
      </c>
      <c r="AP45" s="285">
        <v>0</v>
      </c>
      <c r="AQ45" s="285">
        <v>0</v>
      </c>
      <c r="AT45" t="s">
        <v>86</v>
      </c>
      <c r="AU45" s="419">
        <v>0</v>
      </c>
      <c r="AV45" s="419">
        <v>0</v>
      </c>
      <c r="AW45" s="419">
        <v>0</v>
      </c>
      <c r="AX45" s="419">
        <v>0</v>
      </c>
      <c r="AY45" s="419">
        <v>0</v>
      </c>
      <c r="AZ45" s="419">
        <v>0</v>
      </c>
      <c r="BA45" s="419">
        <v>0</v>
      </c>
      <c r="BB45" s="419">
        <v>0</v>
      </c>
      <c r="BC45" s="419">
        <v>0</v>
      </c>
      <c r="BD45" s="419">
        <v>0</v>
      </c>
      <c r="BE45" s="419">
        <v>0</v>
      </c>
      <c r="BF45" s="419">
        <v>0</v>
      </c>
      <c r="BG45" s="419">
        <v>0</v>
      </c>
      <c r="BH45" s="419">
        <v>0</v>
      </c>
      <c r="BI45" s="419">
        <v>0</v>
      </c>
      <c r="BJ45" s="419">
        <v>0</v>
      </c>
      <c r="BK45" s="419">
        <v>0</v>
      </c>
      <c r="BL45" s="419">
        <v>0</v>
      </c>
      <c r="BM45" s="419">
        <v>0</v>
      </c>
      <c r="BN45" s="419">
        <v>0</v>
      </c>
      <c r="BO45" s="419">
        <v>0</v>
      </c>
      <c r="BP45" s="419">
        <v>0</v>
      </c>
      <c r="BQ45" s="419">
        <v>0</v>
      </c>
      <c r="BR45" s="419">
        <v>0</v>
      </c>
      <c r="BS45" s="419">
        <v>0</v>
      </c>
      <c r="BT45" s="419">
        <v>0</v>
      </c>
      <c r="BU45" s="419">
        <v>0</v>
      </c>
      <c r="BV45" s="419">
        <v>0</v>
      </c>
      <c r="BW45" s="419">
        <v>0</v>
      </c>
      <c r="BX45" s="419">
        <v>0</v>
      </c>
      <c r="BY45" s="419">
        <v>0</v>
      </c>
      <c r="BZ45" s="419">
        <v>0</v>
      </c>
      <c r="CA45" s="419">
        <v>0</v>
      </c>
      <c r="CB45" s="419">
        <v>0</v>
      </c>
      <c r="CC45" s="419">
        <v>0</v>
      </c>
    </row>
    <row r="46" spans="6:82">
      <c r="F46" s="49" t="s">
        <v>86</v>
      </c>
      <c r="G46" s="285">
        <f t="shared" si="5"/>
        <v>0</v>
      </c>
      <c r="I46" s="285">
        <f t="shared" ref="I46:I79" si="6">I$29*AU45</f>
        <v>0</v>
      </c>
      <c r="J46" s="285">
        <f t="shared" ref="J46:J79" si="7">J$29*AV45</f>
        <v>0</v>
      </c>
      <c r="K46" s="285">
        <f t="shared" ref="K46:K79" si="8">K$29*AW45</f>
        <v>0</v>
      </c>
      <c r="L46" s="285">
        <f t="shared" ref="L46:L79" si="9">L$29*AX45</f>
        <v>0</v>
      </c>
      <c r="M46" s="285">
        <f t="shared" ref="M46:M79" si="10">M$29*AY45</f>
        <v>0</v>
      </c>
      <c r="N46" s="285">
        <f t="shared" ref="N46:N79" si="11">N$29*AZ45</f>
        <v>0</v>
      </c>
      <c r="O46" s="285">
        <f t="shared" ref="O46:O79" si="12">O$29*BA45</f>
        <v>0</v>
      </c>
      <c r="P46" s="285">
        <f t="shared" ref="P46:P79" si="13">P$29*BB45</f>
        <v>0</v>
      </c>
      <c r="Q46" s="285">
        <f t="shared" ref="Q46:Q79" si="14">Q$29*BC45</f>
        <v>0</v>
      </c>
      <c r="R46" s="285">
        <f t="shared" ref="R46:R79" si="15">R$29*BD45</f>
        <v>0</v>
      </c>
      <c r="S46" s="285">
        <f t="shared" ref="S46:S79" si="16">S$29*BE45</f>
        <v>0</v>
      </c>
      <c r="T46" s="285">
        <f t="shared" ref="T46:T79" si="17">T$29*BF45</f>
        <v>0</v>
      </c>
      <c r="U46" s="285">
        <f t="shared" ref="U46:U79" si="18">U$29*BG45</f>
        <v>0</v>
      </c>
      <c r="V46" s="285">
        <f t="shared" ref="V46:V79" si="19">V$29*BH45</f>
        <v>0</v>
      </c>
      <c r="W46" s="285">
        <f t="shared" ref="W46:W79" si="20">W$29*BI45</f>
        <v>0</v>
      </c>
      <c r="X46" s="285">
        <f t="shared" ref="X46:X79" si="21">X$29*BJ45</f>
        <v>0</v>
      </c>
      <c r="Y46" s="285">
        <f t="shared" ref="Y46:Y79" si="22">Y$29*BK45</f>
        <v>0</v>
      </c>
      <c r="Z46" s="285">
        <f t="shared" ref="Z46:Z79" si="23">Z$29*BL45</f>
        <v>0</v>
      </c>
      <c r="AA46" s="285">
        <f t="shared" ref="AA46:AA79" si="24">AA$29*BM45</f>
        <v>0</v>
      </c>
      <c r="AB46" s="285">
        <f t="shared" ref="AB46:AB79" si="25">AB$29*BN45</f>
        <v>0</v>
      </c>
      <c r="AC46" s="285">
        <f t="shared" ref="AC46:AC79" si="26">AC$29*BO45</f>
        <v>0</v>
      </c>
      <c r="AD46" s="285">
        <f t="shared" ref="AD46:AD79" si="27">AD$29*BP45</f>
        <v>0</v>
      </c>
      <c r="AE46" s="285">
        <f t="shared" ref="AE46:AE79" si="28">AE$29*BQ45</f>
        <v>0</v>
      </c>
      <c r="AF46" s="285">
        <f t="shared" ref="AF46:AF79" si="29">AF$29*BR45</f>
        <v>0</v>
      </c>
      <c r="AG46" s="285">
        <f t="shared" ref="AG46:AG79" si="30">AG$29*BS45</f>
        <v>0</v>
      </c>
      <c r="AH46" s="285">
        <f t="shared" ref="AH46:AH79" si="31">AH$29*BT45</f>
        <v>0</v>
      </c>
      <c r="AI46" s="285">
        <f t="shared" ref="AI46:AI79" si="32">AI$29*BU45</f>
        <v>0</v>
      </c>
      <c r="AJ46" s="285">
        <f t="shared" ref="AJ46:AJ79" si="33">AJ$29*BV45</f>
        <v>0</v>
      </c>
      <c r="AK46" s="285">
        <f t="shared" ref="AK46:AK79" si="34">AK$29*BW45</f>
        <v>0</v>
      </c>
      <c r="AL46" s="285">
        <f t="shared" ref="AL46:AL79" si="35">AL$29*BX45</f>
        <v>0</v>
      </c>
      <c r="AM46" s="285">
        <f t="shared" ref="AM46:AM79" si="36">AM$29*BY45</f>
        <v>0</v>
      </c>
      <c r="AN46" s="285">
        <f t="shared" ref="AN46:AN79" si="37">AN$29*BZ45</f>
        <v>0</v>
      </c>
      <c r="AO46" s="285">
        <f t="shared" ref="AO46:AO79" si="38">AO$29*CA45</f>
        <v>0</v>
      </c>
      <c r="AP46" s="285">
        <f t="shared" ref="AP46:AP79" si="39">AP$29*CB45</f>
        <v>0</v>
      </c>
      <c r="AQ46" s="285">
        <f t="shared" ref="AQ46:AQ79" si="40">AQ$29*CC45</f>
        <v>0</v>
      </c>
      <c r="AT46" t="s">
        <v>92</v>
      </c>
      <c r="AU46" s="419">
        <v>0.04</v>
      </c>
      <c r="AV46" s="419">
        <v>0</v>
      </c>
      <c r="AW46" s="419">
        <v>0</v>
      </c>
      <c r="AX46" s="419">
        <v>0</v>
      </c>
      <c r="AY46" s="419">
        <v>0</v>
      </c>
      <c r="AZ46" s="419">
        <v>0</v>
      </c>
      <c r="BA46" s="419">
        <v>0</v>
      </c>
      <c r="BB46" s="419">
        <v>0</v>
      </c>
      <c r="BC46" s="419">
        <v>0</v>
      </c>
      <c r="BD46" s="419">
        <v>0</v>
      </c>
      <c r="BE46" s="419">
        <v>0</v>
      </c>
      <c r="BF46" s="419">
        <v>0</v>
      </c>
      <c r="BG46" s="419">
        <v>0</v>
      </c>
      <c r="BH46" s="419">
        <v>0</v>
      </c>
      <c r="BI46" s="419">
        <v>0</v>
      </c>
      <c r="BJ46" s="419">
        <v>0</v>
      </c>
      <c r="BK46" s="419">
        <v>0</v>
      </c>
      <c r="BL46" s="419">
        <v>0</v>
      </c>
      <c r="BM46" s="419">
        <v>0</v>
      </c>
      <c r="BN46" s="419">
        <v>0</v>
      </c>
      <c r="BO46" s="419">
        <v>0</v>
      </c>
      <c r="BP46" s="419">
        <v>0</v>
      </c>
      <c r="BQ46" s="419">
        <v>0</v>
      </c>
      <c r="BR46" s="419">
        <v>0</v>
      </c>
      <c r="BS46" s="419">
        <v>0</v>
      </c>
      <c r="BT46" s="419">
        <v>0</v>
      </c>
      <c r="BU46" s="419">
        <v>0</v>
      </c>
      <c r="BV46" s="419">
        <v>0</v>
      </c>
      <c r="BW46" s="419">
        <v>0</v>
      </c>
      <c r="BX46" s="419">
        <v>0</v>
      </c>
      <c r="BY46" s="419">
        <v>0</v>
      </c>
      <c r="BZ46" s="419">
        <v>0</v>
      </c>
      <c r="CA46" s="419">
        <v>0</v>
      </c>
      <c r="CB46" s="419">
        <v>0</v>
      </c>
      <c r="CC46" s="419">
        <v>0</v>
      </c>
    </row>
    <row r="47" spans="6:82">
      <c r="F47" s="49" t="s">
        <v>92</v>
      </c>
      <c r="G47" s="285">
        <f t="shared" si="5"/>
        <v>124467.43519999999</v>
      </c>
      <c r="I47" s="285">
        <f t="shared" si="6"/>
        <v>124467.43519999999</v>
      </c>
      <c r="J47" s="285">
        <f t="shared" si="7"/>
        <v>0</v>
      </c>
      <c r="K47" s="285">
        <f t="shared" si="8"/>
        <v>0</v>
      </c>
      <c r="L47" s="285">
        <f t="shared" si="9"/>
        <v>0</v>
      </c>
      <c r="M47" s="285">
        <f t="shared" si="10"/>
        <v>0</v>
      </c>
      <c r="N47" s="285">
        <f t="shared" si="11"/>
        <v>0</v>
      </c>
      <c r="O47" s="285">
        <f t="shared" si="12"/>
        <v>0</v>
      </c>
      <c r="P47" s="285">
        <f t="shared" si="13"/>
        <v>0</v>
      </c>
      <c r="Q47" s="285">
        <f t="shared" si="14"/>
        <v>0</v>
      </c>
      <c r="R47" s="285">
        <f t="shared" si="15"/>
        <v>0</v>
      </c>
      <c r="S47" s="285">
        <f t="shared" si="16"/>
        <v>0</v>
      </c>
      <c r="T47" s="285">
        <f t="shared" si="17"/>
        <v>0</v>
      </c>
      <c r="U47" s="285">
        <f t="shared" si="18"/>
        <v>0</v>
      </c>
      <c r="V47" s="285">
        <f t="shared" si="19"/>
        <v>0</v>
      </c>
      <c r="W47" s="285">
        <f t="shared" si="20"/>
        <v>0</v>
      </c>
      <c r="X47" s="285">
        <f t="shared" si="21"/>
        <v>0</v>
      </c>
      <c r="Y47" s="285">
        <f t="shared" si="22"/>
        <v>0</v>
      </c>
      <c r="Z47" s="285">
        <f t="shared" si="23"/>
        <v>0</v>
      </c>
      <c r="AA47" s="285">
        <f t="shared" si="24"/>
        <v>0</v>
      </c>
      <c r="AB47" s="285">
        <f t="shared" si="25"/>
        <v>0</v>
      </c>
      <c r="AC47" s="285">
        <f t="shared" si="26"/>
        <v>0</v>
      </c>
      <c r="AD47" s="285">
        <f t="shared" si="27"/>
        <v>0</v>
      </c>
      <c r="AE47" s="285">
        <f t="shared" si="28"/>
        <v>0</v>
      </c>
      <c r="AF47" s="285">
        <f t="shared" si="29"/>
        <v>0</v>
      </c>
      <c r="AG47" s="285">
        <f t="shared" si="30"/>
        <v>0</v>
      </c>
      <c r="AH47" s="285">
        <f t="shared" si="31"/>
        <v>0</v>
      </c>
      <c r="AI47" s="285">
        <f t="shared" si="32"/>
        <v>0</v>
      </c>
      <c r="AJ47" s="285">
        <f t="shared" si="33"/>
        <v>0</v>
      </c>
      <c r="AK47" s="285">
        <f t="shared" si="34"/>
        <v>0</v>
      </c>
      <c r="AL47" s="285">
        <f t="shared" si="35"/>
        <v>0</v>
      </c>
      <c r="AM47" s="285">
        <f t="shared" si="36"/>
        <v>0</v>
      </c>
      <c r="AN47" s="285">
        <f t="shared" si="37"/>
        <v>0</v>
      </c>
      <c r="AO47" s="285">
        <f t="shared" si="38"/>
        <v>0</v>
      </c>
      <c r="AP47" s="285">
        <f t="shared" si="39"/>
        <v>0</v>
      </c>
      <c r="AQ47" s="285">
        <f t="shared" si="40"/>
        <v>0</v>
      </c>
      <c r="AT47" t="s">
        <v>93</v>
      </c>
      <c r="AU47" s="419">
        <v>0.04</v>
      </c>
      <c r="AV47" s="419">
        <v>0.04</v>
      </c>
      <c r="AW47" s="419">
        <v>0</v>
      </c>
      <c r="AX47" s="419">
        <v>0</v>
      </c>
      <c r="AY47" s="419">
        <v>0</v>
      </c>
      <c r="AZ47" s="419">
        <v>0</v>
      </c>
      <c r="BA47" s="419">
        <v>0</v>
      </c>
      <c r="BB47" s="419">
        <v>0</v>
      </c>
      <c r="BC47" s="419">
        <v>0</v>
      </c>
      <c r="BD47" s="419">
        <v>0</v>
      </c>
      <c r="BE47" s="419">
        <v>0</v>
      </c>
      <c r="BF47" s="419">
        <v>0</v>
      </c>
      <c r="BG47" s="419">
        <v>0</v>
      </c>
      <c r="BH47" s="419">
        <v>0</v>
      </c>
      <c r="BI47" s="419">
        <v>0</v>
      </c>
      <c r="BJ47" s="419">
        <v>0</v>
      </c>
      <c r="BK47" s="419">
        <v>0</v>
      </c>
      <c r="BL47" s="419">
        <v>0</v>
      </c>
      <c r="BM47" s="419">
        <v>0</v>
      </c>
      <c r="BN47" s="419">
        <v>0</v>
      </c>
      <c r="BO47" s="419">
        <v>0</v>
      </c>
      <c r="BP47" s="419">
        <v>0</v>
      </c>
      <c r="BQ47" s="419">
        <v>0</v>
      </c>
      <c r="BR47" s="419">
        <v>0</v>
      </c>
      <c r="BS47" s="419">
        <v>0</v>
      </c>
      <c r="BT47" s="419">
        <v>0</v>
      </c>
      <c r="BU47" s="419">
        <v>0</v>
      </c>
      <c r="BV47" s="419">
        <v>0</v>
      </c>
      <c r="BW47" s="419">
        <v>0</v>
      </c>
      <c r="BX47" s="419">
        <v>0</v>
      </c>
      <c r="BY47" s="419">
        <v>0</v>
      </c>
      <c r="BZ47" s="419">
        <v>0</v>
      </c>
      <c r="CA47" s="419">
        <v>0</v>
      </c>
      <c r="CB47" s="419">
        <v>0</v>
      </c>
      <c r="CC47" s="419">
        <v>0</v>
      </c>
    </row>
    <row r="48" spans="6:82">
      <c r="F48" s="49" t="s">
        <v>93</v>
      </c>
      <c r="G48" s="285">
        <f>SUM(I48:AQ48)</f>
        <v>248934.87039999999</v>
      </c>
      <c r="I48" s="285">
        <f t="shared" si="6"/>
        <v>124467.43519999999</v>
      </c>
      <c r="J48" s="285">
        <f>J$29*AV47</f>
        <v>124467.43519999999</v>
      </c>
      <c r="K48" s="285">
        <f t="shared" si="8"/>
        <v>0</v>
      </c>
      <c r="L48" s="285">
        <f t="shared" si="9"/>
        <v>0</v>
      </c>
      <c r="M48" s="285">
        <f t="shared" si="10"/>
        <v>0</v>
      </c>
      <c r="N48" s="285">
        <f t="shared" si="11"/>
        <v>0</v>
      </c>
      <c r="O48" s="285">
        <f t="shared" si="12"/>
        <v>0</v>
      </c>
      <c r="P48" s="285">
        <f t="shared" si="13"/>
        <v>0</v>
      </c>
      <c r="Q48" s="285">
        <f t="shared" si="14"/>
        <v>0</v>
      </c>
      <c r="R48" s="285">
        <f t="shared" si="15"/>
        <v>0</v>
      </c>
      <c r="S48" s="285">
        <f t="shared" si="16"/>
        <v>0</v>
      </c>
      <c r="T48" s="285">
        <f t="shared" si="17"/>
        <v>0</v>
      </c>
      <c r="U48" s="285">
        <f t="shared" si="18"/>
        <v>0</v>
      </c>
      <c r="V48" s="285">
        <f t="shared" si="19"/>
        <v>0</v>
      </c>
      <c r="W48" s="285">
        <f t="shared" si="20"/>
        <v>0</v>
      </c>
      <c r="X48" s="285">
        <f t="shared" si="21"/>
        <v>0</v>
      </c>
      <c r="Y48" s="285">
        <f t="shared" si="22"/>
        <v>0</v>
      </c>
      <c r="Z48" s="285">
        <f t="shared" si="23"/>
        <v>0</v>
      </c>
      <c r="AA48" s="285">
        <f t="shared" si="24"/>
        <v>0</v>
      </c>
      <c r="AB48" s="285">
        <f t="shared" si="25"/>
        <v>0</v>
      </c>
      <c r="AC48" s="285">
        <f t="shared" si="26"/>
        <v>0</v>
      </c>
      <c r="AD48" s="285">
        <f t="shared" si="27"/>
        <v>0</v>
      </c>
      <c r="AE48" s="285">
        <f t="shared" si="28"/>
        <v>0</v>
      </c>
      <c r="AF48" s="285">
        <f t="shared" si="29"/>
        <v>0</v>
      </c>
      <c r="AG48" s="285">
        <f t="shared" si="30"/>
        <v>0</v>
      </c>
      <c r="AH48" s="285">
        <f t="shared" si="31"/>
        <v>0</v>
      </c>
      <c r="AI48" s="285">
        <f t="shared" si="32"/>
        <v>0</v>
      </c>
      <c r="AJ48" s="285">
        <f t="shared" si="33"/>
        <v>0</v>
      </c>
      <c r="AK48" s="285">
        <f t="shared" si="34"/>
        <v>0</v>
      </c>
      <c r="AL48" s="285">
        <f t="shared" si="35"/>
        <v>0</v>
      </c>
      <c r="AM48" s="285">
        <f t="shared" si="36"/>
        <v>0</v>
      </c>
      <c r="AN48" s="285">
        <f t="shared" si="37"/>
        <v>0</v>
      </c>
      <c r="AO48" s="285">
        <f t="shared" si="38"/>
        <v>0</v>
      </c>
      <c r="AP48" s="285">
        <f t="shared" si="39"/>
        <v>0</v>
      </c>
      <c r="AQ48" s="285">
        <f t="shared" si="40"/>
        <v>0</v>
      </c>
      <c r="AT48" t="s">
        <v>94</v>
      </c>
      <c r="AU48" s="419">
        <v>0.04</v>
      </c>
      <c r="AV48" s="419">
        <v>0.04</v>
      </c>
      <c r="AW48" s="419">
        <v>0.04</v>
      </c>
      <c r="AX48" s="419">
        <v>0</v>
      </c>
      <c r="AY48" s="419">
        <v>0</v>
      </c>
      <c r="AZ48" s="419">
        <v>0</v>
      </c>
      <c r="BA48" s="419">
        <v>0</v>
      </c>
      <c r="BB48" s="419">
        <v>0</v>
      </c>
      <c r="BC48" s="419">
        <v>0</v>
      </c>
      <c r="BD48" s="419">
        <v>0</v>
      </c>
      <c r="BE48" s="419">
        <v>0</v>
      </c>
      <c r="BF48" s="419">
        <v>0</v>
      </c>
      <c r="BG48" s="419">
        <v>0</v>
      </c>
      <c r="BH48" s="419">
        <v>0</v>
      </c>
      <c r="BI48" s="419">
        <v>0</v>
      </c>
      <c r="BJ48" s="419">
        <v>0</v>
      </c>
      <c r="BK48" s="419">
        <v>0</v>
      </c>
      <c r="BL48" s="419">
        <v>0</v>
      </c>
      <c r="BM48" s="419">
        <v>0</v>
      </c>
      <c r="BN48" s="419">
        <v>0</v>
      </c>
      <c r="BO48" s="419">
        <v>0</v>
      </c>
      <c r="BP48" s="419">
        <v>0</v>
      </c>
      <c r="BQ48" s="419">
        <v>0</v>
      </c>
      <c r="BR48" s="419">
        <v>0</v>
      </c>
      <c r="BS48" s="419">
        <v>0</v>
      </c>
      <c r="BT48" s="419">
        <v>0</v>
      </c>
      <c r="BU48" s="419">
        <v>0</v>
      </c>
      <c r="BV48" s="419">
        <v>0</v>
      </c>
      <c r="BW48" s="419">
        <v>0</v>
      </c>
      <c r="BX48" s="419">
        <v>0</v>
      </c>
      <c r="BY48" s="419">
        <v>0</v>
      </c>
      <c r="BZ48" s="419">
        <v>0</v>
      </c>
      <c r="CA48" s="419">
        <v>0</v>
      </c>
      <c r="CB48" s="419">
        <v>0</v>
      </c>
      <c r="CC48" s="419">
        <v>0</v>
      </c>
    </row>
    <row r="49" spans="6:81">
      <c r="F49" s="49" t="s">
        <v>94</v>
      </c>
      <c r="G49" s="285">
        <f t="shared" si="5"/>
        <v>248934.87039999999</v>
      </c>
      <c r="I49" s="285">
        <f t="shared" si="6"/>
        <v>124467.43519999999</v>
      </c>
      <c r="J49" s="285">
        <f t="shared" si="7"/>
        <v>124467.43519999999</v>
      </c>
      <c r="K49" s="285">
        <f t="shared" si="8"/>
        <v>0</v>
      </c>
      <c r="L49" s="285">
        <f t="shared" si="9"/>
        <v>0</v>
      </c>
      <c r="M49" s="285">
        <f t="shared" si="10"/>
        <v>0</v>
      </c>
      <c r="N49" s="285">
        <f t="shared" si="11"/>
        <v>0</v>
      </c>
      <c r="O49" s="285">
        <f t="shared" si="12"/>
        <v>0</v>
      </c>
      <c r="P49" s="285">
        <f t="shared" si="13"/>
        <v>0</v>
      </c>
      <c r="Q49" s="285">
        <f t="shared" si="14"/>
        <v>0</v>
      </c>
      <c r="R49" s="285">
        <f t="shared" si="15"/>
        <v>0</v>
      </c>
      <c r="S49" s="285">
        <f t="shared" si="16"/>
        <v>0</v>
      </c>
      <c r="T49" s="285">
        <f t="shared" si="17"/>
        <v>0</v>
      </c>
      <c r="U49" s="285">
        <f t="shared" si="18"/>
        <v>0</v>
      </c>
      <c r="V49" s="285">
        <f t="shared" si="19"/>
        <v>0</v>
      </c>
      <c r="W49" s="285">
        <f t="shared" si="20"/>
        <v>0</v>
      </c>
      <c r="X49" s="285">
        <f t="shared" si="21"/>
        <v>0</v>
      </c>
      <c r="Y49" s="285">
        <f t="shared" si="22"/>
        <v>0</v>
      </c>
      <c r="Z49" s="285">
        <f t="shared" si="23"/>
        <v>0</v>
      </c>
      <c r="AA49" s="285">
        <f t="shared" si="24"/>
        <v>0</v>
      </c>
      <c r="AB49" s="285">
        <f t="shared" si="25"/>
        <v>0</v>
      </c>
      <c r="AC49" s="285">
        <f t="shared" si="26"/>
        <v>0</v>
      </c>
      <c r="AD49" s="285">
        <f t="shared" si="27"/>
        <v>0</v>
      </c>
      <c r="AE49" s="285">
        <f t="shared" si="28"/>
        <v>0</v>
      </c>
      <c r="AF49" s="285">
        <f t="shared" si="29"/>
        <v>0</v>
      </c>
      <c r="AG49" s="285">
        <f t="shared" si="30"/>
        <v>0</v>
      </c>
      <c r="AH49" s="285">
        <f t="shared" si="31"/>
        <v>0</v>
      </c>
      <c r="AI49" s="285">
        <f t="shared" si="32"/>
        <v>0</v>
      </c>
      <c r="AJ49" s="285">
        <f t="shared" si="33"/>
        <v>0</v>
      </c>
      <c r="AK49" s="285">
        <f t="shared" si="34"/>
        <v>0</v>
      </c>
      <c r="AL49" s="285">
        <f t="shared" si="35"/>
        <v>0</v>
      </c>
      <c r="AM49" s="285">
        <f t="shared" si="36"/>
        <v>0</v>
      </c>
      <c r="AN49" s="285">
        <f t="shared" si="37"/>
        <v>0</v>
      </c>
      <c r="AO49" s="285">
        <f t="shared" si="38"/>
        <v>0</v>
      </c>
      <c r="AP49" s="285">
        <f t="shared" si="39"/>
        <v>0</v>
      </c>
      <c r="AQ49" s="285">
        <f t="shared" si="40"/>
        <v>0</v>
      </c>
      <c r="AT49" t="s">
        <v>95</v>
      </c>
      <c r="AU49" s="419">
        <v>0.04</v>
      </c>
      <c r="AV49" s="419">
        <v>0.04</v>
      </c>
      <c r="AW49" s="419">
        <v>0.04</v>
      </c>
      <c r="AX49" s="419">
        <v>0.04</v>
      </c>
      <c r="AY49" s="419">
        <v>0</v>
      </c>
      <c r="AZ49" s="419">
        <v>0</v>
      </c>
      <c r="BA49" s="419">
        <v>0</v>
      </c>
      <c r="BB49" s="419">
        <v>0</v>
      </c>
      <c r="BC49" s="419">
        <v>0</v>
      </c>
      <c r="BD49" s="419">
        <v>0</v>
      </c>
      <c r="BE49" s="419">
        <v>0</v>
      </c>
      <c r="BF49" s="419">
        <v>0</v>
      </c>
      <c r="BG49" s="419">
        <v>0</v>
      </c>
      <c r="BH49" s="419">
        <v>0</v>
      </c>
      <c r="BI49" s="419">
        <v>0</v>
      </c>
      <c r="BJ49" s="419">
        <v>0</v>
      </c>
      <c r="BK49" s="419">
        <v>0</v>
      </c>
      <c r="BL49" s="419">
        <v>0</v>
      </c>
      <c r="BM49" s="419">
        <v>0</v>
      </c>
      <c r="BN49" s="419">
        <v>0</v>
      </c>
      <c r="BO49" s="419">
        <v>0</v>
      </c>
      <c r="BP49" s="419">
        <v>0</v>
      </c>
      <c r="BQ49" s="419">
        <v>0</v>
      </c>
      <c r="BR49" s="419">
        <v>0</v>
      </c>
      <c r="BS49" s="419">
        <v>0</v>
      </c>
      <c r="BT49" s="419">
        <v>0</v>
      </c>
      <c r="BU49" s="419">
        <v>0</v>
      </c>
      <c r="BV49" s="419">
        <v>0</v>
      </c>
      <c r="BW49" s="419">
        <v>0</v>
      </c>
      <c r="BX49" s="419">
        <v>0</v>
      </c>
      <c r="BY49" s="419">
        <v>0</v>
      </c>
      <c r="BZ49" s="419">
        <v>0</v>
      </c>
      <c r="CA49" s="419">
        <v>0</v>
      </c>
      <c r="CB49" s="419">
        <v>0</v>
      </c>
      <c r="CC49" s="419">
        <v>0</v>
      </c>
    </row>
    <row r="50" spans="6:81">
      <c r="F50" s="49" t="s">
        <v>95</v>
      </c>
      <c r="G50" s="285">
        <f t="shared" si="5"/>
        <v>248934.87039999999</v>
      </c>
      <c r="I50" s="285">
        <f t="shared" si="6"/>
        <v>124467.43519999999</v>
      </c>
      <c r="J50" s="285">
        <f t="shared" si="7"/>
        <v>124467.43519999999</v>
      </c>
      <c r="K50" s="285">
        <f t="shared" si="8"/>
        <v>0</v>
      </c>
      <c r="L50" s="285">
        <f t="shared" si="9"/>
        <v>0</v>
      </c>
      <c r="M50" s="285">
        <f t="shared" si="10"/>
        <v>0</v>
      </c>
      <c r="N50" s="285">
        <f t="shared" si="11"/>
        <v>0</v>
      </c>
      <c r="O50" s="285">
        <f t="shared" si="12"/>
        <v>0</v>
      </c>
      <c r="P50" s="285">
        <f t="shared" si="13"/>
        <v>0</v>
      </c>
      <c r="Q50" s="285">
        <f t="shared" si="14"/>
        <v>0</v>
      </c>
      <c r="R50" s="285">
        <f t="shared" si="15"/>
        <v>0</v>
      </c>
      <c r="S50" s="285">
        <f t="shared" si="16"/>
        <v>0</v>
      </c>
      <c r="T50" s="285">
        <f t="shared" si="17"/>
        <v>0</v>
      </c>
      <c r="U50" s="285">
        <f t="shared" si="18"/>
        <v>0</v>
      </c>
      <c r="V50" s="285">
        <f t="shared" si="19"/>
        <v>0</v>
      </c>
      <c r="W50" s="285">
        <f t="shared" si="20"/>
        <v>0</v>
      </c>
      <c r="X50" s="285">
        <f t="shared" si="21"/>
        <v>0</v>
      </c>
      <c r="Y50" s="285">
        <f t="shared" si="22"/>
        <v>0</v>
      </c>
      <c r="Z50" s="285">
        <f t="shared" si="23"/>
        <v>0</v>
      </c>
      <c r="AA50" s="285">
        <f t="shared" si="24"/>
        <v>0</v>
      </c>
      <c r="AB50" s="285">
        <f t="shared" si="25"/>
        <v>0</v>
      </c>
      <c r="AC50" s="285">
        <f t="shared" si="26"/>
        <v>0</v>
      </c>
      <c r="AD50" s="285">
        <f t="shared" si="27"/>
        <v>0</v>
      </c>
      <c r="AE50" s="285">
        <f t="shared" si="28"/>
        <v>0</v>
      </c>
      <c r="AF50" s="285">
        <f t="shared" si="29"/>
        <v>0</v>
      </c>
      <c r="AG50" s="285">
        <f t="shared" si="30"/>
        <v>0</v>
      </c>
      <c r="AH50" s="285">
        <f t="shared" si="31"/>
        <v>0</v>
      </c>
      <c r="AI50" s="285">
        <f t="shared" si="32"/>
        <v>0</v>
      </c>
      <c r="AJ50" s="285">
        <f t="shared" si="33"/>
        <v>0</v>
      </c>
      <c r="AK50" s="285">
        <f t="shared" si="34"/>
        <v>0</v>
      </c>
      <c r="AL50" s="285">
        <f t="shared" si="35"/>
        <v>0</v>
      </c>
      <c r="AM50" s="285">
        <f t="shared" si="36"/>
        <v>0</v>
      </c>
      <c r="AN50" s="285">
        <f t="shared" si="37"/>
        <v>0</v>
      </c>
      <c r="AO50" s="285">
        <f t="shared" si="38"/>
        <v>0</v>
      </c>
      <c r="AP50" s="285">
        <f t="shared" si="39"/>
        <v>0</v>
      </c>
      <c r="AQ50" s="285">
        <f t="shared" si="40"/>
        <v>0</v>
      </c>
      <c r="AT50" t="s">
        <v>96</v>
      </c>
      <c r="AU50" s="419">
        <v>0.04</v>
      </c>
      <c r="AV50" s="419">
        <v>0.04</v>
      </c>
      <c r="AW50" s="419">
        <v>0.04</v>
      </c>
      <c r="AX50" s="419">
        <v>0.04</v>
      </c>
      <c r="AY50" s="419">
        <v>0.04</v>
      </c>
      <c r="AZ50" s="419">
        <v>0</v>
      </c>
      <c r="BA50" s="419">
        <v>0</v>
      </c>
      <c r="BB50" s="419">
        <v>0</v>
      </c>
      <c r="BC50" s="419">
        <v>0</v>
      </c>
      <c r="BD50" s="419">
        <v>0</v>
      </c>
      <c r="BE50" s="419">
        <v>0</v>
      </c>
      <c r="BF50" s="419">
        <v>0</v>
      </c>
      <c r="BG50" s="419">
        <v>0</v>
      </c>
      <c r="BH50" s="419">
        <v>0</v>
      </c>
      <c r="BI50" s="419">
        <v>0</v>
      </c>
      <c r="BJ50" s="419">
        <v>0</v>
      </c>
      <c r="BK50" s="419">
        <v>0</v>
      </c>
      <c r="BL50" s="419">
        <v>0</v>
      </c>
      <c r="BM50" s="419">
        <v>0</v>
      </c>
      <c r="BN50" s="419">
        <v>0</v>
      </c>
      <c r="BO50" s="419">
        <v>0</v>
      </c>
      <c r="BP50" s="419">
        <v>0</v>
      </c>
      <c r="BQ50" s="419">
        <v>0</v>
      </c>
      <c r="BR50" s="419">
        <v>0</v>
      </c>
      <c r="BS50" s="419">
        <v>0</v>
      </c>
      <c r="BT50" s="419">
        <v>0</v>
      </c>
      <c r="BU50" s="419">
        <v>0</v>
      </c>
      <c r="BV50" s="419">
        <v>0</v>
      </c>
      <c r="BW50" s="419">
        <v>0</v>
      </c>
      <c r="BX50" s="419">
        <v>0</v>
      </c>
      <c r="BY50" s="419">
        <v>0</v>
      </c>
      <c r="BZ50" s="419">
        <v>0</v>
      </c>
      <c r="CA50" s="419">
        <v>0</v>
      </c>
      <c r="CB50" s="419">
        <v>0</v>
      </c>
      <c r="CC50" s="419">
        <v>0</v>
      </c>
    </row>
    <row r="51" spans="6:81">
      <c r="F51" s="49" t="s">
        <v>96</v>
      </c>
      <c r="G51" s="285">
        <f t="shared" si="5"/>
        <v>248934.87039999999</v>
      </c>
      <c r="I51" s="285">
        <f t="shared" si="6"/>
        <v>124467.43519999999</v>
      </c>
      <c r="J51" s="285">
        <f t="shared" si="7"/>
        <v>124467.43519999999</v>
      </c>
      <c r="K51" s="285">
        <f t="shared" si="8"/>
        <v>0</v>
      </c>
      <c r="L51" s="285">
        <f t="shared" si="9"/>
        <v>0</v>
      </c>
      <c r="M51" s="285">
        <f t="shared" si="10"/>
        <v>0</v>
      </c>
      <c r="N51" s="285">
        <f t="shared" si="11"/>
        <v>0</v>
      </c>
      <c r="O51" s="285">
        <f t="shared" si="12"/>
        <v>0</v>
      </c>
      <c r="P51" s="285">
        <f t="shared" si="13"/>
        <v>0</v>
      </c>
      <c r="Q51" s="285">
        <f t="shared" si="14"/>
        <v>0</v>
      </c>
      <c r="R51" s="285">
        <f t="shared" si="15"/>
        <v>0</v>
      </c>
      <c r="S51" s="285">
        <f t="shared" si="16"/>
        <v>0</v>
      </c>
      <c r="T51" s="285">
        <f t="shared" si="17"/>
        <v>0</v>
      </c>
      <c r="U51" s="285">
        <f t="shared" si="18"/>
        <v>0</v>
      </c>
      <c r="V51" s="285">
        <f t="shared" si="19"/>
        <v>0</v>
      </c>
      <c r="W51" s="285">
        <f t="shared" si="20"/>
        <v>0</v>
      </c>
      <c r="X51" s="285">
        <f t="shared" si="21"/>
        <v>0</v>
      </c>
      <c r="Y51" s="285">
        <f t="shared" si="22"/>
        <v>0</v>
      </c>
      <c r="Z51" s="285">
        <f t="shared" si="23"/>
        <v>0</v>
      </c>
      <c r="AA51" s="285">
        <f t="shared" si="24"/>
        <v>0</v>
      </c>
      <c r="AB51" s="285">
        <f t="shared" si="25"/>
        <v>0</v>
      </c>
      <c r="AC51" s="285">
        <f t="shared" si="26"/>
        <v>0</v>
      </c>
      <c r="AD51" s="285">
        <f t="shared" si="27"/>
        <v>0</v>
      </c>
      <c r="AE51" s="285">
        <f t="shared" si="28"/>
        <v>0</v>
      </c>
      <c r="AF51" s="285">
        <f t="shared" si="29"/>
        <v>0</v>
      </c>
      <c r="AG51" s="285">
        <f t="shared" si="30"/>
        <v>0</v>
      </c>
      <c r="AH51" s="285">
        <f t="shared" si="31"/>
        <v>0</v>
      </c>
      <c r="AI51" s="285">
        <f t="shared" si="32"/>
        <v>0</v>
      </c>
      <c r="AJ51" s="285">
        <f t="shared" si="33"/>
        <v>0</v>
      </c>
      <c r="AK51" s="285">
        <f t="shared" si="34"/>
        <v>0</v>
      </c>
      <c r="AL51" s="285">
        <f t="shared" si="35"/>
        <v>0</v>
      </c>
      <c r="AM51" s="285">
        <f t="shared" si="36"/>
        <v>0</v>
      </c>
      <c r="AN51" s="285">
        <f t="shared" si="37"/>
        <v>0</v>
      </c>
      <c r="AO51" s="285">
        <f t="shared" si="38"/>
        <v>0</v>
      </c>
      <c r="AP51" s="285">
        <f t="shared" si="39"/>
        <v>0</v>
      </c>
      <c r="AQ51" s="285">
        <f t="shared" si="40"/>
        <v>0</v>
      </c>
      <c r="AT51" t="s">
        <v>97</v>
      </c>
      <c r="AU51" s="419">
        <v>0.04</v>
      </c>
      <c r="AV51" s="419">
        <v>0.04</v>
      </c>
      <c r="AW51" s="419">
        <v>0.04</v>
      </c>
      <c r="AX51" s="419">
        <v>0.04</v>
      </c>
      <c r="AY51" s="419">
        <v>0.04</v>
      </c>
      <c r="AZ51" s="419">
        <v>0.04</v>
      </c>
      <c r="BA51" s="419">
        <v>0</v>
      </c>
      <c r="BB51" s="419">
        <v>0</v>
      </c>
      <c r="BC51" s="419">
        <v>0</v>
      </c>
      <c r="BD51" s="419">
        <v>0</v>
      </c>
      <c r="BE51" s="419">
        <v>0</v>
      </c>
      <c r="BF51" s="419">
        <v>0</v>
      </c>
      <c r="BG51" s="419">
        <v>0</v>
      </c>
      <c r="BH51" s="419">
        <v>0</v>
      </c>
      <c r="BI51" s="419">
        <v>0</v>
      </c>
      <c r="BJ51" s="419">
        <v>0</v>
      </c>
      <c r="BK51" s="419">
        <v>0</v>
      </c>
      <c r="BL51" s="419">
        <v>0</v>
      </c>
      <c r="BM51" s="419">
        <v>0</v>
      </c>
      <c r="BN51" s="419">
        <v>0</v>
      </c>
      <c r="BO51" s="419">
        <v>0</v>
      </c>
      <c r="BP51" s="419">
        <v>0</v>
      </c>
      <c r="BQ51" s="419">
        <v>0</v>
      </c>
      <c r="BR51" s="419">
        <v>0</v>
      </c>
      <c r="BS51" s="419">
        <v>0</v>
      </c>
      <c r="BT51" s="419">
        <v>0</v>
      </c>
      <c r="BU51" s="419">
        <v>0</v>
      </c>
      <c r="BV51" s="419">
        <v>0</v>
      </c>
      <c r="BW51" s="419">
        <v>0</v>
      </c>
      <c r="BX51" s="419">
        <v>0</v>
      </c>
      <c r="BY51" s="419">
        <v>0</v>
      </c>
      <c r="BZ51" s="419">
        <v>0</v>
      </c>
      <c r="CA51" s="419">
        <v>0</v>
      </c>
      <c r="CB51" s="419">
        <v>0</v>
      </c>
      <c r="CC51" s="419">
        <v>0</v>
      </c>
    </row>
    <row r="52" spans="6:81">
      <c r="F52" s="49" t="s">
        <v>97</v>
      </c>
      <c r="G52" s="285">
        <f t="shared" si="5"/>
        <v>248934.87039999999</v>
      </c>
      <c r="I52" s="285">
        <f t="shared" si="6"/>
        <v>124467.43519999999</v>
      </c>
      <c r="J52" s="285">
        <f t="shared" si="7"/>
        <v>124467.43519999999</v>
      </c>
      <c r="K52" s="285">
        <f t="shared" si="8"/>
        <v>0</v>
      </c>
      <c r="L52" s="285">
        <f t="shared" si="9"/>
        <v>0</v>
      </c>
      <c r="M52" s="285">
        <f t="shared" si="10"/>
        <v>0</v>
      </c>
      <c r="N52" s="285">
        <f t="shared" si="11"/>
        <v>0</v>
      </c>
      <c r="O52" s="285">
        <f t="shared" si="12"/>
        <v>0</v>
      </c>
      <c r="P52" s="285">
        <f t="shared" si="13"/>
        <v>0</v>
      </c>
      <c r="Q52" s="285">
        <f t="shared" si="14"/>
        <v>0</v>
      </c>
      <c r="R52" s="285">
        <f t="shared" si="15"/>
        <v>0</v>
      </c>
      <c r="S52" s="285">
        <f t="shared" si="16"/>
        <v>0</v>
      </c>
      <c r="T52" s="285">
        <f t="shared" si="17"/>
        <v>0</v>
      </c>
      <c r="U52" s="285">
        <f t="shared" si="18"/>
        <v>0</v>
      </c>
      <c r="V52" s="285">
        <f t="shared" si="19"/>
        <v>0</v>
      </c>
      <c r="W52" s="285">
        <f t="shared" si="20"/>
        <v>0</v>
      </c>
      <c r="X52" s="285">
        <f t="shared" si="21"/>
        <v>0</v>
      </c>
      <c r="Y52" s="285">
        <f t="shared" si="22"/>
        <v>0</v>
      </c>
      <c r="Z52" s="285">
        <f t="shared" si="23"/>
        <v>0</v>
      </c>
      <c r="AA52" s="285">
        <f t="shared" si="24"/>
        <v>0</v>
      </c>
      <c r="AB52" s="285">
        <f t="shared" si="25"/>
        <v>0</v>
      </c>
      <c r="AC52" s="285">
        <f t="shared" si="26"/>
        <v>0</v>
      </c>
      <c r="AD52" s="285">
        <f t="shared" si="27"/>
        <v>0</v>
      </c>
      <c r="AE52" s="285">
        <f t="shared" si="28"/>
        <v>0</v>
      </c>
      <c r="AF52" s="285">
        <f t="shared" si="29"/>
        <v>0</v>
      </c>
      <c r="AG52" s="285">
        <f t="shared" si="30"/>
        <v>0</v>
      </c>
      <c r="AH52" s="285">
        <f t="shared" si="31"/>
        <v>0</v>
      </c>
      <c r="AI52" s="285">
        <f t="shared" si="32"/>
        <v>0</v>
      </c>
      <c r="AJ52" s="285">
        <f t="shared" si="33"/>
        <v>0</v>
      </c>
      <c r="AK52" s="285">
        <f t="shared" si="34"/>
        <v>0</v>
      </c>
      <c r="AL52" s="285">
        <f t="shared" si="35"/>
        <v>0</v>
      </c>
      <c r="AM52" s="285">
        <f t="shared" si="36"/>
        <v>0</v>
      </c>
      <c r="AN52" s="285">
        <f t="shared" si="37"/>
        <v>0</v>
      </c>
      <c r="AO52" s="285">
        <f t="shared" si="38"/>
        <v>0</v>
      </c>
      <c r="AP52" s="285">
        <f t="shared" si="39"/>
        <v>0</v>
      </c>
      <c r="AQ52" s="285">
        <f t="shared" si="40"/>
        <v>0</v>
      </c>
      <c r="AT52" t="s">
        <v>98</v>
      </c>
      <c r="AU52" s="419">
        <v>0.04</v>
      </c>
      <c r="AV52" s="419">
        <v>0.04</v>
      </c>
      <c r="AW52" s="419">
        <v>0.04</v>
      </c>
      <c r="AX52" s="419">
        <v>0.04</v>
      </c>
      <c r="AY52" s="419">
        <v>0.04</v>
      </c>
      <c r="AZ52" s="419">
        <v>0.04</v>
      </c>
      <c r="BA52" s="419">
        <v>0.04</v>
      </c>
      <c r="BB52" s="419">
        <v>0</v>
      </c>
      <c r="BC52" s="419">
        <v>0</v>
      </c>
      <c r="BD52" s="419">
        <v>0</v>
      </c>
      <c r="BE52" s="419">
        <v>0</v>
      </c>
      <c r="BF52" s="419">
        <v>0</v>
      </c>
      <c r="BG52" s="419">
        <v>0</v>
      </c>
      <c r="BH52" s="419">
        <v>0</v>
      </c>
      <c r="BI52" s="419">
        <v>0</v>
      </c>
      <c r="BJ52" s="419">
        <v>0</v>
      </c>
      <c r="BK52" s="419">
        <v>0</v>
      </c>
      <c r="BL52" s="419">
        <v>0</v>
      </c>
      <c r="BM52" s="419">
        <v>0</v>
      </c>
      <c r="BN52" s="419">
        <v>0</v>
      </c>
      <c r="BO52" s="419">
        <v>0</v>
      </c>
      <c r="BP52" s="419">
        <v>0</v>
      </c>
      <c r="BQ52" s="419">
        <v>0</v>
      </c>
      <c r="BR52" s="419">
        <v>0</v>
      </c>
      <c r="BS52" s="419">
        <v>0</v>
      </c>
      <c r="BT52" s="419">
        <v>0</v>
      </c>
      <c r="BU52" s="419">
        <v>0</v>
      </c>
      <c r="BV52" s="419">
        <v>0</v>
      </c>
      <c r="BW52" s="419">
        <v>0</v>
      </c>
      <c r="BX52" s="419">
        <v>0</v>
      </c>
      <c r="BY52" s="419">
        <v>0</v>
      </c>
      <c r="BZ52" s="419">
        <v>0</v>
      </c>
      <c r="CA52" s="419">
        <v>0</v>
      </c>
      <c r="CB52" s="419">
        <v>0</v>
      </c>
      <c r="CC52" s="419">
        <v>0</v>
      </c>
    </row>
    <row r="53" spans="6:81">
      <c r="F53" s="49" t="s">
        <v>98</v>
      </c>
      <c r="G53" s="285">
        <f t="shared" si="5"/>
        <v>248934.87039999999</v>
      </c>
      <c r="I53" s="285">
        <f t="shared" si="6"/>
        <v>124467.43519999999</v>
      </c>
      <c r="J53" s="285">
        <f t="shared" si="7"/>
        <v>124467.43519999999</v>
      </c>
      <c r="K53" s="285">
        <f t="shared" si="8"/>
        <v>0</v>
      </c>
      <c r="L53" s="285">
        <f t="shared" si="9"/>
        <v>0</v>
      </c>
      <c r="M53" s="285">
        <f t="shared" si="10"/>
        <v>0</v>
      </c>
      <c r="N53" s="285">
        <f t="shared" si="11"/>
        <v>0</v>
      </c>
      <c r="O53" s="285">
        <f t="shared" si="12"/>
        <v>0</v>
      </c>
      <c r="P53" s="285">
        <f t="shared" si="13"/>
        <v>0</v>
      </c>
      <c r="Q53" s="285">
        <f t="shared" si="14"/>
        <v>0</v>
      </c>
      <c r="R53" s="285">
        <f t="shared" si="15"/>
        <v>0</v>
      </c>
      <c r="S53" s="285">
        <f t="shared" si="16"/>
        <v>0</v>
      </c>
      <c r="T53" s="285">
        <f t="shared" si="17"/>
        <v>0</v>
      </c>
      <c r="U53" s="285">
        <f t="shared" si="18"/>
        <v>0</v>
      </c>
      <c r="V53" s="285">
        <f t="shared" si="19"/>
        <v>0</v>
      </c>
      <c r="W53" s="285">
        <f t="shared" si="20"/>
        <v>0</v>
      </c>
      <c r="X53" s="285">
        <f t="shared" si="21"/>
        <v>0</v>
      </c>
      <c r="Y53" s="285">
        <f t="shared" si="22"/>
        <v>0</v>
      </c>
      <c r="Z53" s="285">
        <f t="shared" si="23"/>
        <v>0</v>
      </c>
      <c r="AA53" s="285">
        <f t="shared" si="24"/>
        <v>0</v>
      </c>
      <c r="AB53" s="285">
        <f t="shared" si="25"/>
        <v>0</v>
      </c>
      <c r="AC53" s="285">
        <f t="shared" si="26"/>
        <v>0</v>
      </c>
      <c r="AD53" s="285">
        <f t="shared" si="27"/>
        <v>0</v>
      </c>
      <c r="AE53" s="285">
        <f t="shared" si="28"/>
        <v>0</v>
      </c>
      <c r="AF53" s="285">
        <f t="shared" si="29"/>
        <v>0</v>
      </c>
      <c r="AG53" s="285">
        <f t="shared" si="30"/>
        <v>0</v>
      </c>
      <c r="AH53" s="285">
        <f t="shared" si="31"/>
        <v>0</v>
      </c>
      <c r="AI53" s="285">
        <f t="shared" si="32"/>
        <v>0</v>
      </c>
      <c r="AJ53" s="285">
        <f t="shared" si="33"/>
        <v>0</v>
      </c>
      <c r="AK53" s="285">
        <f t="shared" si="34"/>
        <v>0</v>
      </c>
      <c r="AL53" s="285">
        <f t="shared" si="35"/>
        <v>0</v>
      </c>
      <c r="AM53" s="285">
        <f t="shared" si="36"/>
        <v>0</v>
      </c>
      <c r="AN53" s="285">
        <f t="shared" si="37"/>
        <v>0</v>
      </c>
      <c r="AO53" s="285">
        <f t="shared" si="38"/>
        <v>0</v>
      </c>
      <c r="AP53" s="285">
        <f t="shared" si="39"/>
        <v>0</v>
      </c>
      <c r="AQ53" s="285">
        <f t="shared" si="40"/>
        <v>0</v>
      </c>
      <c r="AT53" t="s">
        <v>99</v>
      </c>
      <c r="AU53" s="419">
        <v>0.04</v>
      </c>
      <c r="AV53" s="419">
        <v>0.04</v>
      </c>
      <c r="AW53" s="419">
        <v>0.04</v>
      </c>
      <c r="AX53" s="419">
        <v>0.04</v>
      </c>
      <c r="AY53" s="419">
        <v>0.04</v>
      </c>
      <c r="AZ53" s="419">
        <v>0.04</v>
      </c>
      <c r="BA53" s="419">
        <v>0.04</v>
      </c>
      <c r="BB53" s="419">
        <v>0.04</v>
      </c>
      <c r="BC53" s="419">
        <v>0</v>
      </c>
      <c r="BD53" s="419">
        <v>0</v>
      </c>
      <c r="BE53" s="419">
        <v>0</v>
      </c>
      <c r="BF53" s="419">
        <v>0</v>
      </c>
      <c r="BG53" s="419">
        <v>0</v>
      </c>
      <c r="BH53" s="419">
        <v>0</v>
      </c>
      <c r="BI53" s="419">
        <v>0</v>
      </c>
      <c r="BJ53" s="419">
        <v>0</v>
      </c>
      <c r="BK53" s="419">
        <v>0</v>
      </c>
      <c r="BL53" s="419">
        <v>0</v>
      </c>
      <c r="BM53" s="419">
        <v>0</v>
      </c>
      <c r="BN53" s="419">
        <v>0</v>
      </c>
      <c r="BO53" s="419">
        <v>0</v>
      </c>
      <c r="BP53" s="419">
        <v>0</v>
      </c>
      <c r="BQ53" s="419">
        <v>0</v>
      </c>
      <c r="BR53" s="419">
        <v>0</v>
      </c>
      <c r="BS53" s="419">
        <v>0</v>
      </c>
      <c r="BT53" s="419">
        <v>0</v>
      </c>
      <c r="BU53" s="419">
        <v>0</v>
      </c>
      <c r="BV53" s="419">
        <v>0</v>
      </c>
      <c r="BW53" s="419">
        <v>0</v>
      </c>
      <c r="BX53" s="419">
        <v>0</v>
      </c>
      <c r="BY53" s="419">
        <v>0</v>
      </c>
      <c r="BZ53" s="419">
        <v>0</v>
      </c>
      <c r="CA53" s="419">
        <v>0</v>
      </c>
      <c r="CB53" s="419">
        <v>0</v>
      </c>
      <c r="CC53" s="419">
        <v>0</v>
      </c>
    </row>
    <row r="54" spans="6:81">
      <c r="F54" s="49" t="s">
        <v>99</v>
      </c>
      <c r="G54" s="285">
        <f t="shared" si="5"/>
        <v>248934.87039999999</v>
      </c>
      <c r="I54" s="285">
        <f t="shared" si="6"/>
        <v>124467.43519999999</v>
      </c>
      <c r="J54" s="285">
        <f t="shared" si="7"/>
        <v>124467.43519999999</v>
      </c>
      <c r="K54" s="285">
        <f t="shared" si="8"/>
        <v>0</v>
      </c>
      <c r="L54" s="285">
        <f t="shared" si="9"/>
        <v>0</v>
      </c>
      <c r="M54" s="285">
        <f t="shared" si="10"/>
        <v>0</v>
      </c>
      <c r="N54" s="285">
        <f t="shared" si="11"/>
        <v>0</v>
      </c>
      <c r="O54" s="285">
        <f t="shared" si="12"/>
        <v>0</v>
      </c>
      <c r="P54" s="285">
        <f t="shared" si="13"/>
        <v>0</v>
      </c>
      <c r="Q54" s="285">
        <f t="shared" si="14"/>
        <v>0</v>
      </c>
      <c r="R54" s="285">
        <f t="shared" si="15"/>
        <v>0</v>
      </c>
      <c r="S54" s="285">
        <f t="shared" si="16"/>
        <v>0</v>
      </c>
      <c r="T54" s="285">
        <f t="shared" si="17"/>
        <v>0</v>
      </c>
      <c r="U54" s="285">
        <f t="shared" si="18"/>
        <v>0</v>
      </c>
      <c r="V54" s="285">
        <f t="shared" si="19"/>
        <v>0</v>
      </c>
      <c r="W54" s="285">
        <f t="shared" si="20"/>
        <v>0</v>
      </c>
      <c r="X54" s="285">
        <f t="shared" si="21"/>
        <v>0</v>
      </c>
      <c r="Y54" s="285">
        <f t="shared" si="22"/>
        <v>0</v>
      </c>
      <c r="Z54" s="285">
        <f t="shared" si="23"/>
        <v>0</v>
      </c>
      <c r="AA54" s="285">
        <f t="shared" si="24"/>
        <v>0</v>
      </c>
      <c r="AB54" s="285">
        <f t="shared" si="25"/>
        <v>0</v>
      </c>
      <c r="AC54" s="285">
        <f t="shared" si="26"/>
        <v>0</v>
      </c>
      <c r="AD54" s="285">
        <f t="shared" si="27"/>
        <v>0</v>
      </c>
      <c r="AE54" s="285">
        <f t="shared" si="28"/>
        <v>0</v>
      </c>
      <c r="AF54" s="285">
        <f t="shared" si="29"/>
        <v>0</v>
      </c>
      <c r="AG54" s="285">
        <f t="shared" si="30"/>
        <v>0</v>
      </c>
      <c r="AH54" s="285">
        <f t="shared" si="31"/>
        <v>0</v>
      </c>
      <c r="AI54" s="285">
        <f t="shared" si="32"/>
        <v>0</v>
      </c>
      <c r="AJ54" s="285">
        <f t="shared" si="33"/>
        <v>0</v>
      </c>
      <c r="AK54" s="285">
        <f t="shared" si="34"/>
        <v>0</v>
      </c>
      <c r="AL54" s="285">
        <f t="shared" si="35"/>
        <v>0</v>
      </c>
      <c r="AM54" s="285">
        <f t="shared" si="36"/>
        <v>0</v>
      </c>
      <c r="AN54" s="285">
        <f t="shared" si="37"/>
        <v>0</v>
      </c>
      <c r="AO54" s="285">
        <f t="shared" si="38"/>
        <v>0</v>
      </c>
      <c r="AP54" s="285">
        <f t="shared" si="39"/>
        <v>0</v>
      </c>
      <c r="AQ54" s="285">
        <f t="shared" si="40"/>
        <v>0</v>
      </c>
      <c r="AT54" t="s">
        <v>100</v>
      </c>
      <c r="AU54" s="419">
        <v>0.04</v>
      </c>
      <c r="AV54" s="419">
        <v>0.04</v>
      </c>
      <c r="AW54" s="419">
        <v>0.04</v>
      </c>
      <c r="AX54" s="419">
        <v>0.04</v>
      </c>
      <c r="AY54" s="419">
        <v>0.04</v>
      </c>
      <c r="AZ54" s="419">
        <v>0.04</v>
      </c>
      <c r="BA54" s="419">
        <v>0.04</v>
      </c>
      <c r="BB54" s="419">
        <v>0.04</v>
      </c>
      <c r="BC54" s="419">
        <v>0.04</v>
      </c>
      <c r="BD54" s="419">
        <v>0</v>
      </c>
      <c r="BE54" s="419">
        <v>0</v>
      </c>
      <c r="BF54" s="419">
        <v>0</v>
      </c>
      <c r="BG54" s="419">
        <v>0</v>
      </c>
      <c r="BH54" s="419">
        <v>0</v>
      </c>
      <c r="BI54" s="419">
        <v>0</v>
      </c>
      <c r="BJ54" s="419">
        <v>0</v>
      </c>
      <c r="BK54" s="419">
        <v>0</v>
      </c>
      <c r="BL54" s="419">
        <v>0</v>
      </c>
      <c r="BM54" s="419">
        <v>0</v>
      </c>
      <c r="BN54" s="419">
        <v>0</v>
      </c>
      <c r="BO54" s="419">
        <v>0</v>
      </c>
      <c r="BP54" s="419">
        <v>0</v>
      </c>
      <c r="BQ54" s="419">
        <v>0</v>
      </c>
      <c r="BR54" s="419">
        <v>0</v>
      </c>
      <c r="BS54" s="419">
        <v>0</v>
      </c>
      <c r="BT54" s="419">
        <v>0</v>
      </c>
      <c r="BU54" s="419">
        <v>0</v>
      </c>
      <c r="BV54" s="419">
        <v>0</v>
      </c>
      <c r="BW54" s="419">
        <v>0</v>
      </c>
      <c r="BX54" s="419">
        <v>0</v>
      </c>
      <c r="BY54" s="419">
        <v>0</v>
      </c>
      <c r="BZ54" s="419">
        <v>0</v>
      </c>
      <c r="CA54" s="419">
        <v>0</v>
      </c>
      <c r="CB54" s="419">
        <v>0</v>
      </c>
      <c r="CC54" s="419">
        <v>0</v>
      </c>
    </row>
    <row r="55" spans="6:81">
      <c r="F55" s="49" t="s">
        <v>100</v>
      </c>
      <c r="G55" s="285">
        <f t="shared" si="5"/>
        <v>248934.87039999999</v>
      </c>
      <c r="I55" s="285">
        <f t="shared" si="6"/>
        <v>124467.43519999999</v>
      </c>
      <c r="J55" s="285">
        <f t="shared" si="7"/>
        <v>124467.43519999999</v>
      </c>
      <c r="K55" s="285">
        <f t="shared" si="8"/>
        <v>0</v>
      </c>
      <c r="L55" s="285">
        <f t="shared" si="9"/>
        <v>0</v>
      </c>
      <c r="M55" s="285">
        <f t="shared" si="10"/>
        <v>0</v>
      </c>
      <c r="N55" s="285">
        <f t="shared" si="11"/>
        <v>0</v>
      </c>
      <c r="O55" s="285">
        <f t="shared" si="12"/>
        <v>0</v>
      </c>
      <c r="P55" s="285">
        <f t="shared" si="13"/>
        <v>0</v>
      </c>
      <c r="Q55" s="285">
        <f t="shared" si="14"/>
        <v>0</v>
      </c>
      <c r="R55" s="285">
        <f t="shared" si="15"/>
        <v>0</v>
      </c>
      <c r="S55" s="285">
        <f t="shared" si="16"/>
        <v>0</v>
      </c>
      <c r="T55" s="285">
        <f t="shared" si="17"/>
        <v>0</v>
      </c>
      <c r="U55" s="285">
        <f t="shared" si="18"/>
        <v>0</v>
      </c>
      <c r="V55" s="285">
        <f t="shared" si="19"/>
        <v>0</v>
      </c>
      <c r="W55" s="285">
        <f t="shared" si="20"/>
        <v>0</v>
      </c>
      <c r="X55" s="285">
        <f t="shared" si="21"/>
        <v>0</v>
      </c>
      <c r="Y55" s="285">
        <f t="shared" si="22"/>
        <v>0</v>
      </c>
      <c r="Z55" s="285">
        <f t="shared" si="23"/>
        <v>0</v>
      </c>
      <c r="AA55" s="285">
        <f t="shared" si="24"/>
        <v>0</v>
      </c>
      <c r="AB55" s="285">
        <f t="shared" si="25"/>
        <v>0</v>
      </c>
      <c r="AC55" s="285">
        <f t="shared" si="26"/>
        <v>0</v>
      </c>
      <c r="AD55" s="285">
        <f t="shared" si="27"/>
        <v>0</v>
      </c>
      <c r="AE55" s="285">
        <f t="shared" si="28"/>
        <v>0</v>
      </c>
      <c r="AF55" s="285">
        <f t="shared" si="29"/>
        <v>0</v>
      </c>
      <c r="AG55" s="285">
        <f t="shared" si="30"/>
        <v>0</v>
      </c>
      <c r="AH55" s="285">
        <f t="shared" si="31"/>
        <v>0</v>
      </c>
      <c r="AI55" s="285">
        <f t="shared" si="32"/>
        <v>0</v>
      </c>
      <c r="AJ55" s="285">
        <f t="shared" si="33"/>
        <v>0</v>
      </c>
      <c r="AK55" s="285">
        <f t="shared" si="34"/>
        <v>0</v>
      </c>
      <c r="AL55" s="285">
        <f t="shared" si="35"/>
        <v>0</v>
      </c>
      <c r="AM55" s="285">
        <f t="shared" si="36"/>
        <v>0</v>
      </c>
      <c r="AN55" s="285">
        <f t="shared" si="37"/>
        <v>0</v>
      </c>
      <c r="AO55" s="285">
        <f t="shared" si="38"/>
        <v>0</v>
      </c>
      <c r="AP55" s="285">
        <f t="shared" si="39"/>
        <v>0</v>
      </c>
      <c r="AQ55" s="285">
        <f t="shared" si="40"/>
        <v>0</v>
      </c>
      <c r="AT55" t="s">
        <v>101</v>
      </c>
      <c r="AU55" s="419">
        <v>0.04</v>
      </c>
      <c r="AV55" s="419">
        <v>0.04</v>
      </c>
      <c r="AW55" s="419">
        <v>0.04</v>
      </c>
      <c r="AX55" s="419">
        <v>0.04</v>
      </c>
      <c r="AY55" s="419">
        <v>0.04</v>
      </c>
      <c r="AZ55" s="419">
        <v>0.04</v>
      </c>
      <c r="BA55" s="419">
        <v>0.04</v>
      </c>
      <c r="BB55" s="419">
        <v>0.04</v>
      </c>
      <c r="BC55" s="419">
        <v>0.04</v>
      </c>
      <c r="BD55" s="419">
        <v>0.04</v>
      </c>
      <c r="BE55" s="419">
        <v>0</v>
      </c>
      <c r="BF55" s="419">
        <v>0</v>
      </c>
      <c r="BG55" s="419">
        <v>0</v>
      </c>
      <c r="BH55" s="419">
        <v>0</v>
      </c>
      <c r="BI55" s="419">
        <v>0</v>
      </c>
      <c r="BJ55" s="419">
        <v>0</v>
      </c>
      <c r="BK55" s="419">
        <v>0</v>
      </c>
      <c r="BL55" s="419">
        <v>0</v>
      </c>
      <c r="BM55" s="419">
        <v>0</v>
      </c>
      <c r="BN55" s="419">
        <v>0</v>
      </c>
      <c r="BO55" s="419">
        <v>0</v>
      </c>
      <c r="BP55" s="419">
        <v>0</v>
      </c>
      <c r="BQ55" s="419">
        <v>0</v>
      </c>
      <c r="BR55" s="419">
        <v>0</v>
      </c>
      <c r="BS55" s="419">
        <v>0</v>
      </c>
      <c r="BT55" s="419">
        <v>0</v>
      </c>
      <c r="BU55" s="419">
        <v>0</v>
      </c>
      <c r="BV55" s="419">
        <v>0</v>
      </c>
      <c r="BW55" s="419">
        <v>0</v>
      </c>
      <c r="BX55" s="419">
        <v>0</v>
      </c>
      <c r="BY55" s="419">
        <v>0</v>
      </c>
      <c r="BZ55" s="419">
        <v>0</v>
      </c>
      <c r="CA55" s="419">
        <v>0</v>
      </c>
      <c r="CB55" s="419">
        <v>0</v>
      </c>
      <c r="CC55" s="419">
        <v>0</v>
      </c>
    </row>
    <row r="56" spans="6:81">
      <c r="F56" s="49" t="s">
        <v>101</v>
      </c>
      <c r="G56" s="285">
        <f t="shared" si="5"/>
        <v>248934.87039999999</v>
      </c>
      <c r="I56" s="285">
        <f t="shared" si="6"/>
        <v>124467.43519999999</v>
      </c>
      <c r="J56" s="285">
        <f t="shared" si="7"/>
        <v>124467.43519999999</v>
      </c>
      <c r="K56" s="285">
        <f t="shared" si="8"/>
        <v>0</v>
      </c>
      <c r="L56" s="285">
        <f t="shared" si="9"/>
        <v>0</v>
      </c>
      <c r="M56" s="285">
        <f t="shared" si="10"/>
        <v>0</v>
      </c>
      <c r="N56" s="285">
        <f t="shared" si="11"/>
        <v>0</v>
      </c>
      <c r="O56" s="285">
        <f t="shared" si="12"/>
        <v>0</v>
      </c>
      <c r="P56" s="285">
        <f t="shared" si="13"/>
        <v>0</v>
      </c>
      <c r="Q56" s="285">
        <f t="shared" si="14"/>
        <v>0</v>
      </c>
      <c r="R56" s="285">
        <f t="shared" si="15"/>
        <v>0</v>
      </c>
      <c r="S56" s="285">
        <f t="shared" si="16"/>
        <v>0</v>
      </c>
      <c r="T56" s="285">
        <f t="shared" si="17"/>
        <v>0</v>
      </c>
      <c r="U56" s="285">
        <f t="shared" si="18"/>
        <v>0</v>
      </c>
      <c r="V56" s="285">
        <f t="shared" si="19"/>
        <v>0</v>
      </c>
      <c r="W56" s="285">
        <f t="shared" si="20"/>
        <v>0</v>
      </c>
      <c r="X56" s="285">
        <f t="shared" si="21"/>
        <v>0</v>
      </c>
      <c r="Y56" s="285">
        <f t="shared" si="22"/>
        <v>0</v>
      </c>
      <c r="Z56" s="285">
        <f t="shared" si="23"/>
        <v>0</v>
      </c>
      <c r="AA56" s="285">
        <f t="shared" si="24"/>
        <v>0</v>
      </c>
      <c r="AB56" s="285">
        <f t="shared" si="25"/>
        <v>0</v>
      </c>
      <c r="AC56" s="285">
        <f t="shared" si="26"/>
        <v>0</v>
      </c>
      <c r="AD56" s="285">
        <f t="shared" si="27"/>
        <v>0</v>
      </c>
      <c r="AE56" s="285">
        <f t="shared" si="28"/>
        <v>0</v>
      </c>
      <c r="AF56" s="285">
        <f t="shared" si="29"/>
        <v>0</v>
      </c>
      <c r="AG56" s="285">
        <f t="shared" si="30"/>
        <v>0</v>
      </c>
      <c r="AH56" s="285">
        <f t="shared" si="31"/>
        <v>0</v>
      </c>
      <c r="AI56" s="285">
        <f t="shared" si="32"/>
        <v>0</v>
      </c>
      <c r="AJ56" s="285">
        <f t="shared" si="33"/>
        <v>0</v>
      </c>
      <c r="AK56" s="285">
        <f t="shared" si="34"/>
        <v>0</v>
      </c>
      <c r="AL56" s="285">
        <f t="shared" si="35"/>
        <v>0</v>
      </c>
      <c r="AM56" s="285">
        <f t="shared" si="36"/>
        <v>0</v>
      </c>
      <c r="AN56" s="285">
        <f t="shared" si="37"/>
        <v>0</v>
      </c>
      <c r="AO56" s="285">
        <f t="shared" si="38"/>
        <v>0</v>
      </c>
      <c r="AP56" s="285">
        <f t="shared" si="39"/>
        <v>0</v>
      </c>
      <c r="AQ56" s="285">
        <f t="shared" si="40"/>
        <v>0</v>
      </c>
      <c r="AT56" t="s">
        <v>102</v>
      </c>
      <c r="AU56" s="419">
        <v>0.04</v>
      </c>
      <c r="AV56" s="419">
        <v>0.04</v>
      </c>
      <c r="AW56" s="419">
        <v>0.04</v>
      </c>
      <c r="AX56" s="419">
        <v>0.04</v>
      </c>
      <c r="AY56" s="419">
        <v>0.04</v>
      </c>
      <c r="AZ56" s="419">
        <v>0.04</v>
      </c>
      <c r="BA56" s="419">
        <v>0.04</v>
      </c>
      <c r="BB56" s="419">
        <v>0.04</v>
      </c>
      <c r="BC56" s="419">
        <v>0.04</v>
      </c>
      <c r="BD56" s="419">
        <v>0.04</v>
      </c>
      <c r="BE56" s="419">
        <v>0.04</v>
      </c>
      <c r="BF56" s="419">
        <v>0</v>
      </c>
      <c r="BG56" s="419">
        <v>0</v>
      </c>
      <c r="BH56" s="419">
        <v>0</v>
      </c>
      <c r="BI56" s="419">
        <v>0</v>
      </c>
      <c r="BJ56" s="419">
        <v>0</v>
      </c>
      <c r="BK56" s="419">
        <v>0</v>
      </c>
      <c r="BL56" s="419">
        <v>0</v>
      </c>
      <c r="BM56" s="419">
        <v>0</v>
      </c>
      <c r="BN56" s="419">
        <v>0</v>
      </c>
      <c r="BO56" s="419">
        <v>0</v>
      </c>
      <c r="BP56" s="419">
        <v>0</v>
      </c>
      <c r="BQ56" s="419">
        <v>0</v>
      </c>
      <c r="BR56" s="419">
        <v>0</v>
      </c>
      <c r="BS56" s="419">
        <v>0</v>
      </c>
      <c r="BT56" s="419">
        <v>0</v>
      </c>
      <c r="BU56" s="419">
        <v>0</v>
      </c>
      <c r="BV56" s="419">
        <v>0</v>
      </c>
      <c r="BW56" s="419">
        <v>0</v>
      </c>
      <c r="BX56" s="419">
        <v>0</v>
      </c>
      <c r="BY56" s="419">
        <v>0</v>
      </c>
      <c r="BZ56" s="419">
        <v>0</v>
      </c>
      <c r="CA56" s="419">
        <v>0</v>
      </c>
      <c r="CB56" s="419">
        <v>0</v>
      </c>
      <c r="CC56" s="419">
        <v>0</v>
      </c>
    </row>
    <row r="57" spans="6:81">
      <c r="F57" s="49" t="s">
        <v>102</v>
      </c>
      <c r="G57" s="285">
        <f t="shared" si="5"/>
        <v>248934.87039999999</v>
      </c>
      <c r="I57" s="285">
        <f t="shared" si="6"/>
        <v>124467.43519999999</v>
      </c>
      <c r="J57" s="285">
        <f t="shared" si="7"/>
        <v>124467.43519999999</v>
      </c>
      <c r="K57" s="285">
        <f t="shared" si="8"/>
        <v>0</v>
      </c>
      <c r="L57" s="285">
        <f t="shared" si="9"/>
        <v>0</v>
      </c>
      <c r="M57" s="285">
        <f t="shared" si="10"/>
        <v>0</v>
      </c>
      <c r="N57" s="285">
        <f t="shared" si="11"/>
        <v>0</v>
      </c>
      <c r="O57" s="285">
        <f t="shared" si="12"/>
        <v>0</v>
      </c>
      <c r="P57" s="285">
        <f t="shared" si="13"/>
        <v>0</v>
      </c>
      <c r="Q57" s="285">
        <f t="shared" si="14"/>
        <v>0</v>
      </c>
      <c r="R57" s="285">
        <f t="shared" si="15"/>
        <v>0</v>
      </c>
      <c r="S57" s="285">
        <f t="shared" si="16"/>
        <v>0</v>
      </c>
      <c r="T57" s="285">
        <f t="shared" si="17"/>
        <v>0</v>
      </c>
      <c r="U57" s="285">
        <f t="shared" si="18"/>
        <v>0</v>
      </c>
      <c r="V57" s="285">
        <f t="shared" si="19"/>
        <v>0</v>
      </c>
      <c r="W57" s="285">
        <f t="shared" si="20"/>
        <v>0</v>
      </c>
      <c r="X57" s="285">
        <f t="shared" si="21"/>
        <v>0</v>
      </c>
      <c r="Y57" s="285">
        <f t="shared" si="22"/>
        <v>0</v>
      </c>
      <c r="Z57" s="285">
        <f t="shared" si="23"/>
        <v>0</v>
      </c>
      <c r="AA57" s="285">
        <f t="shared" si="24"/>
        <v>0</v>
      </c>
      <c r="AB57" s="285">
        <f t="shared" si="25"/>
        <v>0</v>
      </c>
      <c r="AC57" s="285">
        <f t="shared" si="26"/>
        <v>0</v>
      </c>
      <c r="AD57" s="285">
        <f t="shared" si="27"/>
        <v>0</v>
      </c>
      <c r="AE57" s="285">
        <f t="shared" si="28"/>
        <v>0</v>
      </c>
      <c r="AF57" s="285">
        <f t="shared" si="29"/>
        <v>0</v>
      </c>
      <c r="AG57" s="285">
        <f t="shared" si="30"/>
        <v>0</v>
      </c>
      <c r="AH57" s="285">
        <f t="shared" si="31"/>
        <v>0</v>
      </c>
      <c r="AI57" s="285">
        <f t="shared" si="32"/>
        <v>0</v>
      </c>
      <c r="AJ57" s="285">
        <f t="shared" si="33"/>
        <v>0</v>
      </c>
      <c r="AK57" s="285">
        <f t="shared" si="34"/>
        <v>0</v>
      </c>
      <c r="AL57" s="285">
        <f t="shared" si="35"/>
        <v>0</v>
      </c>
      <c r="AM57" s="285">
        <f t="shared" si="36"/>
        <v>0</v>
      </c>
      <c r="AN57" s="285">
        <f t="shared" si="37"/>
        <v>0</v>
      </c>
      <c r="AO57" s="285">
        <f t="shared" si="38"/>
        <v>0</v>
      </c>
      <c r="AP57" s="285">
        <f t="shared" si="39"/>
        <v>0</v>
      </c>
      <c r="AQ57" s="285">
        <f t="shared" si="40"/>
        <v>0</v>
      </c>
      <c r="AT57" t="s">
        <v>103</v>
      </c>
      <c r="AU57" s="419">
        <v>0.04</v>
      </c>
      <c r="AV57" s="419">
        <v>0.04</v>
      </c>
      <c r="AW57" s="419">
        <v>0.04</v>
      </c>
      <c r="AX57" s="419">
        <v>0.04</v>
      </c>
      <c r="AY57" s="419">
        <v>0.04</v>
      </c>
      <c r="AZ57" s="419">
        <v>0.04</v>
      </c>
      <c r="BA57" s="419">
        <v>0.04</v>
      </c>
      <c r="BB57" s="419">
        <v>0.04</v>
      </c>
      <c r="BC57" s="419">
        <v>0.04</v>
      </c>
      <c r="BD57" s="419">
        <v>0.04</v>
      </c>
      <c r="BE57" s="419">
        <v>0.04</v>
      </c>
      <c r="BF57" s="419">
        <v>0.04</v>
      </c>
      <c r="BG57" s="419">
        <v>0</v>
      </c>
      <c r="BH57" s="419">
        <v>0</v>
      </c>
      <c r="BI57" s="419">
        <v>0</v>
      </c>
      <c r="BJ57" s="419">
        <v>0</v>
      </c>
      <c r="BK57" s="419">
        <v>0</v>
      </c>
      <c r="BL57" s="419">
        <v>0</v>
      </c>
      <c r="BM57" s="419">
        <v>0</v>
      </c>
      <c r="BN57" s="419">
        <v>0</v>
      </c>
      <c r="BO57" s="419">
        <v>0</v>
      </c>
      <c r="BP57" s="419">
        <v>0</v>
      </c>
      <c r="BQ57" s="419">
        <v>0</v>
      </c>
      <c r="BR57" s="419">
        <v>0</v>
      </c>
      <c r="BS57" s="419">
        <v>0</v>
      </c>
      <c r="BT57" s="419">
        <v>0</v>
      </c>
      <c r="BU57" s="419">
        <v>0</v>
      </c>
      <c r="BV57" s="419">
        <v>0</v>
      </c>
      <c r="BW57" s="419">
        <v>0</v>
      </c>
      <c r="BX57" s="419">
        <v>0</v>
      </c>
      <c r="BY57" s="419">
        <v>0</v>
      </c>
      <c r="BZ57" s="419">
        <v>0</v>
      </c>
      <c r="CA57" s="419">
        <v>0</v>
      </c>
      <c r="CB57" s="419">
        <v>0</v>
      </c>
      <c r="CC57" s="419">
        <v>0</v>
      </c>
    </row>
    <row r="58" spans="6:81">
      <c r="F58" s="49" t="s">
        <v>103</v>
      </c>
      <c r="G58" s="285">
        <f t="shared" si="5"/>
        <v>248934.87039999999</v>
      </c>
      <c r="I58" s="285">
        <f t="shared" si="6"/>
        <v>124467.43519999999</v>
      </c>
      <c r="J58" s="285">
        <f t="shared" si="7"/>
        <v>124467.43519999999</v>
      </c>
      <c r="K58" s="285">
        <f t="shared" si="8"/>
        <v>0</v>
      </c>
      <c r="L58" s="285">
        <f t="shared" si="9"/>
        <v>0</v>
      </c>
      <c r="M58" s="285">
        <f t="shared" si="10"/>
        <v>0</v>
      </c>
      <c r="N58" s="285">
        <f t="shared" si="11"/>
        <v>0</v>
      </c>
      <c r="O58" s="285">
        <f t="shared" si="12"/>
        <v>0</v>
      </c>
      <c r="P58" s="285">
        <f t="shared" si="13"/>
        <v>0</v>
      </c>
      <c r="Q58" s="285">
        <f t="shared" si="14"/>
        <v>0</v>
      </c>
      <c r="R58" s="285">
        <f t="shared" si="15"/>
        <v>0</v>
      </c>
      <c r="S58" s="285">
        <f t="shared" si="16"/>
        <v>0</v>
      </c>
      <c r="T58" s="285">
        <f t="shared" si="17"/>
        <v>0</v>
      </c>
      <c r="U58" s="285">
        <f t="shared" si="18"/>
        <v>0</v>
      </c>
      <c r="V58" s="285">
        <f t="shared" si="19"/>
        <v>0</v>
      </c>
      <c r="W58" s="285">
        <f t="shared" si="20"/>
        <v>0</v>
      </c>
      <c r="X58" s="285">
        <f t="shared" si="21"/>
        <v>0</v>
      </c>
      <c r="Y58" s="285">
        <f t="shared" si="22"/>
        <v>0</v>
      </c>
      <c r="Z58" s="285">
        <f t="shared" si="23"/>
        <v>0</v>
      </c>
      <c r="AA58" s="285">
        <f t="shared" si="24"/>
        <v>0</v>
      </c>
      <c r="AB58" s="285">
        <f t="shared" si="25"/>
        <v>0</v>
      </c>
      <c r="AC58" s="285">
        <f t="shared" si="26"/>
        <v>0</v>
      </c>
      <c r="AD58" s="285">
        <f t="shared" si="27"/>
        <v>0</v>
      </c>
      <c r="AE58" s="285">
        <f t="shared" si="28"/>
        <v>0</v>
      </c>
      <c r="AF58" s="285">
        <f t="shared" si="29"/>
        <v>0</v>
      </c>
      <c r="AG58" s="285">
        <f t="shared" si="30"/>
        <v>0</v>
      </c>
      <c r="AH58" s="285">
        <f t="shared" si="31"/>
        <v>0</v>
      </c>
      <c r="AI58" s="285">
        <f t="shared" si="32"/>
        <v>0</v>
      </c>
      <c r="AJ58" s="285">
        <f t="shared" si="33"/>
        <v>0</v>
      </c>
      <c r="AK58" s="285">
        <f t="shared" si="34"/>
        <v>0</v>
      </c>
      <c r="AL58" s="285">
        <f t="shared" si="35"/>
        <v>0</v>
      </c>
      <c r="AM58" s="285">
        <f t="shared" si="36"/>
        <v>0</v>
      </c>
      <c r="AN58" s="285">
        <f t="shared" si="37"/>
        <v>0</v>
      </c>
      <c r="AO58" s="285">
        <f t="shared" si="38"/>
        <v>0</v>
      </c>
      <c r="AP58" s="285">
        <f t="shared" si="39"/>
        <v>0</v>
      </c>
      <c r="AQ58" s="285">
        <f t="shared" si="40"/>
        <v>0</v>
      </c>
      <c r="AT58" t="s">
        <v>104</v>
      </c>
      <c r="AU58" s="419">
        <v>0.04</v>
      </c>
      <c r="AV58" s="419">
        <v>0.04</v>
      </c>
      <c r="AW58" s="419">
        <v>0.04</v>
      </c>
      <c r="AX58" s="419">
        <v>0.04</v>
      </c>
      <c r="AY58" s="419">
        <v>0.04</v>
      </c>
      <c r="AZ58" s="419">
        <v>0.04</v>
      </c>
      <c r="BA58" s="419">
        <v>0.04</v>
      </c>
      <c r="BB58" s="419">
        <v>0.04</v>
      </c>
      <c r="BC58" s="419">
        <v>0.04</v>
      </c>
      <c r="BD58" s="419">
        <v>0.04</v>
      </c>
      <c r="BE58" s="419">
        <v>0.04</v>
      </c>
      <c r="BF58" s="419">
        <v>0.04</v>
      </c>
      <c r="BG58" s="419">
        <v>0.04</v>
      </c>
      <c r="BH58" s="419">
        <v>0</v>
      </c>
      <c r="BI58" s="419">
        <v>0</v>
      </c>
      <c r="BJ58" s="419">
        <v>0</v>
      </c>
      <c r="BK58" s="419">
        <v>0</v>
      </c>
      <c r="BL58" s="419">
        <v>0</v>
      </c>
      <c r="BM58" s="419">
        <v>0</v>
      </c>
      <c r="BN58" s="419">
        <v>0</v>
      </c>
      <c r="BO58" s="419">
        <v>0</v>
      </c>
      <c r="BP58" s="419">
        <v>0</v>
      </c>
      <c r="BQ58" s="419">
        <v>0</v>
      </c>
      <c r="BR58" s="419">
        <v>0</v>
      </c>
      <c r="BS58" s="419">
        <v>0</v>
      </c>
      <c r="BT58" s="419">
        <v>0</v>
      </c>
      <c r="BU58" s="419">
        <v>0</v>
      </c>
      <c r="BV58" s="419">
        <v>0</v>
      </c>
      <c r="BW58" s="419">
        <v>0</v>
      </c>
      <c r="BX58" s="419">
        <v>0</v>
      </c>
      <c r="BY58" s="419">
        <v>0</v>
      </c>
      <c r="BZ58" s="419">
        <v>0</v>
      </c>
      <c r="CA58" s="419">
        <v>0</v>
      </c>
      <c r="CB58" s="419">
        <v>0</v>
      </c>
      <c r="CC58" s="419">
        <v>0</v>
      </c>
    </row>
    <row r="59" spans="6:81">
      <c r="F59" s="49" t="s">
        <v>104</v>
      </c>
      <c r="G59" s="285">
        <f t="shared" si="5"/>
        <v>248934.87039999999</v>
      </c>
      <c r="I59" s="285">
        <f t="shared" si="6"/>
        <v>124467.43519999999</v>
      </c>
      <c r="J59" s="285">
        <f t="shared" si="7"/>
        <v>124467.43519999999</v>
      </c>
      <c r="K59" s="285">
        <f t="shared" si="8"/>
        <v>0</v>
      </c>
      <c r="L59" s="285">
        <f t="shared" si="9"/>
        <v>0</v>
      </c>
      <c r="M59" s="285">
        <f t="shared" si="10"/>
        <v>0</v>
      </c>
      <c r="N59" s="285">
        <f t="shared" si="11"/>
        <v>0</v>
      </c>
      <c r="O59" s="285">
        <f t="shared" si="12"/>
        <v>0</v>
      </c>
      <c r="P59" s="285">
        <f t="shared" si="13"/>
        <v>0</v>
      </c>
      <c r="Q59" s="285">
        <f t="shared" si="14"/>
        <v>0</v>
      </c>
      <c r="R59" s="285">
        <f t="shared" si="15"/>
        <v>0</v>
      </c>
      <c r="S59" s="285">
        <f t="shared" si="16"/>
        <v>0</v>
      </c>
      <c r="T59" s="285">
        <f t="shared" si="17"/>
        <v>0</v>
      </c>
      <c r="U59" s="285">
        <f t="shared" si="18"/>
        <v>0</v>
      </c>
      <c r="V59" s="285">
        <f t="shared" si="19"/>
        <v>0</v>
      </c>
      <c r="W59" s="285">
        <f t="shared" si="20"/>
        <v>0</v>
      </c>
      <c r="X59" s="285">
        <f t="shared" si="21"/>
        <v>0</v>
      </c>
      <c r="Y59" s="285">
        <f t="shared" si="22"/>
        <v>0</v>
      </c>
      <c r="Z59" s="285">
        <f t="shared" si="23"/>
        <v>0</v>
      </c>
      <c r="AA59" s="285">
        <f t="shared" si="24"/>
        <v>0</v>
      </c>
      <c r="AB59" s="285">
        <f t="shared" si="25"/>
        <v>0</v>
      </c>
      <c r="AC59" s="285">
        <f t="shared" si="26"/>
        <v>0</v>
      </c>
      <c r="AD59" s="285">
        <f t="shared" si="27"/>
        <v>0</v>
      </c>
      <c r="AE59" s="285">
        <f t="shared" si="28"/>
        <v>0</v>
      </c>
      <c r="AF59" s="285">
        <f t="shared" si="29"/>
        <v>0</v>
      </c>
      <c r="AG59" s="285">
        <f t="shared" si="30"/>
        <v>0</v>
      </c>
      <c r="AH59" s="285">
        <f t="shared" si="31"/>
        <v>0</v>
      </c>
      <c r="AI59" s="285">
        <f t="shared" si="32"/>
        <v>0</v>
      </c>
      <c r="AJ59" s="285">
        <f t="shared" si="33"/>
        <v>0</v>
      </c>
      <c r="AK59" s="285">
        <f t="shared" si="34"/>
        <v>0</v>
      </c>
      <c r="AL59" s="285">
        <f t="shared" si="35"/>
        <v>0</v>
      </c>
      <c r="AM59" s="285">
        <f t="shared" si="36"/>
        <v>0</v>
      </c>
      <c r="AN59" s="285">
        <f t="shared" si="37"/>
        <v>0</v>
      </c>
      <c r="AO59" s="285">
        <f t="shared" si="38"/>
        <v>0</v>
      </c>
      <c r="AP59" s="285">
        <f t="shared" si="39"/>
        <v>0</v>
      </c>
      <c r="AQ59" s="285">
        <f t="shared" si="40"/>
        <v>0</v>
      </c>
      <c r="AT59" t="s">
        <v>105</v>
      </c>
      <c r="AU59" s="419">
        <v>0.04</v>
      </c>
      <c r="AV59" s="419">
        <v>0.04</v>
      </c>
      <c r="AW59" s="419">
        <v>0.04</v>
      </c>
      <c r="AX59" s="419">
        <v>0.04</v>
      </c>
      <c r="AY59" s="419">
        <v>0.04</v>
      </c>
      <c r="AZ59" s="419">
        <v>0.04</v>
      </c>
      <c r="BA59" s="419">
        <v>0.04</v>
      </c>
      <c r="BB59" s="419">
        <v>0.04</v>
      </c>
      <c r="BC59" s="419">
        <v>0.04</v>
      </c>
      <c r="BD59" s="419">
        <v>0.04</v>
      </c>
      <c r="BE59" s="419">
        <v>0.04</v>
      </c>
      <c r="BF59" s="419">
        <v>0.04</v>
      </c>
      <c r="BG59" s="419">
        <v>0.04</v>
      </c>
      <c r="BH59" s="419">
        <v>0.04</v>
      </c>
      <c r="BI59" s="419">
        <v>0</v>
      </c>
      <c r="BJ59" s="419">
        <v>0</v>
      </c>
      <c r="BK59" s="419">
        <v>0</v>
      </c>
      <c r="BL59" s="419">
        <v>0</v>
      </c>
      <c r="BM59" s="419">
        <v>0</v>
      </c>
      <c r="BN59" s="419">
        <v>0</v>
      </c>
      <c r="BO59" s="419">
        <v>0</v>
      </c>
      <c r="BP59" s="419">
        <v>0</v>
      </c>
      <c r="BQ59" s="419">
        <v>0</v>
      </c>
      <c r="BR59" s="419">
        <v>0</v>
      </c>
      <c r="BS59" s="419">
        <v>0</v>
      </c>
      <c r="BT59" s="419">
        <v>0</v>
      </c>
      <c r="BU59" s="419">
        <v>0</v>
      </c>
      <c r="BV59" s="419">
        <v>0</v>
      </c>
      <c r="BW59" s="419">
        <v>0</v>
      </c>
      <c r="BX59" s="419">
        <v>0</v>
      </c>
      <c r="BY59" s="419">
        <v>0</v>
      </c>
      <c r="BZ59" s="419">
        <v>0</v>
      </c>
      <c r="CA59" s="419">
        <v>0</v>
      </c>
      <c r="CB59" s="419">
        <v>0</v>
      </c>
      <c r="CC59" s="419">
        <v>0</v>
      </c>
    </row>
    <row r="60" spans="6:81">
      <c r="F60" s="49" t="s">
        <v>105</v>
      </c>
      <c r="G60" s="285">
        <f t="shared" si="5"/>
        <v>248934.87039999999</v>
      </c>
      <c r="I60" s="285">
        <f t="shared" si="6"/>
        <v>124467.43519999999</v>
      </c>
      <c r="J60" s="285">
        <f t="shared" si="7"/>
        <v>124467.43519999999</v>
      </c>
      <c r="K60" s="285">
        <f t="shared" si="8"/>
        <v>0</v>
      </c>
      <c r="L60" s="285">
        <f t="shared" si="9"/>
        <v>0</v>
      </c>
      <c r="M60" s="285">
        <f t="shared" si="10"/>
        <v>0</v>
      </c>
      <c r="N60" s="285">
        <f t="shared" si="11"/>
        <v>0</v>
      </c>
      <c r="O60" s="285">
        <f t="shared" si="12"/>
        <v>0</v>
      </c>
      <c r="P60" s="285">
        <f t="shared" si="13"/>
        <v>0</v>
      </c>
      <c r="Q60" s="285">
        <f t="shared" si="14"/>
        <v>0</v>
      </c>
      <c r="R60" s="285">
        <f t="shared" si="15"/>
        <v>0</v>
      </c>
      <c r="S60" s="285">
        <f t="shared" si="16"/>
        <v>0</v>
      </c>
      <c r="T60" s="285">
        <f t="shared" si="17"/>
        <v>0</v>
      </c>
      <c r="U60" s="285">
        <f t="shared" si="18"/>
        <v>0</v>
      </c>
      <c r="V60" s="285">
        <f t="shared" si="19"/>
        <v>0</v>
      </c>
      <c r="W60" s="285">
        <f t="shared" si="20"/>
        <v>0</v>
      </c>
      <c r="X60" s="285">
        <f t="shared" si="21"/>
        <v>0</v>
      </c>
      <c r="Y60" s="285">
        <f t="shared" si="22"/>
        <v>0</v>
      </c>
      <c r="Z60" s="285">
        <f t="shared" si="23"/>
        <v>0</v>
      </c>
      <c r="AA60" s="285">
        <f t="shared" si="24"/>
        <v>0</v>
      </c>
      <c r="AB60" s="285">
        <f t="shared" si="25"/>
        <v>0</v>
      </c>
      <c r="AC60" s="285">
        <f t="shared" si="26"/>
        <v>0</v>
      </c>
      <c r="AD60" s="285">
        <f t="shared" si="27"/>
        <v>0</v>
      </c>
      <c r="AE60" s="285">
        <f t="shared" si="28"/>
        <v>0</v>
      </c>
      <c r="AF60" s="285">
        <f t="shared" si="29"/>
        <v>0</v>
      </c>
      <c r="AG60" s="285">
        <f t="shared" si="30"/>
        <v>0</v>
      </c>
      <c r="AH60" s="285">
        <f t="shared" si="31"/>
        <v>0</v>
      </c>
      <c r="AI60" s="285">
        <f t="shared" si="32"/>
        <v>0</v>
      </c>
      <c r="AJ60" s="285">
        <f t="shared" si="33"/>
        <v>0</v>
      </c>
      <c r="AK60" s="285">
        <f t="shared" si="34"/>
        <v>0</v>
      </c>
      <c r="AL60" s="285">
        <f t="shared" si="35"/>
        <v>0</v>
      </c>
      <c r="AM60" s="285">
        <f t="shared" si="36"/>
        <v>0</v>
      </c>
      <c r="AN60" s="285">
        <f t="shared" si="37"/>
        <v>0</v>
      </c>
      <c r="AO60" s="285">
        <f t="shared" si="38"/>
        <v>0</v>
      </c>
      <c r="AP60" s="285">
        <f t="shared" si="39"/>
        <v>0</v>
      </c>
      <c r="AQ60" s="285">
        <f t="shared" si="40"/>
        <v>0</v>
      </c>
      <c r="AT60" t="s">
        <v>106</v>
      </c>
      <c r="AU60" s="419">
        <v>0.04</v>
      </c>
      <c r="AV60" s="419">
        <v>0.04</v>
      </c>
      <c r="AW60" s="419">
        <v>0.04</v>
      </c>
      <c r="AX60" s="419">
        <v>0.04</v>
      </c>
      <c r="AY60" s="419">
        <v>0.04</v>
      </c>
      <c r="AZ60" s="419">
        <v>0.04</v>
      </c>
      <c r="BA60" s="419">
        <v>0.04</v>
      </c>
      <c r="BB60" s="419">
        <v>0.04</v>
      </c>
      <c r="BC60" s="419">
        <v>0.04</v>
      </c>
      <c r="BD60" s="419">
        <v>0.04</v>
      </c>
      <c r="BE60" s="419">
        <v>0.04</v>
      </c>
      <c r="BF60" s="419">
        <v>0.04</v>
      </c>
      <c r="BG60" s="419">
        <v>0.04</v>
      </c>
      <c r="BH60" s="419">
        <v>0.04</v>
      </c>
      <c r="BI60" s="419">
        <v>0.04</v>
      </c>
      <c r="BJ60" s="419">
        <v>0</v>
      </c>
      <c r="BK60" s="419">
        <v>0</v>
      </c>
      <c r="BL60" s="419">
        <v>0</v>
      </c>
      <c r="BM60" s="419">
        <v>0</v>
      </c>
      <c r="BN60" s="419">
        <v>0</v>
      </c>
      <c r="BO60" s="419">
        <v>0</v>
      </c>
      <c r="BP60" s="419">
        <v>0</v>
      </c>
      <c r="BQ60" s="419">
        <v>0</v>
      </c>
      <c r="BR60" s="419">
        <v>0</v>
      </c>
      <c r="BS60" s="419">
        <v>0</v>
      </c>
      <c r="BT60" s="419">
        <v>0</v>
      </c>
      <c r="BU60" s="419">
        <v>0</v>
      </c>
      <c r="BV60" s="419">
        <v>0</v>
      </c>
      <c r="BW60" s="419">
        <v>0</v>
      </c>
      <c r="BX60" s="419">
        <v>0</v>
      </c>
      <c r="BY60" s="419">
        <v>0</v>
      </c>
      <c r="BZ60" s="419">
        <v>0</v>
      </c>
      <c r="CA60" s="419">
        <v>0</v>
      </c>
      <c r="CB60" s="419">
        <v>0</v>
      </c>
      <c r="CC60" s="419">
        <v>0</v>
      </c>
    </row>
    <row r="61" spans="6:81">
      <c r="F61" s="49" t="s">
        <v>106</v>
      </c>
      <c r="G61" s="285">
        <f t="shared" si="5"/>
        <v>248934.87039999999</v>
      </c>
      <c r="I61" s="285">
        <f t="shared" si="6"/>
        <v>124467.43519999999</v>
      </c>
      <c r="J61" s="285">
        <f t="shared" si="7"/>
        <v>124467.43519999999</v>
      </c>
      <c r="K61" s="285">
        <f t="shared" si="8"/>
        <v>0</v>
      </c>
      <c r="L61" s="285">
        <f t="shared" si="9"/>
        <v>0</v>
      </c>
      <c r="M61" s="285">
        <f t="shared" si="10"/>
        <v>0</v>
      </c>
      <c r="N61" s="285">
        <f t="shared" si="11"/>
        <v>0</v>
      </c>
      <c r="O61" s="285">
        <f t="shared" si="12"/>
        <v>0</v>
      </c>
      <c r="P61" s="285">
        <f t="shared" si="13"/>
        <v>0</v>
      </c>
      <c r="Q61" s="285">
        <f t="shared" si="14"/>
        <v>0</v>
      </c>
      <c r="R61" s="285">
        <f t="shared" si="15"/>
        <v>0</v>
      </c>
      <c r="S61" s="285">
        <f t="shared" si="16"/>
        <v>0</v>
      </c>
      <c r="T61" s="285">
        <f t="shared" si="17"/>
        <v>0</v>
      </c>
      <c r="U61" s="285">
        <f t="shared" si="18"/>
        <v>0</v>
      </c>
      <c r="V61" s="285">
        <f t="shared" si="19"/>
        <v>0</v>
      </c>
      <c r="W61" s="285">
        <f t="shared" si="20"/>
        <v>0</v>
      </c>
      <c r="X61" s="285">
        <f t="shared" si="21"/>
        <v>0</v>
      </c>
      <c r="Y61" s="285">
        <f t="shared" si="22"/>
        <v>0</v>
      </c>
      <c r="Z61" s="285">
        <f t="shared" si="23"/>
        <v>0</v>
      </c>
      <c r="AA61" s="285">
        <f t="shared" si="24"/>
        <v>0</v>
      </c>
      <c r="AB61" s="285">
        <f t="shared" si="25"/>
        <v>0</v>
      </c>
      <c r="AC61" s="285">
        <f t="shared" si="26"/>
        <v>0</v>
      </c>
      <c r="AD61" s="285">
        <f t="shared" si="27"/>
        <v>0</v>
      </c>
      <c r="AE61" s="285">
        <f t="shared" si="28"/>
        <v>0</v>
      </c>
      <c r="AF61" s="285">
        <f t="shared" si="29"/>
        <v>0</v>
      </c>
      <c r="AG61" s="285">
        <f t="shared" si="30"/>
        <v>0</v>
      </c>
      <c r="AH61" s="285">
        <f t="shared" si="31"/>
        <v>0</v>
      </c>
      <c r="AI61" s="285">
        <f t="shared" si="32"/>
        <v>0</v>
      </c>
      <c r="AJ61" s="285">
        <f t="shared" si="33"/>
        <v>0</v>
      </c>
      <c r="AK61" s="285">
        <f t="shared" si="34"/>
        <v>0</v>
      </c>
      <c r="AL61" s="285">
        <f t="shared" si="35"/>
        <v>0</v>
      </c>
      <c r="AM61" s="285">
        <f t="shared" si="36"/>
        <v>0</v>
      </c>
      <c r="AN61" s="285">
        <f t="shared" si="37"/>
        <v>0</v>
      </c>
      <c r="AO61" s="285">
        <f t="shared" si="38"/>
        <v>0</v>
      </c>
      <c r="AP61" s="285">
        <f t="shared" si="39"/>
        <v>0</v>
      </c>
      <c r="AQ61" s="285">
        <f t="shared" si="40"/>
        <v>0</v>
      </c>
      <c r="AT61" t="s">
        <v>107</v>
      </c>
      <c r="AU61" s="419">
        <v>0.04</v>
      </c>
      <c r="AV61" s="419">
        <v>0.04</v>
      </c>
      <c r="AW61" s="419">
        <v>0.04</v>
      </c>
      <c r="AX61" s="419">
        <v>0.04</v>
      </c>
      <c r="AY61" s="419">
        <v>0.04</v>
      </c>
      <c r="AZ61" s="419">
        <v>0.04</v>
      </c>
      <c r="BA61" s="419">
        <v>0.04</v>
      </c>
      <c r="BB61" s="419">
        <v>0.04</v>
      </c>
      <c r="BC61" s="419">
        <v>0.04</v>
      </c>
      <c r="BD61" s="419">
        <v>0.04</v>
      </c>
      <c r="BE61" s="419">
        <v>0.04</v>
      </c>
      <c r="BF61" s="419">
        <v>0.04</v>
      </c>
      <c r="BG61" s="419">
        <v>0.04</v>
      </c>
      <c r="BH61" s="419">
        <v>0.04</v>
      </c>
      <c r="BI61" s="419">
        <v>0.04</v>
      </c>
      <c r="BJ61" s="419">
        <v>0.04</v>
      </c>
      <c r="BK61" s="419">
        <v>0</v>
      </c>
      <c r="BL61" s="419">
        <v>0</v>
      </c>
      <c r="BM61" s="419">
        <v>0</v>
      </c>
      <c r="BN61" s="419">
        <v>0</v>
      </c>
      <c r="BO61" s="419">
        <v>0</v>
      </c>
      <c r="BP61" s="419">
        <v>0</v>
      </c>
      <c r="BQ61" s="419">
        <v>0</v>
      </c>
      <c r="BR61" s="419">
        <v>0</v>
      </c>
      <c r="BS61" s="419">
        <v>0</v>
      </c>
      <c r="BT61" s="419">
        <v>0</v>
      </c>
      <c r="BU61" s="419">
        <v>0</v>
      </c>
      <c r="BV61" s="419">
        <v>0</v>
      </c>
      <c r="BW61" s="419">
        <v>0</v>
      </c>
      <c r="BX61" s="419">
        <v>0</v>
      </c>
      <c r="BY61" s="419">
        <v>0</v>
      </c>
      <c r="BZ61" s="419">
        <v>0</v>
      </c>
      <c r="CA61" s="419">
        <v>0</v>
      </c>
      <c r="CB61" s="419">
        <v>0</v>
      </c>
      <c r="CC61" s="419">
        <v>0</v>
      </c>
    </row>
    <row r="62" spans="6:81">
      <c r="F62" s="49" t="s">
        <v>107</v>
      </c>
      <c r="G62" s="285">
        <f t="shared" si="5"/>
        <v>248934.87039999999</v>
      </c>
      <c r="I62" s="285">
        <f t="shared" si="6"/>
        <v>124467.43519999999</v>
      </c>
      <c r="J62" s="285">
        <f t="shared" si="7"/>
        <v>124467.43519999999</v>
      </c>
      <c r="K62" s="285">
        <f t="shared" si="8"/>
        <v>0</v>
      </c>
      <c r="L62" s="285">
        <f t="shared" si="9"/>
        <v>0</v>
      </c>
      <c r="M62" s="285">
        <f t="shared" si="10"/>
        <v>0</v>
      </c>
      <c r="N62" s="285">
        <f t="shared" si="11"/>
        <v>0</v>
      </c>
      <c r="O62" s="285">
        <f t="shared" si="12"/>
        <v>0</v>
      </c>
      <c r="P62" s="285">
        <f t="shared" si="13"/>
        <v>0</v>
      </c>
      <c r="Q62" s="285">
        <f t="shared" si="14"/>
        <v>0</v>
      </c>
      <c r="R62" s="285">
        <f t="shared" si="15"/>
        <v>0</v>
      </c>
      <c r="S62" s="285">
        <f t="shared" si="16"/>
        <v>0</v>
      </c>
      <c r="T62" s="285">
        <f t="shared" si="17"/>
        <v>0</v>
      </c>
      <c r="U62" s="285">
        <f t="shared" si="18"/>
        <v>0</v>
      </c>
      <c r="V62" s="285">
        <f t="shared" si="19"/>
        <v>0</v>
      </c>
      <c r="W62" s="285">
        <f t="shared" si="20"/>
        <v>0</v>
      </c>
      <c r="X62" s="285">
        <f t="shared" si="21"/>
        <v>0</v>
      </c>
      <c r="Y62" s="285">
        <f t="shared" si="22"/>
        <v>0</v>
      </c>
      <c r="Z62" s="285">
        <f t="shared" si="23"/>
        <v>0</v>
      </c>
      <c r="AA62" s="285">
        <f t="shared" si="24"/>
        <v>0</v>
      </c>
      <c r="AB62" s="285">
        <f t="shared" si="25"/>
        <v>0</v>
      </c>
      <c r="AC62" s="285">
        <f t="shared" si="26"/>
        <v>0</v>
      </c>
      <c r="AD62" s="285">
        <f t="shared" si="27"/>
        <v>0</v>
      </c>
      <c r="AE62" s="285">
        <f t="shared" si="28"/>
        <v>0</v>
      </c>
      <c r="AF62" s="285">
        <f t="shared" si="29"/>
        <v>0</v>
      </c>
      <c r="AG62" s="285">
        <f t="shared" si="30"/>
        <v>0</v>
      </c>
      <c r="AH62" s="285">
        <f t="shared" si="31"/>
        <v>0</v>
      </c>
      <c r="AI62" s="285">
        <f t="shared" si="32"/>
        <v>0</v>
      </c>
      <c r="AJ62" s="285">
        <f t="shared" si="33"/>
        <v>0</v>
      </c>
      <c r="AK62" s="285">
        <f t="shared" si="34"/>
        <v>0</v>
      </c>
      <c r="AL62" s="285">
        <f t="shared" si="35"/>
        <v>0</v>
      </c>
      <c r="AM62" s="285">
        <f t="shared" si="36"/>
        <v>0</v>
      </c>
      <c r="AN62" s="285">
        <f t="shared" si="37"/>
        <v>0</v>
      </c>
      <c r="AO62" s="285">
        <f t="shared" si="38"/>
        <v>0</v>
      </c>
      <c r="AP62" s="285">
        <f t="shared" si="39"/>
        <v>0</v>
      </c>
      <c r="AQ62" s="285">
        <f t="shared" si="40"/>
        <v>0</v>
      </c>
      <c r="AT62" t="s">
        <v>108</v>
      </c>
      <c r="AU62" s="419">
        <v>0.04</v>
      </c>
      <c r="AV62" s="419">
        <v>0.04</v>
      </c>
      <c r="AW62" s="419">
        <v>0.04</v>
      </c>
      <c r="AX62" s="419">
        <v>0.04</v>
      </c>
      <c r="AY62" s="419">
        <v>0.04</v>
      </c>
      <c r="AZ62" s="419">
        <v>0.04</v>
      </c>
      <c r="BA62" s="419">
        <v>0.04</v>
      </c>
      <c r="BB62" s="419">
        <v>0.04</v>
      </c>
      <c r="BC62" s="419">
        <v>0.04</v>
      </c>
      <c r="BD62" s="419">
        <v>0.04</v>
      </c>
      <c r="BE62" s="419">
        <v>0.04</v>
      </c>
      <c r="BF62" s="419">
        <v>0.04</v>
      </c>
      <c r="BG62" s="419">
        <v>0.04</v>
      </c>
      <c r="BH62" s="419">
        <v>0.04</v>
      </c>
      <c r="BI62" s="419">
        <v>0.04</v>
      </c>
      <c r="BJ62" s="419">
        <v>0.04</v>
      </c>
      <c r="BK62" s="419">
        <v>0.04</v>
      </c>
      <c r="BL62" s="419">
        <v>0</v>
      </c>
      <c r="BM62" s="419">
        <v>0</v>
      </c>
      <c r="BN62" s="419">
        <v>0</v>
      </c>
      <c r="BO62" s="419">
        <v>0</v>
      </c>
      <c r="BP62" s="419">
        <v>0</v>
      </c>
      <c r="BQ62" s="419">
        <v>0</v>
      </c>
      <c r="BR62" s="419">
        <v>0</v>
      </c>
      <c r="BS62" s="419">
        <v>0</v>
      </c>
      <c r="BT62" s="419">
        <v>0</v>
      </c>
      <c r="BU62" s="419">
        <v>0</v>
      </c>
      <c r="BV62" s="419">
        <v>0</v>
      </c>
      <c r="BW62" s="419">
        <v>0</v>
      </c>
      <c r="BX62" s="419">
        <v>0</v>
      </c>
      <c r="BY62" s="419">
        <v>0</v>
      </c>
      <c r="BZ62" s="419">
        <v>0</v>
      </c>
      <c r="CA62" s="419">
        <v>0</v>
      </c>
      <c r="CB62" s="419">
        <v>0</v>
      </c>
      <c r="CC62" s="419">
        <v>0</v>
      </c>
    </row>
    <row r="63" spans="6:81">
      <c r="F63" s="49" t="s">
        <v>108</v>
      </c>
      <c r="G63" s="285">
        <f t="shared" si="5"/>
        <v>248934.87039999999</v>
      </c>
      <c r="I63" s="285">
        <f t="shared" si="6"/>
        <v>124467.43519999999</v>
      </c>
      <c r="J63" s="285">
        <f t="shared" si="7"/>
        <v>124467.43519999999</v>
      </c>
      <c r="K63" s="285">
        <f t="shared" si="8"/>
        <v>0</v>
      </c>
      <c r="L63" s="285">
        <f t="shared" si="9"/>
        <v>0</v>
      </c>
      <c r="M63" s="285">
        <f t="shared" si="10"/>
        <v>0</v>
      </c>
      <c r="N63" s="285">
        <f t="shared" si="11"/>
        <v>0</v>
      </c>
      <c r="O63" s="285">
        <f t="shared" si="12"/>
        <v>0</v>
      </c>
      <c r="P63" s="285">
        <f t="shared" si="13"/>
        <v>0</v>
      </c>
      <c r="Q63" s="285">
        <f t="shared" si="14"/>
        <v>0</v>
      </c>
      <c r="R63" s="285">
        <f t="shared" si="15"/>
        <v>0</v>
      </c>
      <c r="S63" s="285">
        <f t="shared" si="16"/>
        <v>0</v>
      </c>
      <c r="T63" s="285">
        <f t="shared" si="17"/>
        <v>0</v>
      </c>
      <c r="U63" s="285">
        <f t="shared" si="18"/>
        <v>0</v>
      </c>
      <c r="V63" s="285">
        <f t="shared" si="19"/>
        <v>0</v>
      </c>
      <c r="W63" s="285">
        <f t="shared" si="20"/>
        <v>0</v>
      </c>
      <c r="X63" s="285">
        <f t="shared" si="21"/>
        <v>0</v>
      </c>
      <c r="Y63" s="285">
        <f t="shared" si="22"/>
        <v>0</v>
      </c>
      <c r="Z63" s="285">
        <f t="shared" si="23"/>
        <v>0</v>
      </c>
      <c r="AA63" s="285">
        <f t="shared" si="24"/>
        <v>0</v>
      </c>
      <c r="AB63" s="285">
        <f t="shared" si="25"/>
        <v>0</v>
      </c>
      <c r="AC63" s="285">
        <f t="shared" si="26"/>
        <v>0</v>
      </c>
      <c r="AD63" s="285">
        <f t="shared" si="27"/>
        <v>0</v>
      </c>
      <c r="AE63" s="285">
        <f t="shared" si="28"/>
        <v>0</v>
      </c>
      <c r="AF63" s="285">
        <f t="shared" si="29"/>
        <v>0</v>
      </c>
      <c r="AG63" s="285">
        <f t="shared" si="30"/>
        <v>0</v>
      </c>
      <c r="AH63" s="285">
        <f t="shared" si="31"/>
        <v>0</v>
      </c>
      <c r="AI63" s="285">
        <f t="shared" si="32"/>
        <v>0</v>
      </c>
      <c r="AJ63" s="285">
        <f t="shared" si="33"/>
        <v>0</v>
      </c>
      <c r="AK63" s="285">
        <f t="shared" si="34"/>
        <v>0</v>
      </c>
      <c r="AL63" s="285">
        <f t="shared" si="35"/>
        <v>0</v>
      </c>
      <c r="AM63" s="285">
        <f t="shared" si="36"/>
        <v>0</v>
      </c>
      <c r="AN63" s="285">
        <f t="shared" si="37"/>
        <v>0</v>
      </c>
      <c r="AO63" s="285">
        <f t="shared" si="38"/>
        <v>0</v>
      </c>
      <c r="AP63" s="285">
        <f t="shared" si="39"/>
        <v>0</v>
      </c>
      <c r="AQ63" s="285">
        <f t="shared" si="40"/>
        <v>0</v>
      </c>
      <c r="AT63" t="s">
        <v>109</v>
      </c>
      <c r="AU63" s="419">
        <v>0.04</v>
      </c>
      <c r="AV63" s="419">
        <v>0.04</v>
      </c>
      <c r="AW63" s="419">
        <v>0.04</v>
      </c>
      <c r="AX63" s="419">
        <v>0.04</v>
      </c>
      <c r="AY63" s="419">
        <v>0.04</v>
      </c>
      <c r="AZ63" s="419">
        <v>0.04</v>
      </c>
      <c r="BA63" s="419">
        <v>0.04</v>
      </c>
      <c r="BB63" s="419">
        <v>0.04</v>
      </c>
      <c r="BC63" s="419">
        <v>0.04</v>
      </c>
      <c r="BD63" s="419">
        <v>0.04</v>
      </c>
      <c r="BE63" s="419">
        <v>0.04</v>
      </c>
      <c r="BF63" s="419">
        <v>0.04</v>
      </c>
      <c r="BG63" s="419">
        <v>0.04</v>
      </c>
      <c r="BH63" s="419">
        <v>0.04</v>
      </c>
      <c r="BI63" s="419">
        <v>0.04</v>
      </c>
      <c r="BJ63" s="419">
        <v>0.04</v>
      </c>
      <c r="BK63" s="419">
        <v>0.04</v>
      </c>
      <c r="BL63" s="419">
        <v>0.04</v>
      </c>
      <c r="BM63" s="419">
        <v>0</v>
      </c>
      <c r="BN63" s="419">
        <v>0</v>
      </c>
      <c r="BO63" s="419">
        <v>0</v>
      </c>
      <c r="BP63" s="419">
        <v>0</v>
      </c>
      <c r="BQ63" s="419">
        <v>0</v>
      </c>
      <c r="BR63" s="419">
        <v>0</v>
      </c>
      <c r="BS63" s="419">
        <v>0</v>
      </c>
      <c r="BT63" s="419">
        <v>0</v>
      </c>
      <c r="BU63" s="419">
        <v>0</v>
      </c>
      <c r="BV63" s="419">
        <v>0</v>
      </c>
      <c r="BW63" s="419">
        <v>0</v>
      </c>
      <c r="BX63" s="419">
        <v>0</v>
      </c>
      <c r="BY63" s="419">
        <v>0</v>
      </c>
      <c r="BZ63" s="419">
        <v>0</v>
      </c>
      <c r="CA63" s="419">
        <v>0</v>
      </c>
      <c r="CB63" s="419">
        <v>0</v>
      </c>
      <c r="CC63" s="419">
        <v>0</v>
      </c>
    </row>
    <row r="64" spans="6:81">
      <c r="F64" s="49" t="s">
        <v>109</v>
      </c>
      <c r="G64" s="285">
        <f t="shared" si="5"/>
        <v>248934.87039999999</v>
      </c>
      <c r="I64" s="285">
        <f t="shared" si="6"/>
        <v>124467.43519999999</v>
      </c>
      <c r="J64" s="285">
        <f t="shared" si="7"/>
        <v>124467.43519999999</v>
      </c>
      <c r="K64" s="285">
        <f t="shared" si="8"/>
        <v>0</v>
      </c>
      <c r="L64" s="285">
        <f t="shared" si="9"/>
        <v>0</v>
      </c>
      <c r="M64" s="285">
        <f t="shared" si="10"/>
        <v>0</v>
      </c>
      <c r="N64" s="285">
        <f t="shared" si="11"/>
        <v>0</v>
      </c>
      <c r="O64" s="285">
        <f t="shared" si="12"/>
        <v>0</v>
      </c>
      <c r="P64" s="285">
        <f t="shared" si="13"/>
        <v>0</v>
      </c>
      <c r="Q64" s="285">
        <f t="shared" si="14"/>
        <v>0</v>
      </c>
      <c r="R64" s="285">
        <f t="shared" si="15"/>
        <v>0</v>
      </c>
      <c r="S64" s="285">
        <f t="shared" si="16"/>
        <v>0</v>
      </c>
      <c r="T64" s="285">
        <f t="shared" si="17"/>
        <v>0</v>
      </c>
      <c r="U64" s="285">
        <f t="shared" si="18"/>
        <v>0</v>
      </c>
      <c r="V64" s="285">
        <f t="shared" si="19"/>
        <v>0</v>
      </c>
      <c r="W64" s="285">
        <f t="shared" si="20"/>
        <v>0</v>
      </c>
      <c r="X64" s="285">
        <f t="shared" si="21"/>
        <v>0</v>
      </c>
      <c r="Y64" s="285">
        <f t="shared" si="22"/>
        <v>0</v>
      </c>
      <c r="Z64" s="285">
        <f t="shared" si="23"/>
        <v>0</v>
      </c>
      <c r="AA64" s="285">
        <f t="shared" si="24"/>
        <v>0</v>
      </c>
      <c r="AB64" s="285">
        <f t="shared" si="25"/>
        <v>0</v>
      </c>
      <c r="AC64" s="285">
        <f t="shared" si="26"/>
        <v>0</v>
      </c>
      <c r="AD64" s="285">
        <f t="shared" si="27"/>
        <v>0</v>
      </c>
      <c r="AE64" s="285">
        <f t="shared" si="28"/>
        <v>0</v>
      </c>
      <c r="AF64" s="285">
        <f t="shared" si="29"/>
        <v>0</v>
      </c>
      <c r="AG64" s="285">
        <f t="shared" si="30"/>
        <v>0</v>
      </c>
      <c r="AH64" s="285">
        <f t="shared" si="31"/>
        <v>0</v>
      </c>
      <c r="AI64" s="285">
        <f t="shared" si="32"/>
        <v>0</v>
      </c>
      <c r="AJ64" s="285">
        <f t="shared" si="33"/>
        <v>0</v>
      </c>
      <c r="AK64" s="285">
        <f t="shared" si="34"/>
        <v>0</v>
      </c>
      <c r="AL64" s="285">
        <f t="shared" si="35"/>
        <v>0</v>
      </c>
      <c r="AM64" s="285">
        <f t="shared" si="36"/>
        <v>0</v>
      </c>
      <c r="AN64" s="285">
        <f t="shared" si="37"/>
        <v>0</v>
      </c>
      <c r="AO64" s="285">
        <f t="shared" si="38"/>
        <v>0</v>
      </c>
      <c r="AP64" s="285">
        <f t="shared" si="39"/>
        <v>0</v>
      </c>
      <c r="AQ64" s="285">
        <f t="shared" si="40"/>
        <v>0</v>
      </c>
      <c r="AT64" t="s">
        <v>110</v>
      </c>
      <c r="AU64" s="419">
        <v>0.04</v>
      </c>
      <c r="AV64" s="419">
        <v>0.04</v>
      </c>
      <c r="AW64" s="419">
        <v>0.04</v>
      </c>
      <c r="AX64" s="419">
        <v>0.04</v>
      </c>
      <c r="AY64" s="419">
        <v>0.04</v>
      </c>
      <c r="AZ64" s="419">
        <v>0.04</v>
      </c>
      <c r="BA64" s="419">
        <v>0.04</v>
      </c>
      <c r="BB64" s="419">
        <v>0.04</v>
      </c>
      <c r="BC64" s="419">
        <v>0.04</v>
      </c>
      <c r="BD64" s="419">
        <v>0.04</v>
      </c>
      <c r="BE64" s="419">
        <v>0.04</v>
      </c>
      <c r="BF64" s="419">
        <v>0.04</v>
      </c>
      <c r="BG64" s="419">
        <v>0.04</v>
      </c>
      <c r="BH64" s="419">
        <v>0.04</v>
      </c>
      <c r="BI64" s="419">
        <v>0.04</v>
      </c>
      <c r="BJ64" s="419">
        <v>0.04</v>
      </c>
      <c r="BK64" s="419">
        <v>0.04</v>
      </c>
      <c r="BL64" s="419">
        <v>0.04</v>
      </c>
      <c r="BM64" s="419">
        <v>0.04</v>
      </c>
      <c r="BN64" s="419">
        <v>0</v>
      </c>
      <c r="BO64" s="419">
        <v>0</v>
      </c>
      <c r="BP64" s="419">
        <v>0</v>
      </c>
      <c r="BQ64" s="419">
        <v>0</v>
      </c>
      <c r="BR64" s="419">
        <v>0</v>
      </c>
      <c r="BS64" s="419">
        <v>0</v>
      </c>
      <c r="BT64" s="419">
        <v>0</v>
      </c>
      <c r="BU64" s="419">
        <v>0</v>
      </c>
      <c r="BV64" s="419">
        <v>0</v>
      </c>
      <c r="BW64" s="419">
        <v>0</v>
      </c>
      <c r="BX64" s="419">
        <v>0</v>
      </c>
      <c r="BY64" s="419">
        <v>0</v>
      </c>
      <c r="BZ64" s="419">
        <v>0</v>
      </c>
      <c r="CA64" s="419">
        <v>0</v>
      </c>
      <c r="CB64" s="419">
        <v>0</v>
      </c>
      <c r="CC64" s="419">
        <v>0</v>
      </c>
    </row>
    <row r="65" spans="6:81">
      <c r="F65" s="49" t="s">
        <v>110</v>
      </c>
      <c r="G65" s="285">
        <f t="shared" si="5"/>
        <v>248934.87039999999</v>
      </c>
      <c r="I65" s="285">
        <f t="shared" si="6"/>
        <v>124467.43519999999</v>
      </c>
      <c r="J65" s="285">
        <f t="shared" si="7"/>
        <v>124467.43519999999</v>
      </c>
      <c r="K65" s="285">
        <f t="shared" si="8"/>
        <v>0</v>
      </c>
      <c r="L65" s="285">
        <f t="shared" si="9"/>
        <v>0</v>
      </c>
      <c r="M65" s="285">
        <f t="shared" si="10"/>
        <v>0</v>
      </c>
      <c r="N65" s="285">
        <f t="shared" si="11"/>
        <v>0</v>
      </c>
      <c r="O65" s="285">
        <f t="shared" si="12"/>
        <v>0</v>
      </c>
      <c r="P65" s="285">
        <f t="shared" si="13"/>
        <v>0</v>
      </c>
      <c r="Q65" s="285">
        <f t="shared" si="14"/>
        <v>0</v>
      </c>
      <c r="R65" s="285">
        <f t="shared" si="15"/>
        <v>0</v>
      </c>
      <c r="S65" s="285">
        <f t="shared" si="16"/>
        <v>0</v>
      </c>
      <c r="T65" s="285">
        <f t="shared" si="17"/>
        <v>0</v>
      </c>
      <c r="U65" s="285">
        <f t="shared" si="18"/>
        <v>0</v>
      </c>
      <c r="V65" s="285">
        <f t="shared" si="19"/>
        <v>0</v>
      </c>
      <c r="W65" s="285">
        <f t="shared" si="20"/>
        <v>0</v>
      </c>
      <c r="X65" s="285">
        <f t="shared" si="21"/>
        <v>0</v>
      </c>
      <c r="Y65" s="285">
        <f t="shared" si="22"/>
        <v>0</v>
      </c>
      <c r="Z65" s="285">
        <f t="shared" si="23"/>
        <v>0</v>
      </c>
      <c r="AA65" s="285">
        <f t="shared" si="24"/>
        <v>0</v>
      </c>
      <c r="AB65" s="285">
        <f t="shared" si="25"/>
        <v>0</v>
      </c>
      <c r="AC65" s="285">
        <f t="shared" si="26"/>
        <v>0</v>
      </c>
      <c r="AD65" s="285">
        <f t="shared" si="27"/>
        <v>0</v>
      </c>
      <c r="AE65" s="285">
        <f t="shared" si="28"/>
        <v>0</v>
      </c>
      <c r="AF65" s="285">
        <f t="shared" si="29"/>
        <v>0</v>
      </c>
      <c r="AG65" s="285">
        <f t="shared" si="30"/>
        <v>0</v>
      </c>
      <c r="AH65" s="285">
        <f t="shared" si="31"/>
        <v>0</v>
      </c>
      <c r="AI65" s="285">
        <f t="shared" si="32"/>
        <v>0</v>
      </c>
      <c r="AJ65" s="285">
        <f t="shared" si="33"/>
        <v>0</v>
      </c>
      <c r="AK65" s="285">
        <f t="shared" si="34"/>
        <v>0</v>
      </c>
      <c r="AL65" s="285">
        <f t="shared" si="35"/>
        <v>0</v>
      </c>
      <c r="AM65" s="285">
        <f t="shared" si="36"/>
        <v>0</v>
      </c>
      <c r="AN65" s="285">
        <f t="shared" si="37"/>
        <v>0</v>
      </c>
      <c r="AO65" s="285">
        <f t="shared" si="38"/>
        <v>0</v>
      </c>
      <c r="AP65" s="285">
        <f t="shared" si="39"/>
        <v>0</v>
      </c>
      <c r="AQ65" s="285">
        <f t="shared" si="40"/>
        <v>0</v>
      </c>
      <c r="AT65" t="s">
        <v>111</v>
      </c>
      <c r="AU65" s="419">
        <v>0.04</v>
      </c>
      <c r="AV65" s="419">
        <v>0.04</v>
      </c>
      <c r="AW65" s="419">
        <v>0.04</v>
      </c>
      <c r="AX65" s="419">
        <v>0.04</v>
      </c>
      <c r="AY65" s="419">
        <v>0.04</v>
      </c>
      <c r="AZ65" s="419">
        <v>0.04</v>
      </c>
      <c r="BA65" s="419">
        <v>0.04</v>
      </c>
      <c r="BB65" s="419">
        <v>0.04</v>
      </c>
      <c r="BC65" s="419">
        <v>0.04</v>
      </c>
      <c r="BD65" s="419">
        <v>0.04</v>
      </c>
      <c r="BE65" s="419">
        <v>0.04</v>
      </c>
      <c r="BF65" s="419">
        <v>0.04</v>
      </c>
      <c r="BG65" s="419">
        <v>0.04</v>
      </c>
      <c r="BH65" s="419">
        <v>0.04</v>
      </c>
      <c r="BI65" s="419">
        <v>0.04</v>
      </c>
      <c r="BJ65" s="419">
        <v>0.04</v>
      </c>
      <c r="BK65" s="419">
        <v>0.04</v>
      </c>
      <c r="BL65" s="419">
        <v>0.04</v>
      </c>
      <c r="BM65" s="419">
        <v>0.04</v>
      </c>
      <c r="BN65" s="419">
        <v>0.04</v>
      </c>
      <c r="BO65" s="419">
        <v>0</v>
      </c>
      <c r="BP65" s="419">
        <v>0</v>
      </c>
      <c r="BQ65" s="419">
        <v>0</v>
      </c>
      <c r="BR65" s="419">
        <v>0</v>
      </c>
      <c r="BS65" s="419">
        <v>0</v>
      </c>
      <c r="BT65" s="419">
        <v>0</v>
      </c>
      <c r="BU65" s="419">
        <v>0</v>
      </c>
      <c r="BV65" s="419">
        <v>0</v>
      </c>
      <c r="BW65" s="419">
        <v>0</v>
      </c>
      <c r="BX65" s="419">
        <v>0</v>
      </c>
      <c r="BY65" s="419">
        <v>0</v>
      </c>
      <c r="BZ65" s="419">
        <v>0</v>
      </c>
      <c r="CA65" s="419">
        <v>0</v>
      </c>
      <c r="CB65" s="419">
        <v>0</v>
      </c>
      <c r="CC65" s="419">
        <v>0</v>
      </c>
    </row>
    <row r="66" spans="6:81">
      <c r="F66" s="49" t="s">
        <v>111</v>
      </c>
      <c r="G66" s="285">
        <f t="shared" si="5"/>
        <v>248934.87039999999</v>
      </c>
      <c r="I66" s="285">
        <f t="shared" si="6"/>
        <v>124467.43519999999</v>
      </c>
      <c r="J66" s="285">
        <f t="shared" si="7"/>
        <v>124467.43519999999</v>
      </c>
      <c r="K66" s="285">
        <f t="shared" si="8"/>
        <v>0</v>
      </c>
      <c r="L66" s="285">
        <f t="shared" si="9"/>
        <v>0</v>
      </c>
      <c r="M66" s="285">
        <f t="shared" si="10"/>
        <v>0</v>
      </c>
      <c r="N66" s="285">
        <f t="shared" si="11"/>
        <v>0</v>
      </c>
      <c r="O66" s="285">
        <f t="shared" si="12"/>
        <v>0</v>
      </c>
      <c r="P66" s="285">
        <f t="shared" si="13"/>
        <v>0</v>
      </c>
      <c r="Q66" s="285">
        <f t="shared" si="14"/>
        <v>0</v>
      </c>
      <c r="R66" s="285">
        <f t="shared" si="15"/>
        <v>0</v>
      </c>
      <c r="S66" s="285">
        <f t="shared" si="16"/>
        <v>0</v>
      </c>
      <c r="T66" s="285">
        <f t="shared" si="17"/>
        <v>0</v>
      </c>
      <c r="U66" s="285">
        <f t="shared" si="18"/>
        <v>0</v>
      </c>
      <c r="V66" s="285">
        <f t="shared" si="19"/>
        <v>0</v>
      </c>
      <c r="W66" s="285">
        <f t="shared" si="20"/>
        <v>0</v>
      </c>
      <c r="X66" s="285">
        <f t="shared" si="21"/>
        <v>0</v>
      </c>
      <c r="Y66" s="285">
        <f t="shared" si="22"/>
        <v>0</v>
      </c>
      <c r="Z66" s="285">
        <f t="shared" si="23"/>
        <v>0</v>
      </c>
      <c r="AA66" s="285">
        <f t="shared" si="24"/>
        <v>0</v>
      </c>
      <c r="AB66" s="285">
        <f t="shared" si="25"/>
        <v>0</v>
      </c>
      <c r="AC66" s="285">
        <f t="shared" si="26"/>
        <v>0</v>
      </c>
      <c r="AD66" s="285">
        <f t="shared" si="27"/>
        <v>0</v>
      </c>
      <c r="AE66" s="285">
        <f t="shared" si="28"/>
        <v>0</v>
      </c>
      <c r="AF66" s="285">
        <f t="shared" si="29"/>
        <v>0</v>
      </c>
      <c r="AG66" s="285">
        <f t="shared" si="30"/>
        <v>0</v>
      </c>
      <c r="AH66" s="285">
        <f t="shared" si="31"/>
        <v>0</v>
      </c>
      <c r="AI66" s="285">
        <f t="shared" si="32"/>
        <v>0</v>
      </c>
      <c r="AJ66" s="285">
        <f t="shared" si="33"/>
        <v>0</v>
      </c>
      <c r="AK66" s="285">
        <f t="shared" si="34"/>
        <v>0</v>
      </c>
      <c r="AL66" s="285">
        <f t="shared" si="35"/>
        <v>0</v>
      </c>
      <c r="AM66" s="285">
        <f t="shared" si="36"/>
        <v>0</v>
      </c>
      <c r="AN66" s="285">
        <f t="shared" si="37"/>
        <v>0</v>
      </c>
      <c r="AO66" s="285">
        <f t="shared" si="38"/>
        <v>0</v>
      </c>
      <c r="AP66" s="285">
        <f t="shared" si="39"/>
        <v>0</v>
      </c>
      <c r="AQ66" s="285">
        <f t="shared" si="40"/>
        <v>0</v>
      </c>
      <c r="AT66" t="s">
        <v>112</v>
      </c>
      <c r="AU66" s="419">
        <v>0.04</v>
      </c>
      <c r="AV66" s="419">
        <v>0.04</v>
      </c>
      <c r="AW66" s="419">
        <v>0.04</v>
      </c>
      <c r="AX66" s="419">
        <v>0.04</v>
      </c>
      <c r="AY66" s="419">
        <v>0.04</v>
      </c>
      <c r="AZ66" s="419">
        <v>0.04</v>
      </c>
      <c r="BA66" s="419">
        <v>0.04</v>
      </c>
      <c r="BB66" s="419">
        <v>0.04</v>
      </c>
      <c r="BC66" s="419">
        <v>0.04</v>
      </c>
      <c r="BD66" s="419">
        <v>0.04</v>
      </c>
      <c r="BE66" s="419">
        <v>0.04</v>
      </c>
      <c r="BF66" s="419">
        <v>0.04</v>
      </c>
      <c r="BG66" s="419">
        <v>0.04</v>
      </c>
      <c r="BH66" s="419">
        <v>0.04</v>
      </c>
      <c r="BI66" s="419">
        <v>0.04</v>
      </c>
      <c r="BJ66" s="419">
        <v>0.04</v>
      </c>
      <c r="BK66" s="419">
        <v>0.04</v>
      </c>
      <c r="BL66" s="419">
        <v>0.04</v>
      </c>
      <c r="BM66" s="419">
        <v>0.04</v>
      </c>
      <c r="BN66" s="419">
        <v>0.04</v>
      </c>
      <c r="BO66" s="419">
        <v>0.04</v>
      </c>
      <c r="BP66" s="419">
        <v>0</v>
      </c>
      <c r="BQ66" s="419">
        <v>0</v>
      </c>
      <c r="BR66" s="419">
        <v>0</v>
      </c>
      <c r="BS66" s="419">
        <v>0</v>
      </c>
      <c r="BT66" s="419">
        <v>0</v>
      </c>
      <c r="BU66" s="419">
        <v>0</v>
      </c>
      <c r="BV66" s="419">
        <v>0</v>
      </c>
      <c r="BW66" s="419">
        <v>0</v>
      </c>
      <c r="BX66" s="419">
        <v>0</v>
      </c>
      <c r="BY66" s="419">
        <v>0</v>
      </c>
      <c r="BZ66" s="419">
        <v>0</v>
      </c>
      <c r="CA66" s="419">
        <v>0</v>
      </c>
      <c r="CB66" s="419">
        <v>0</v>
      </c>
      <c r="CC66" s="419">
        <v>0</v>
      </c>
    </row>
    <row r="67" spans="6:81">
      <c r="F67" s="49" t="s">
        <v>112</v>
      </c>
      <c r="G67" s="285">
        <f t="shared" si="5"/>
        <v>248934.87039999999</v>
      </c>
      <c r="I67" s="285">
        <f t="shared" si="6"/>
        <v>124467.43519999999</v>
      </c>
      <c r="J67" s="285">
        <f t="shared" si="7"/>
        <v>124467.43519999999</v>
      </c>
      <c r="K67" s="285">
        <f t="shared" si="8"/>
        <v>0</v>
      </c>
      <c r="L67" s="285">
        <f t="shared" si="9"/>
        <v>0</v>
      </c>
      <c r="M67" s="285">
        <f t="shared" si="10"/>
        <v>0</v>
      </c>
      <c r="N67" s="285">
        <f t="shared" si="11"/>
        <v>0</v>
      </c>
      <c r="O67" s="285">
        <f t="shared" si="12"/>
        <v>0</v>
      </c>
      <c r="P67" s="285">
        <f t="shared" si="13"/>
        <v>0</v>
      </c>
      <c r="Q67" s="285">
        <f t="shared" si="14"/>
        <v>0</v>
      </c>
      <c r="R67" s="285">
        <f t="shared" si="15"/>
        <v>0</v>
      </c>
      <c r="S67" s="285">
        <f t="shared" si="16"/>
        <v>0</v>
      </c>
      <c r="T67" s="285">
        <f t="shared" si="17"/>
        <v>0</v>
      </c>
      <c r="U67" s="285">
        <f t="shared" si="18"/>
        <v>0</v>
      </c>
      <c r="V67" s="285">
        <f t="shared" si="19"/>
        <v>0</v>
      </c>
      <c r="W67" s="285">
        <f t="shared" si="20"/>
        <v>0</v>
      </c>
      <c r="X67" s="285">
        <f t="shared" si="21"/>
        <v>0</v>
      </c>
      <c r="Y67" s="285">
        <f t="shared" si="22"/>
        <v>0</v>
      </c>
      <c r="Z67" s="285">
        <f t="shared" si="23"/>
        <v>0</v>
      </c>
      <c r="AA67" s="285">
        <f t="shared" si="24"/>
        <v>0</v>
      </c>
      <c r="AB67" s="285">
        <f t="shared" si="25"/>
        <v>0</v>
      </c>
      <c r="AC67" s="285">
        <f t="shared" si="26"/>
        <v>0</v>
      </c>
      <c r="AD67" s="285">
        <f t="shared" si="27"/>
        <v>0</v>
      </c>
      <c r="AE67" s="285">
        <f t="shared" si="28"/>
        <v>0</v>
      </c>
      <c r="AF67" s="285">
        <f t="shared" si="29"/>
        <v>0</v>
      </c>
      <c r="AG67" s="285">
        <f t="shared" si="30"/>
        <v>0</v>
      </c>
      <c r="AH67" s="285">
        <f t="shared" si="31"/>
        <v>0</v>
      </c>
      <c r="AI67" s="285">
        <f t="shared" si="32"/>
        <v>0</v>
      </c>
      <c r="AJ67" s="285">
        <f t="shared" si="33"/>
        <v>0</v>
      </c>
      <c r="AK67" s="285">
        <f t="shared" si="34"/>
        <v>0</v>
      </c>
      <c r="AL67" s="285">
        <f t="shared" si="35"/>
        <v>0</v>
      </c>
      <c r="AM67" s="285">
        <f t="shared" si="36"/>
        <v>0</v>
      </c>
      <c r="AN67" s="285">
        <f t="shared" si="37"/>
        <v>0</v>
      </c>
      <c r="AO67" s="285">
        <f t="shared" si="38"/>
        <v>0</v>
      </c>
      <c r="AP67" s="285">
        <f t="shared" si="39"/>
        <v>0</v>
      </c>
      <c r="AQ67" s="285">
        <f t="shared" si="40"/>
        <v>0</v>
      </c>
      <c r="AT67" t="s">
        <v>113</v>
      </c>
      <c r="AU67" s="419">
        <v>0.04</v>
      </c>
      <c r="AV67" s="419">
        <v>0.04</v>
      </c>
      <c r="AW67" s="419">
        <v>0.04</v>
      </c>
      <c r="AX67" s="419">
        <v>0.04</v>
      </c>
      <c r="AY67" s="419">
        <v>0.04</v>
      </c>
      <c r="AZ67" s="419">
        <v>0.04</v>
      </c>
      <c r="BA67" s="419">
        <v>0.04</v>
      </c>
      <c r="BB67" s="419">
        <v>0.04</v>
      </c>
      <c r="BC67" s="419">
        <v>0.04</v>
      </c>
      <c r="BD67" s="419">
        <v>0.04</v>
      </c>
      <c r="BE67" s="419">
        <v>0.04</v>
      </c>
      <c r="BF67" s="419">
        <v>0.04</v>
      </c>
      <c r="BG67" s="419">
        <v>0.04</v>
      </c>
      <c r="BH67" s="419">
        <v>0.04</v>
      </c>
      <c r="BI67" s="419">
        <v>0.04</v>
      </c>
      <c r="BJ67" s="419">
        <v>0.04</v>
      </c>
      <c r="BK67" s="419">
        <v>0.04</v>
      </c>
      <c r="BL67" s="419">
        <v>0.04</v>
      </c>
      <c r="BM67" s="419">
        <v>0.04</v>
      </c>
      <c r="BN67" s="419">
        <v>0.04</v>
      </c>
      <c r="BO67" s="419">
        <v>0.04</v>
      </c>
      <c r="BP67" s="419">
        <v>0.04</v>
      </c>
      <c r="BQ67" s="419">
        <v>0</v>
      </c>
      <c r="BR67" s="419">
        <v>0</v>
      </c>
      <c r="BS67" s="419">
        <v>0</v>
      </c>
      <c r="BT67" s="419">
        <v>0</v>
      </c>
      <c r="BU67" s="419">
        <v>0</v>
      </c>
      <c r="BV67" s="419">
        <v>0</v>
      </c>
      <c r="BW67" s="419">
        <v>0</v>
      </c>
      <c r="BX67" s="419">
        <v>0</v>
      </c>
      <c r="BY67" s="419">
        <v>0</v>
      </c>
      <c r="BZ67" s="419">
        <v>0</v>
      </c>
      <c r="CA67" s="419">
        <v>0</v>
      </c>
      <c r="CB67" s="419">
        <v>0</v>
      </c>
      <c r="CC67" s="419">
        <v>0</v>
      </c>
    </row>
    <row r="68" spans="6:81">
      <c r="F68" s="49" t="s">
        <v>113</v>
      </c>
      <c r="G68" s="285">
        <f t="shared" si="5"/>
        <v>248934.87039999999</v>
      </c>
      <c r="I68" s="285">
        <f t="shared" si="6"/>
        <v>124467.43519999999</v>
      </c>
      <c r="J68" s="285">
        <f t="shared" si="7"/>
        <v>124467.43519999999</v>
      </c>
      <c r="K68" s="285">
        <f t="shared" si="8"/>
        <v>0</v>
      </c>
      <c r="L68" s="285">
        <f t="shared" si="9"/>
        <v>0</v>
      </c>
      <c r="M68" s="285">
        <f t="shared" si="10"/>
        <v>0</v>
      </c>
      <c r="N68" s="285">
        <f t="shared" si="11"/>
        <v>0</v>
      </c>
      <c r="O68" s="285">
        <f t="shared" si="12"/>
        <v>0</v>
      </c>
      <c r="P68" s="285">
        <f t="shared" si="13"/>
        <v>0</v>
      </c>
      <c r="Q68" s="285">
        <f t="shared" si="14"/>
        <v>0</v>
      </c>
      <c r="R68" s="285">
        <f t="shared" si="15"/>
        <v>0</v>
      </c>
      <c r="S68" s="285">
        <f t="shared" si="16"/>
        <v>0</v>
      </c>
      <c r="T68" s="285">
        <f t="shared" si="17"/>
        <v>0</v>
      </c>
      <c r="U68" s="285">
        <f t="shared" si="18"/>
        <v>0</v>
      </c>
      <c r="V68" s="285">
        <f t="shared" si="19"/>
        <v>0</v>
      </c>
      <c r="W68" s="285">
        <f t="shared" si="20"/>
        <v>0</v>
      </c>
      <c r="X68" s="285">
        <f t="shared" si="21"/>
        <v>0</v>
      </c>
      <c r="Y68" s="285">
        <f t="shared" si="22"/>
        <v>0</v>
      </c>
      <c r="Z68" s="285">
        <f t="shared" si="23"/>
        <v>0</v>
      </c>
      <c r="AA68" s="285">
        <f t="shared" si="24"/>
        <v>0</v>
      </c>
      <c r="AB68" s="285">
        <f t="shared" si="25"/>
        <v>0</v>
      </c>
      <c r="AC68" s="285">
        <f t="shared" si="26"/>
        <v>0</v>
      </c>
      <c r="AD68" s="285">
        <f t="shared" si="27"/>
        <v>0</v>
      </c>
      <c r="AE68" s="285">
        <f t="shared" si="28"/>
        <v>0</v>
      </c>
      <c r="AF68" s="285">
        <f t="shared" si="29"/>
        <v>0</v>
      </c>
      <c r="AG68" s="285">
        <f t="shared" si="30"/>
        <v>0</v>
      </c>
      <c r="AH68" s="285">
        <f t="shared" si="31"/>
        <v>0</v>
      </c>
      <c r="AI68" s="285">
        <f t="shared" si="32"/>
        <v>0</v>
      </c>
      <c r="AJ68" s="285">
        <f t="shared" si="33"/>
        <v>0</v>
      </c>
      <c r="AK68" s="285">
        <f t="shared" si="34"/>
        <v>0</v>
      </c>
      <c r="AL68" s="285">
        <f t="shared" si="35"/>
        <v>0</v>
      </c>
      <c r="AM68" s="285">
        <f t="shared" si="36"/>
        <v>0</v>
      </c>
      <c r="AN68" s="285">
        <f t="shared" si="37"/>
        <v>0</v>
      </c>
      <c r="AO68" s="285">
        <f t="shared" si="38"/>
        <v>0</v>
      </c>
      <c r="AP68" s="285">
        <f t="shared" si="39"/>
        <v>0</v>
      </c>
      <c r="AQ68" s="285">
        <f t="shared" si="40"/>
        <v>0</v>
      </c>
      <c r="AT68" t="s">
        <v>114</v>
      </c>
      <c r="AU68" s="419">
        <v>0.04</v>
      </c>
      <c r="AV68" s="419">
        <v>0.04</v>
      </c>
      <c r="AW68" s="419">
        <v>0.04</v>
      </c>
      <c r="AX68" s="419">
        <v>0.04</v>
      </c>
      <c r="AY68" s="419">
        <v>0.04</v>
      </c>
      <c r="AZ68" s="419">
        <v>0.04</v>
      </c>
      <c r="BA68" s="419">
        <v>0.04</v>
      </c>
      <c r="BB68" s="419">
        <v>0.04</v>
      </c>
      <c r="BC68" s="419">
        <v>0.04</v>
      </c>
      <c r="BD68" s="419">
        <v>0.04</v>
      </c>
      <c r="BE68" s="419">
        <v>0.04</v>
      </c>
      <c r="BF68" s="419">
        <v>0.04</v>
      </c>
      <c r="BG68" s="419">
        <v>0.04</v>
      </c>
      <c r="BH68" s="419">
        <v>0.04</v>
      </c>
      <c r="BI68" s="419">
        <v>0.04</v>
      </c>
      <c r="BJ68" s="419">
        <v>0.04</v>
      </c>
      <c r="BK68" s="419">
        <v>0.04</v>
      </c>
      <c r="BL68" s="419">
        <v>0.04</v>
      </c>
      <c r="BM68" s="419">
        <v>0.04</v>
      </c>
      <c r="BN68" s="419">
        <v>0.04</v>
      </c>
      <c r="BO68" s="419">
        <v>0.04</v>
      </c>
      <c r="BP68" s="419">
        <v>0.04</v>
      </c>
      <c r="BQ68" s="419">
        <v>0.04</v>
      </c>
      <c r="BR68" s="419">
        <v>0</v>
      </c>
      <c r="BS68" s="419">
        <v>0</v>
      </c>
      <c r="BT68" s="419">
        <v>0</v>
      </c>
      <c r="BU68" s="419">
        <v>0</v>
      </c>
      <c r="BV68" s="419">
        <v>0</v>
      </c>
      <c r="BW68" s="419">
        <v>0</v>
      </c>
      <c r="BX68" s="419">
        <v>0</v>
      </c>
      <c r="BY68" s="419">
        <v>0</v>
      </c>
      <c r="BZ68" s="419">
        <v>0</v>
      </c>
      <c r="CA68" s="419">
        <v>0</v>
      </c>
      <c r="CB68" s="419">
        <v>0</v>
      </c>
      <c r="CC68" s="419">
        <v>0</v>
      </c>
    </row>
    <row r="69" spans="6:81">
      <c r="F69" s="49" t="s">
        <v>114</v>
      </c>
      <c r="G69" s="285">
        <f t="shared" si="5"/>
        <v>248934.87039999999</v>
      </c>
      <c r="I69" s="285">
        <f t="shared" si="6"/>
        <v>124467.43519999999</v>
      </c>
      <c r="J69" s="285">
        <f t="shared" si="7"/>
        <v>124467.43519999999</v>
      </c>
      <c r="K69" s="285">
        <f t="shared" si="8"/>
        <v>0</v>
      </c>
      <c r="L69" s="285">
        <f t="shared" si="9"/>
        <v>0</v>
      </c>
      <c r="M69" s="285">
        <f t="shared" si="10"/>
        <v>0</v>
      </c>
      <c r="N69" s="285">
        <f t="shared" si="11"/>
        <v>0</v>
      </c>
      <c r="O69" s="285">
        <f t="shared" si="12"/>
        <v>0</v>
      </c>
      <c r="P69" s="285">
        <f t="shared" si="13"/>
        <v>0</v>
      </c>
      <c r="Q69" s="285">
        <f t="shared" si="14"/>
        <v>0</v>
      </c>
      <c r="R69" s="285">
        <f t="shared" si="15"/>
        <v>0</v>
      </c>
      <c r="S69" s="285">
        <f t="shared" si="16"/>
        <v>0</v>
      </c>
      <c r="T69" s="285">
        <f t="shared" si="17"/>
        <v>0</v>
      </c>
      <c r="U69" s="285">
        <f t="shared" si="18"/>
        <v>0</v>
      </c>
      <c r="V69" s="285">
        <f t="shared" si="19"/>
        <v>0</v>
      </c>
      <c r="W69" s="285">
        <f t="shared" si="20"/>
        <v>0</v>
      </c>
      <c r="X69" s="285">
        <f t="shared" si="21"/>
        <v>0</v>
      </c>
      <c r="Y69" s="285">
        <f t="shared" si="22"/>
        <v>0</v>
      </c>
      <c r="Z69" s="285">
        <f t="shared" si="23"/>
        <v>0</v>
      </c>
      <c r="AA69" s="285">
        <f t="shared" si="24"/>
        <v>0</v>
      </c>
      <c r="AB69" s="285">
        <f t="shared" si="25"/>
        <v>0</v>
      </c>
      <c r="AC69" s="285">
        <f t="shared" si="26"/>
        <v>0</v>
      </c>
      <c r="AD69" s="285">
        <f t="shared" si="27"/>
        <v>0</v>
      </c>
      <c r="AE69" s="285">
        <f t="shared" si="28"/>
        <v>0</v>
      </c>
      <c r="AF69" s="285">
        <f t="shared" si="29"/>
        <v>0</v>
      </c>
      <c r="AG69" s="285">
        <f t="shared" si="30"/>
        <v>0</v>
      </c>
      <c r="AH69" s="285">
        <f t="shared" si="31"/>
        <v>0</v>
      </c>
      <c r="AI69" s="285">
        <f t="shared" si="32"/>
        <v>0</v>
      </c>
      <c r="AJ69" s="285">
        <f t="shared" si="33"/>
        <v>0</v>
      </c>
      <c r="AK69" s="285">
        <f t="shared" si="34"/>
        <v>0</v>
      </c>
      <c r="AL69" s="285">
        <f t="shared" si="35"/>
        <v>0</v>
      </c>
      <c r="AM69" s="285">
        <f t="shared" si="36"/>
        <v>0</v>
      </c>
      <c r="AN69" s="285">
        <f t="shared" si="37"/>
        <v>0</v>
      </c>
      <c r="AO69" s="285">
        <f t="shared" si="38"/>
        <v>0</v>
      </c>
      <c r="AP69" s="285">
        <f t="shared" si="39"/>
        <v>0</v>
      </c>
      <c r="AQ69" s="285">
        <f t="shared" si="40"/>
        <v>0</v>
      </c>
      <c r="AT69" t="s">
        <v>115</v>
      </c>
      <c r="AU69" s="419">
        <v>0.04</v>
      </c>
      <c r="AV69" s="419">
        <v>0.04</v>
      </c>
      <c r="AW69" s="419">
        <v>0.04</v>
      </c>
      <c r="AX69" s="419">
        <v>0.04</v>
      </c>
      <c r="AY69" s="419">
        <v>0.04</v>
      </c>
      <c r="AZ69" s="419">
        <v>0.04</v>
      </c>
      <c r="BA69" s="419">
        <v>0.04</v>
      </c>
      <c r="BB69" s="419">
        <v>0.04</v>
      </c>
      <c r="BC69" s="419">
        <v>0.04</v>
      </c>
      <c r="BD69" s="419">
        <v>0.04</v>
      </c>
      <c r="BE69" s="419">
        <v>0.04</v>
      </c>
      <c r="BF69" s="419">
        <v>0.04</v>
      </c>
      <c r="BG69" s="419">
        <v>0.04</v>
      </c>
      <c r="BH69" s="419">
        <v>0.04</v>
      </c>
      <c r="BI69" s="419">
        <v>0.04</v>
      </c>
      <c r="BJ69" s="419">
        <v>0.04</v>
      </c>
      <c r="BK69" s="419">
        <v>0.04</v>
      </c>
      <c r="BL69" s="419">
        <v>0.04</v>
      </c>
      <c r="BM69" s="419">
        <v>0.04</v>
      </c>
      <c r="BN69" s="419">
        <v>0.04</v>
      </c>
      <c r="BO69" s="419">
        <v>0.04</v>
      </c>
      <c r="BP69" s="419">
        <v>0.04</v>
      </c>
      <c r="BQ69" s="419">
        <v>0.04</v>
      </c>
      <c r="BR69" s="419">
        <v>0.04</v>
      </c>
      <c r="BS69" s="419">
        <v>0</v>
      </c>
      <c r="BT69" s="419">
        <v>0</v>
      </c>
      <c r="BU69" s="419">
        <v>0</v>
      </c>
      <c r="BV69" s="419">
        <v>0</v>
      </c>
      <c r="BW69" s="419">
        <v>0</v>
      </c>
      <c r="BX69" s="419">
        <v>0</v>
      </c>
      <c r="BY69" s="419">
        <v>0</v>
      </c>
      <c r="BZ69" s="419">
        <v>0</v>
      </c>
      <c r="CA69" s="419">
        <v>0</v>
      </c>
      <c r="CB69" s="419">
        <v>0</v>
      </c>
      <c r="CC69" s="419">
        <v>0</v>
      </c>
    </row>
    <row r="70" spans="6:81">
      <c r="F70" s="49" t="s">
        <v>115</v>
      </c>
      <c r="G70" s="285">
        <f t="shared" si="5"/>
        <v>248934.87039999999</v>
      </c>
      <c r="I70" s="285">
        <f t="shared" si="6"/>
        <v>124467.43519999999</v>
      </c>
      <c r="J70" s="285">
        <f t="shared" si="7"/>
        <v>124467.43519999999</v>
      </c>
      <c r="K70" s="285">
        <f t="shared" si="8"/>
        <v>0</v>
      </c>
      <c r="L70" s="285">
        <f t="shared" si="9"/>
        <v>0</v>
      </c>
      <c r="M70" s="285">
        <f t="shared" si="10"/>
        <v>0</v>
      </c>
      <c r="N70" s="285">
        <f t="shared" si="11"/>
        <v>0</v>
      </c>
      <c r="O70" s="285">
        <f t="shared" si="12"/>
        <v>0</v>
      </c>
      <c r="P70" s="285">
        <f t="shared" si="13"/>
        <v>0</v>
      </c>
      <c r="Q70" s="285">
        <f t="shared" si="14"/>
        <v>0</v>
      </c>
      <c r="R70" s="285">
        <f t="shared" si="15"/>
        <v>0</v>
      </c>
      <c r="S70" s="285">
        <f t="shared" si="16"/>
        <v>0</v>
      </c>
      <c r="T70" s="285">
        <f t="shared" si="17"/>
        <v>0</v>
      </c>
      <c r="U70" s="285">
        <f t="shared" si="18"/>
        <v>0</v>
      </c>
      <c r="V70" s="285">
        <f t="shared" si="19"/>
        <v>0</v>
      </c>
      <c r="W70" s="285">
        <f t="shared" si="20"/>
        <v>0</v>
      </c>
      <c r="X70" s="285">
        <f t="shared" si="21"/>
        <v>0</v>
      </c>
      <c r="Y70" s="285">
        <f t="shared" si="22"/>
        <v>0</v>
      </c>
      <c r="Z70" s="285">
        <f t="shared" si="23"/>
        <v>0</v>
      </c>
      <c r="AA70" s="285">
        <f t="shared" si="24"/>
        <v>0</v>
      </c>
      <c r="AB70" s="285">
        <f t="shared" si="25"/>
        <v>0</v>
      </c>
      <c r="AC70" s="285">
        <f t="shared" si="26"/>
        <v>0</v>
      </c>
      <c r="AD70" s="285">
        <f t="shared" si="27"/>
        <v>0</v>
      </c>
      <c r="AE70" s="285">
        <f t="shared" si="28"/>
        <v>0</v>
      </c>
      <c r="AF70" s="285">
        <f t="shared" si="29"/>
        <v>0</v>
      </c>
      <c r="AG70" s="285">
        <f t="shared" si="30"/>
        <v>0</v>
      </c>
      <c r="AH70" s="285">
        <f t="shared" si="31"/>
        <v>0</v>
      </c>
      <c r="AI70" s="285">
        <f t="shared" si="32"/>
        <v>0</v>
      </c>
      <c r="AJ70" s="285">
        <f t="shared" si="33"/>
        <v>0</v>
      </c>
      <c r="AK70" s="285">
        <f t="shared" si="34"/>
        <v>0</v>
      </c>
      <c r="AL70" s="285">
        <f t="shared" si="35"/>
        <v>0</v>
      </c>
      <c r="AM70" s="285">
        <f t="shared" si="36"/>
        <v>0</v>
      </c>
      <c r="AN70" s="285">
        <f t="shared" si="37"/>
        <v>0</v>
      </c>
      <c r="AO70" s="285">
        <f t="shared" si="38"/>
        <v>0</v>
      </c>
      <c r="AP70" s="285">
        <f t="shared" si="39"/>
        <v>0</v>
      </c>
      <c r="AQ70" s="285">
        <f t="shared" si="40"/>
        <v>0</v>
      </c>
      <c r="AT70" t="s">
        <v>116</v>
      </c>
      <c r="AU70" s="419">
        <v>0.04</v>
      </c>
      <c r="AV70" s="419">
        <v>0.04</v>
      </c>
      <c r="AW70" s="419">
        <v>0.04</v>
      </c>
      <c r="AX70" s="419">
        <v>0.04</v>
      </c>
      <c r="AY70" s="419">
        <v>0.04</v>
      </c>
      <c r="AZ70" s="419">
        <v>0.04</v>
      </c>
      <c r="BA70" s="419">
        <v>0.04</v>
      </c>
      <c r="BB70" s="419">
        <v>0.04</v>
      </c>
      <c r="BC70" s="419">
        <v>0.04</v>
      </c>
      <c r="BD70" s="419">
        <v>0.04</v>
      </c>
      <c r="BE70" s="419">
        <v>0.04</v>
      </c>
      <c r="BF70" s="419">
        <v>0.04</v>
      </c>
      <c r="BG70" s="419">
        <v>0.04</v>
      </c>
      <c r="BH70" s="419">
        <v>0.04</v>
      </c>
      <c r="BI70" s="419">
        <v>0.04</v>
      </c>
      <c r="BJ70" s="419">
        <v>0.04</v>
      </c>
      <c r="BK70" s="419">
        <v>0.04</v>
      </c>
      <c r="BL70" s="419">
        <v>0.04</v>
      </c>
      <c r="BM70" s="419">
        <v>0.04</v>
      </c>
      <c r="BN70" s="419">
        <v>0.04</v>
      </c>
      <c r="BO70" s="419">
        <v>0.04</v>
      </c>
      <c r="BP70" s="419">
        <v>0.04</v>
      </c>
      <c r="BQ70" s="419">
        <v>0.04</v>
      </c>
      <c r="BR70" s="419">
        <v>0.04</v>
      </c>
      <c r="BS70" s="419">
        <v>0.04</v>
      </c>
      <c r="BT70" s="419">
        <v>0</v>
      </c>
      <c r="BU70" s="419">
        <v>0</v>
      </c>
      <c r="BV70" s="419">
        <v>0</v>
      </c>
      <c r="BW70" s="419">
        <v>0</v>
      </c>
      <c r="BX70" s="419">
        <v>0</v>
      </c>
      <c r="BY70" s="419">
        <v>0</v>
      </c>
      <c r="BZ70" s="419">
        <v>0</v>
      </c>
      <c r="CA70" s="419">
        <v>0</v>
      </c>
      <c r="CB70" s="419">
        <v>0</v>
      </c>
      <c r="CC70" s="419">
        <v>0</v>
      </c>
    </row>
    <row r="71" spans="6:81">
      <c r="F71" s="49" t="s">
        <v>116</v>
      </c>
      <c r="G71" s="285">
        <f t="shared" si="5"/>
        <v>248934.87039999999</v>
      </c>
      <c r="I71" s="285">
        <f t="shared" si="6"/>
        <v>124467.43519999999</v>
      </c>
      <c r="J71" s="285">
        <f t="shared" si="7"/>
        <v>124467.43519999999</v>
      </c>
      <c r="K71" s="285">
        <f t="shared" si="8"/>
        <v>0</v>
      </c>
      <c r="L71" s="285">
        <f t="shared" si="9"/>
        <v>0</v>
      </c>
      <c r="M71" s="285">
        <f t="shared" si="10"/>
        <v>0</v>
      </c>
      <c r="N71" s="285">
        <f t="shared" si="11"/>
        <v>0</v>
      </c>
      <c r="O71" s="285">
        <f t="shared" si="12"/>
        <v>0</v>
      </c>
      <c r="P71" s="285">
        <f t="shared" si="13"/>
        <v>0</v>
      </c>
      <c r="Q71" s="285">
        <f t="shared" si="14"/>
        <v>0</v>
      </c>
      <c r="R71" s="285">
        <f t="shared" si="15"/>
        <v>0</v>
      </c>
      <c r="S71" s="285">
        <f t="shared" si="16"/>
        <v>0</v>
      </c>
      <c r="T71" s="285">
        <f t="shared" si="17"/>
        <v>0</v>
      </c>
      <c r="U71" s="285">
        <f t="shared" si="18"/>
        <v>0</v>
      </c>
      <c r="V71" s="285">
        <f t="shared" si="19"/>
        <v>0</v>
      </c>
      <c r="W71" s="285">
        <f t="shared" si="20"/>
        <v>0</v>
      </c>
      <c r="X71" s="285">
        <f t="shared" si="21"/>
        <v>0</v>
      </c>
      <c r="Y71" s="285">
        <f t="shared" si="22"/>
        <v>0</v>
      </c>
      <c r="Z71" s="285">
        <f t="shared" si="23"/>
        <v>0</v>
      </c>
      <c r="AA71" s="285">
        <f t="shared" si="24"/>
        <v>0</v>
      </c>
      <c r="AB71" s="285">
        <f t="shared" si="25"/>
        <v>0</v>
      </c>
      <c r="AC71" s="285">
        <f t="shared" si="26"/>
        <v>0</v>
      </c>
      <c r="AD71" s="285">
        <f t="shared" si="27"/>
        <v>0</v>
      </c>
      <c r="AE71" s="285">
        <f t="shared" si="28"/>
        <v>0</v>
      </c>
      <c r="AF71" s="285">
        <f t="shared" si="29"/>
        <v>0</v>
      </c>
      <c r="AG71" s="285">
        <f t="shared" si="30"/>
        <v>0</v>
      </c>
      <c r="AH71" s="285">
        <f t="shared" si="31"/>
        <v>0</v>
      </c>
      <c r="AI71" s="285">
        <f t="shared" si="32"/>
        <v>0</v>
      </c>
      <c r="AJ71" s="285">
        <f t="shared" si="33"/>
        <v>0</v>
      </c>
      <c r="AK71" s="285">
        <f t="shared" si="34"/>
        <v>0</v>
      </c>
      <c r="AL71" s="285">
        <f t="shared" si="35"/>
        <v>0</v>
      </c>
      <c r="AM71" s="285">
        <f t="shared" si="36"/>
        <v>0</v>
      </c>
      <c r="AN71" s="285">
        <f t="shared" si="37"/>
        <v>0</v>
      </c>
      <c r="AO71" s="285">
        <f t="shared" si="38"/>
        <v>0</v>
      </c>
      <c r="AP71" s="285">
        <f t="shared" si="39"/>
        <v>0</v>
      </c>
      <c r="AQ71" s="285">
        <f t="shared" si="40"/>
        <v>0</v>
      </c>
      <c r="AT71" t="s">
        <v>117</v>
      </c>
      <c r="AU71" s="419">
        <v>0</v>
      </c>
      <c r="AV71" s="419">
        <v>0.04</v>
      </c>
      <c r="AW71" s="419">
        <v>0.04</v>
      </c>
      <c r="AX71" s="419">
        <v>0.04</v>
      </c>
      <c r="AY71" s="419">
        <v>0.04</v>
      </c>
      <c r="AZ71" s="419">
        <v>0.04</v>
      </c>
      <c r="BA71" s="419">
        <v>0.04</v>
      </c>
      <c r="BB71" s="419">
        <v>0.04</v>
      </c>
      <c r="BC71" s="419">
        <v>0.04</v>
      </c>
      <c r="BD71" s="419">
        <v>0.04</v>
      </c>
      <c r="BE71" s="419">
        <v>0.04</v>
      </c>
      <c r="BF71" s="419">
        <v>0.04</v>
      </c>
      <c r="BG71" s="419">
        <v>0.04</v>
      </c>
      <c r="BH71" s="419">
        <v>0.04</v>
      </c>
      <c r="BI71" s="419">
        <v>0.04</v>
      </c>
      <c r="BJ71" s="419">
        <v>0.04</v>
      </c>
      <c r="BK71" s="419">
        <v>0.04</v>
      </c>
      <c r="BL71" s="419">
        <v>0.04</v>
      </c>
      <c r="BM71" s="419">
        <v>0.04</v>
      </c>
      <c r="BN71" s="419">
        <v>0.04</v>
      </c>
      <c r="BO71" s="419">
        <v>0.04</v>
      </c>
      <c r="BP71" s="419">
        <v>0.04</v>
      </c>
      <c r="BQ71" s="419">
        <v>0.04</v>
      </c>
      <c r="BR71" s="419">
        <v>0.04</v>
      </c>
      <c r="BS71" s="419">
        <v>0.04</v>
      </c>
      <c r="BT71" s="419">
        <v>0.04</v>
      </c>
      <c r="BU71" s="419">
        <v>0</v>
      </c>
      <c r="BV71" s="419">
        <v>0</v>
      </c>
      <c r="BW71" s="419">
        <v>0</v>
      </c>
      <c r="BX71" s="419">
        <v>0</v>
      </c>
      <c r="BY71" s="419">
        <v>0</v>
      </c>
      <c r="BZ71" s="419">
        <v>0</v>
      </c>
      <c r="CA71" s="419">
        <v>0</v>
      </c>
      <c r="CB71" s="419">
        <v>0</v>
      </c>
      <c r="CC71" s="419">
        <v>0</v>
      </c>
    </row>
    <row r="72" spans="6:81">
      <c r="F72" s="49" t="s">
        <v>117</v>
      </c>
      <c r="G72" s="285">
        <f t="shared" si="5"/>
        <v>124467.43519999999</v>
      </c>
      <c r="I72" s="285">
        <f t="shared" si="6"/>
        <v>0</v>
      </c>
      <c r="J72" s="285">
        <f t="shared" si="7"/>
        <v>124467.43519999999</v>
      </c>
      <c r="K72" s="285">
        <f t="shared" si="8"/>
        <v>0</v>
      </c>
      <c r="L72" s="285">
        <f t="shared" si="9"/>
        <v>0</v>
      </c>
      <c r="M72" s="285">
        <f t="shared" si="10"/>
        <v>0</v>
      </c>
      <c r="N72" s="285">
        <f t="shared" si="11"/>
        <v>0</v>
      </c>
      <c r="O72" s="285">
        <f t="shared" si="12"/>
        <v>0</v>
      </c>
      <c r="P72" s="285">
        <f t="shared" si="13"/>
        <v>0</v>
      </c>
      <c r="Q72" s="285">
        <f t="shared" si="14"/>
        <v>0</v>
      </c>
      <c r="R72" s="285">
        <f t="shared" si="15"/>
        <v>0</v>
      </c>
      <c r="S72" s="285">
        <f t="shared" si="16"/>
        <v>0</v>
      </c>
      <c r="T72" s="285">
        <f t="shared" si="17"/>
        <v>0</v>
      </c>
      <c r="U72" s="285">
        <f t="shared" si="18"/>
        <v>0</v>
      </c>
      <c r="V72" s="285">
        <f t="shared" si="19"/>
        <v>0</v>
      </c>
      <c r="W72" s="285">
        <f t="shared" si="20"/>
        <v>0</v>
      </c>
      <c r="X72" s="285">
        <f t="shared" si="21"/>
        <v>0</v>
      </c>
      <c r="Y72" s="285">
        <f t="shared" si="22"/>
        <v>0</v>
      </c>
      <c r="Z72" s="285">
        <f t="shared" si="23"/>
        <v>0</v>
      </c>
      <c r="AA72" s="285">
        <f t="shared" si="24"/>
        <v>0</v>
      </c>
      <c r="AB72" s="285">
        <f t="shared" si="25"/>
        <v>0</v>
      </c>
      <c r="AC72" s="285">
        <f t="shared" si="26"/>
        <v>0</v>
      </c>
      <c r="AD72" s="285">
        <f t="shared" si="27"/>
        <v>0</v>
      </c>
      <c r="AE72" s="285">
        <f t="shared" si="28"/>
        <v>0</v>
      </c>
      <c r="AF72" s="285">
        <f t="shared" si="29"/>
        <v>0</v>
      </c>
      <c r="AG72" s="285">
        <f t="shared" si="30"/>
        <v>0</v>
      </c>
      <c r="AH72" s="285">
        <f t="shared" si="31"/>
        <v>0</v>
      </c>
      <c r="AI72" s="285">
        <f t="shared" si="32"/>
        <v>0</v>
      </c>
      <c r="AJ72" s="285">
        <f t="shared" si="33"/>
        <v>0</v>
      </c>
      <c r="AK72" s="285">
        <f t="shared" si="34"/>
        <v>0</v>
      </c>
      <c r="AL72" s="285">
        <f t="shared" si="35"/>
        <v>0</v>
      </c>
      <c r="AM72" s="285">
        <f t="shared" si="36"/>
        <v>0</v>
      </c>
      <c r="AN72" s="285">
        <f t="shared" si="37"/>
        <v>0</v>
      </c>
      <c r="AO72" s="285">
        <f t="shared" si="38"/>
        <v>0</v>
      </c>
      <c r="AP72" s="285">
        <f t="shared" si="39"/>
        <v>0</v>
      </c>
      <c r="AQ72" s="285">
        <f t="shared" si="40"/>
        <v>0</v>
      </c>
      <c r="AT72" t="s">
        <v>118</v>
      </c>
      <c r="AU72" s="419">
        <v>0</v>
      </c>
      <c r="AV72" s="419">
        <v>0</v>
      </c>
      <c r="AW72" s="419">
        <v>0.04</v>
      </c>
      <c r="AX72" s="419">
        <v>0.04</v>
      </c>
      <c r="AY72" s="419">
        <v>0.04</v>
      </c>
      <c r="AZ72" s="419">
        <v>0.04</v>
      </c>
      <c r="BA72" s="419">
        <v>0.04</v>
      </c>
      <c r="BB72" s="419">
        <v>0.04</v>
      </c>
      <c r="BC72" s="419">
        <v>0.04</v>
      </c>
      <c r="BD72" s="419">
        <v>0.04</v>
      </c>
      <c r="BE72" s="419">
        <v>0.04</v>
      </c>
      <c r="BF72" s="419">
        <v>0.04</v>
      </c>
      <c r="BG72" s="419">
        <v>0.04</v>
      </c>
      <c r="BH72" s="419">
        <v>0.04</v>
      </c>
      <c r="BI72" s="419">
        <v>0.04</v>
      </c>
      <c r="BJ72" s="419">
        <v>0.04</v>
      </c>
      <c r="BK72" s="419">
        <v>0.04</v>
      </c>
      <c r="BL72" s="419">
        <v>0.04</v>
      </c>
      <c r="BM72" s="419">
        <v>0.04</v>
      </c>
      <c r="BN72" s="419">
        <v>0.04</v>
      </c>
      <c r="BO72" s="419">
        <v>0.04</v>
      </c>
      <c r="BP72" s="419">
        <v>0.04</v>
      </c>
      <c r="BQ72" s="419">
        <v>0.04</v>
      </c>
      <c r="BR72" s="419">
        <v>0.04</v>
      </c>
      <c r="BS72" s="419">
        <v>0.04</v>
      </c>
      <c r="BT72" s="419">
        <v>0.04</v>
      </c>
      <c r="BU72" s="419">
        <v>0.04</v>
      </c>
      <c r="BV72" s="419">
        <v>0</v>
      </c>
      <c r="BW72" s="419">
        <v>0</v>
      </c>
      <c r="BX72" s="419">
        <v>0</v>
      </c>
      <c r="BY72" s="419">
        <v>0</v>
      </c>
      <c r="BZ72" s="419">
        <v>0</v>
      </c>
      <c r="CA72" s="419">
        <v>0</v>
      </c>
      <c r="CB72" s="419">
        <v>0</v>
      </c>
      <c r="CC72" s="419">
        <v>0</v>
      </c>
    </row>
    <row r="73" spans="6:81">
      <c r="F73" s="49" t="s">
        <v>118</v>
      </c>
      <c r="G73" s="285">
        <f t="shared" si="5"/>
        <v>0</v>
      </c>
      <c r="I73" s="285">
        <f t="shared" si="6"/>
        <v>0</v>
      </c>
      <c r="J73" s="285">
        <f t="shared" si="7"/>
        <v>0</v>
      </c>
      <c r="K73" s="285">
        <f t="shared" si="8"/>
        <v>0</v>
      </c>
      <c r="L73" s="285">
        <f t="shared" si="9"/>
        <v>0</v>
      </c>
      <c r="M73" s="285">
        <f t="shared" si="10"/>
        <v>0</v>
      </c>
      <c r="N73" s="285">
        <f t="shared" si="11"/>
        <v>0</v>
      </c>
      <c r="O73" s="285">
        <f t="shared" si="12"/>
        <v>0</v>
      </c>
      <c r="P73" s="285">
        <f t="shared" si="13"/>
        <v>0</v>
      </c>
      <c r="Q73" s="285">
        <f t="shared" si="14"/>
        <v>0</v>
      </c>
      <c r="R73" s="285">
        <f t="shared" si="15"/>
        <v>0</v>
      </c>
      <c r="S73" s="285">
        <f t="shared" si="16"/>
        <v>0</v>
      </c>
      <c r="T73" s="285">
        <f t="shared" si="17"/>
        <v>0</v>
      </c>
      <c r="U73" s="285">
        <f t="shared" si="18"/>
        <v>0</v>
      </c>
      <c r="V73" s="285">
        <f t="shared" si="19"/>
        <v>0</v>
      </c>
      <c r="W73" s="285">
        <f t="shared" si="20"/>
        <v>0</v>
      </c>
      <c r="X73" s="285">
        <f t="shared" si="21"/>
        <v>0</v>
      </c>
      <c r="Y73" s="285">
        <f t="shared" si="22"/>
        <v>0</v>
      </c>
      <c r="Z73" s="285">
        <f t="shared" si="23"/>
        <v>0</v>
      </c>
      <c r="AA73" s="285">
        <f t="shared" si="24"/>
        <v>0</v>
      </c>
      <c r="AB73" s="285">
        <f t="shared" si="25"/>
        <v>0</v>
      </c>
      <c r="AC73" s="285">
        <f t="shared" si="26"/>
        <v>0</v>
      </c>
      <c r="AD73" s="285">
        <f t="shared" si="27"/>
        <v>0</v>
      </c>
      <c r="AE73" s="285">
        <f t="shared" si="28"/>
        <v>0</v>
      </c>
      <c r="AF73" s="285">
        <f t="shared" si="29"/>
        <v>0</v>
      </c>
      <c r="AG73" s="285">
        <f t="shared" si="30"/>
        <v>0</v>
      </c>
      <c r="AH73" s="285">
        <f t="shared" si="31"/>
        <v>0</v>
      </c>
      <c r="AI73" s="285">
        <f t="shared" si="32"/>
        <v>0</v>
      </c>
      <c r="AJ73" s="285">
        <f t="shared" si="33"/>
        <v>0</v>
      </c>
      <c r="AK73" s="285">
        <f t="shared" si="34"/>
        <v>0</v>
      </c>
      <c r="AL73" s="285">
        <f t="shared" si="35"/>
        <v>0</v>
      </c>
      <c r="AM73" s="285">
        <f t="shared" si="36"/>
        <v>0</v>
      </c>
      <c r="AN73" s="285">
        <f t="shared" si="37"/>
        <v>0</v>
      </c>
      <c r="AO73" s="285">
        <f t="shared" si="38"/>
        <v>0</v>
      </c>
      <c r="AP73" s="285">
        <f t="shared" si="39"/>
        <v>0</v>
      </c>
      <c r="AQ73" s="285">
        <f t="shared" si="40"/>
        <v>0</v>
      </c>
      <c r="AT73" t="s">
        <v>119</v>
      </c>
      <c r="AU73" s="419">
        <v>0</v>
      </c>
      <c r="AV73" s="419">
        <v>0</v>
      </c>
      <c r="AW73" s="419">
        <v>0</v>
      </c>
      <c r="AX73" s="419">
        <v>0.04</v>
      </c>
      <c r="AY73" s="419">
        <v>0.04</v>
      </c>
      <c r="AZ73" s="419">
        <v>0.04</v>
      </c>
      <c r="BA73" s="419">
        <v>0.04</v>
      </c>
      <c r="BB73" s="419">
        <v>0.04</v>
      </c>
      <c r="BC73" s="419">
        <v>0.04</v>
      </c>
      <c r="BD73" s="419">
        <v>0.04</v>
      </c>
      <c r="BE73" s="419">
        <v>0.04</v>
      </c>
      <c r="BF73" s="419">
        <v>0.04</v>
      </c>
      <c r="BG73" s="419">
        <v>0.04</v>
      </c>
      <c r="BH73" s="419">
        <v>0.04</v>
      </c>
      <c r="BI73" s="419">
        <v>0.04</v>
      </c>
      <c r="BJ73" s="419">
        <v>0.04</v>
      </c>
      <c r="BK73" s="419">
        <v>0.04</v>
      </c>
      <c r="BL73" s="419">
        <v>0.04</v>
      </c>
      <c r="BM73" s="419">
        <v>0.04</v>
      </c>
      <c r="BN73" s="419">
        <v>0.04</v>
      </c>
      <c r="BO73" s="419">
        <v>0.04</v>
      </c>
      <c r="BP73" s="419">
        <v>0.04</v>
      </c>
      <c r="BQ73" s="419">
        <v>0.04</v>
      </c>
      <c r="BR73" s="419">
        <v>0.04</v>
      </c>
      <c r="BS73" s="419">
        <v>0.04</v>
      </c>
      <c r="BT73" s="419">
        <v>0.04</v>
      </c>
      <c r="BU73" s="419">
        <v>0.04</v>
      </c>
      <c r="BV73" s="419">
        <v>0.04</v>
      </c>
      <c r="BW73" s="419">
        <v>0</v>
      </c>
      <c r="BX73" s="419">
        <v>0</v>
      </c>
      <c r="BY73" s="419">
        <v>0</v>
      </c>
      <c r="BZ73" s="419">
        <v>0</v>
      </c>
      <c r="CA73" s="419">
        <v>0</v>
      </c>
      <c r="CB73" s="419">
        <v>0</v>
      </c>
      <c r="CC73" s="419">
        <v>0</v>
      </c>
    </row>
    <row r="74" spans="6:81">
      <c r="F74" s="49" t="s">
        <v>119</v>
      </c>
      <c r="G74" s="285">
        <f t="shared" si="5"/>
        <v>0</v>
      </c>
      <c r="I74" s="285">
        <f t="shared" si="6"/>
        <v>0</v>
      </c>
      <c r="J74" s="285">
        <f t="shared" si="7"/>
        <v>0</v>
      </c>
      <c r="K74" s="285">
        <f t="shared" si="8"/>
        <v>0</v>
      </c>
      <c r="L74" s="285">
        <f t="shared" si="9"/>
        <v>0</v>
      </c>
      <c r="M74" s="285">
        <f t="shared" si="10"/>
        <v>0</v>
      </c>
      <c r="N74" s="285">
        <f t="shared" si="11"/>
        <v>0</v>
      </c>
      <c r="O74" s="285">
        <f t="shared" si="12"/>
        <v>0</v>
      </c>
      <c r="P74" s="285">
        <f t="shared" si="13"/>
        <v>0</v>
      </c>
      <c r="Q74" s="285">
        <f t="shared" si="14"/>
        <v>0</v>
      </c>
      <c r="R74" s="285">
        <f t="shared" si="15"/>
        <v>0</v>
      </c>
      <c r="S74" s="285">
        <f t="shared" si="16"/>
        <v>0</v>
      </c>
      <c r="T74" s="285">
        <f t="shared" si="17"/>
        <v>0</v>
      </c>
      <c r="U74" s="285">
        <f t="shared" si="18"/>
        <v>0</v>
      </c>
      <c r="V74" s="285">
        <f t="shared" si="19"/>
        <v>0</v>
      </c>
      <c r="W74" s="285">
        <f t="shared" si="20"/>
        <v>0</v>
      </c>
      <c r="X74" s="285">
        <f t="shared" si="21"/>
        <v>0</v>
      </c>
      <c r="Y74" s="285">
        <f t="shared" si="22"/>
        <v>0</v>
      </c>
      <c r="Z74" s="285">
        <f t="shared" si="23"/>
        <v>0</v>
      </c>
      <c r="AA74" s="285">
        <f t="shared" si="24"/>
        <v>0</v>
      </c>
      <c r="AB74" s="285">
        <f t="shared" si="25"/>
        <v>0</v>
      </c>
      <c r="AC74" s="285">
        <f t="shared" si="26"/>
        <v>0</v>
      </c>
      <c r="AD74" s="285">
        <f t="shared" si="27"/>
        <v>0</v>
      </c>
      <c r="AE74" s="285">
        <f t="shared" si="28"/>
        <v>0</v>
      </c>
      <c r="AF74" s="285">
        <f t="shared" si="29"/>
        <v>0</v>
      </c>
      <c r="AG74" s="285">
        <f t="shared" si="30"/>
        <v>0</v>
      </c>
      <c r="AH74" s="285">
        <f t="shared" si="31"/>
        <v>0</v>
      </c>
      <c r="AI74" s="285">
        <f t="shared" si="32"/>
        <v>0</v>
      </c>
      <c r="AJ74" s="285">
        <f t="shared" si="33"/>
        <v>0</v>
      </c>
      <c r="AK74" s="285">
        <f t="shared" si="34"/>
        <v>0</v>
      </c>
      <c r="AL74" s="285">
        <f t="shared" si="35"/>
        <v>0</v>
      </c>
      <c r="AM74" s="285">
        <f t="shared" si="36"/>
        <v>0</v>
      </c>
      <c r="AN74" s="285">
        <f t="shared" si="37"/>
        <v>0</v>
      </c>
      <c r="AO74" s="285">
        <f t="shared" si="38"/>
        <v>0</v>
      </c>
      <c r="AP74" s="285">
        <f t="shared" si="39"/>
        <v>0</v>
      </c>
      <c r="AQ74" s="285">
        <f t="shared" si="40"/>
        <v>0</v>
      </c>
      <c r="AT74" t="s">
        <v>120</v>
      </c>
      <c r="AU74" s="419">
        <v>0</v>
      </c>
      <c r="AV74" s="419">
        <v>0</v>
      </c>
      <c r="AW74" s="419">
        <v>0</v>
      </c>
      <c r="AX74" s="419">
        <v>0</v>
      </c>
      <c r="AY74" s="419">
        <v>0.04</v>
      </c>
      <c r="AZ74" s="419">
        <v>0.04</v>
      </c>
      <c r="BA74" s="419">
        <v>0.04</v>
      </c>
      <c r="BB74" s="419">
        <v>0.04</v>
      </c>
      <c r="BC74" s="419">
        <v>0.04</v>
      </c>
      <c r="BD74" s="419">
        <v>0.04</v>
      </c>
      <c r="BE74" s="419">
        <v>0.04</v>
      </c>
      <c r="BF74" s="419">
        <v>0.04</v>
      </c>
      <c r="BG74" s="419">
        <v>0.04</v>
      </c>
      <c r="BH74" s="419">
        <v>0.04</v>
      </c>
      <c r="BI74" s="419">
        <v>0.04</v>
      </c>
      <c r="BJ74" s="419">
        <v>0.04</v>
      </c>
      <c r="BK74" s="419">
        <v>0.04</v>
      </c>
      <c r="BL74" s="419">
        <v>0.04</v>
      </c>
      <c r="BM74" s="419">
        <v>0.04</v>
      </c>
      <c r="BN74" s="419">
        <v>0.04</v>
      </c>
      <c r="BO74" s="419">
        <v>0.04</v>
      </c>
      <c r="BP74" s="419">
        <v>0.04</v>
      </c>
      <c r="BQ74" s="419">
        <v>0.04</v>
      </c>
      <c r="BR74" s="419">
        <v>0.04</v>
      </c>
      <c r="BS74" s="419">
        <v>0.04</v>
      </c>
      <c r="BT74" s="419">
        <v>0.04</v>
      </c>
      <c r="BU74" s="419">
        <v>0.04</v>
      </c>
      <c r="BV74" s="419">
        <v>0.04</v>
      </c>
      <c r="BW74" s="419">
        <v>0.04</v>
      </c>
      <c r="BX74" s="419">
        <v>0</v>
      </c>
      <c r="BY74" s="419">
        <v>0</v>
      </c>
      <c r="BZ74" s="419">
        <v>0</v>
      </c>
      <c r="CA74" s="419">
        <v>0</v>
      </c>
      <c r="CB74" s="419">
        <v>0</v>
      </c>
      <c r="CC74" s="419">
        <v>0</v>
      </c>
    </row>
    <row r="75" spans="6:81">
      <c r="F75" s="49" t="s">
        <v>120</v>
      </c>
      <c r="G75" s="285">
        <f t="shared" si="5"/>
        <v>0</v>
      </c>
      <c r="I75" s="285">
        <f t="shared" si="6"/>
        <v>0</v>
      </c>
      <c r="J75" s="285">
        <f t="shared" si="7"/>
        <v>0</v>
      </c>
      <c r="K75" s="285">
        <f t="shared" si="8"/>
        <v>0</v>
      </c>
      <c r="L75" s="285">
        <f t="shared" si="9"/>
        <v>0</v>
      </c>
      <c r="M75" s="285">
        <f t="shared" si="10"/>
        <v>0</v>
      </c>
      <c r="N75" s="285">
        <f t="shared" si="11"/>
        <v>0</v>
      </c>
      <c r="O75" s="285">
        <f t="shared" si="12"/>
        <v>0</v>
      </c>
      <c r="P75" s="285">
        <f t="shared" si="13"/>
        <v>0</v>
      </c>
      <c r="Q75" s="285">
        <f t="shared" si="14"/>
        <v>0</v>
      </c>
      <c r="R75" s="285">
        <f t="shared" si="15"/>
        <v>0</v>
      </c>
      <c r="S75" s="285">
        <f t="shared" si="16"/>
        <v>0</v>
      </c>
      <c r="T75" s="285">
        <f t="shared" si="17"/>
        <v>0</v>
      </c>
      <c r="U75" s="285">
        <f t="shared" si="18"/>
        <v>0</v>
      </c>
      <c r="V75" s="285">
        <f t="shared" si="19"/>
        <v>0</v>
      </c>
      <c r="W75" s="285">
        <f t="shared" si="20"/>
        <v>0</v>
      </c>
      <c r="X75" s="285">
        <f t="shared" si="21"/>
        <v>0</v>
      </c>
      <c r="Y75" s="285">
        <f t="shared" si="22"/>
        <v>0</v>
      </c>
      <c r="Z75" s="285">
        <f t="shared" si="23"/>
        <v>0</v>
      </c>
      <c r="AA75" s="285">
        <f t="shared" si="24"/>
        <v>0</v>
      </c>
      <c r="AB75" s="285">
        <f t="shared" si="25"/>
        <v>0</v>
      </c>
      <c r="AC75" s="285">
        <f t="shared" si="26"/>
        <v>0</v>
      </c>
      <c r="AD75" s="285">
        <f t="shared" si="27"/>
        <v>0</v>
      </c>
      <c r="AE75" s="285">
        <f t="shared" si="28"/>
        <v>0</v>
      </c>
      <c r="AF75" s="285">
        <f t="shared" si="29"/>
        <v>0</v>
      </c>
      <c r="AG75" s="285">
        <f t="shared" si="30"/>
        <v>0</v>
      </c>
      <c r="AH75" s="285">
        <f t="shared" si="31"/>
        <v>0</v>
      </c>
      <c r="AI75" s="285">
        <f t="shared" si="32"/>
        <v>0</v>
      </c>
      <c r="AJ75" s="285">
        <f t="shared" si="33"/>
        <v>0</v>
      </c>
      <c r="AK75" s="285">
        <f t="shared" si="34"/>
        <v>0</v>
      </c>
      <c r="AL75" s="285">
        <f t="shared" si="35"/>
        <v>0</v>
      </c>
      <c r="AM75" s="285">
        <f t="shared" si="36"/>
        <v>0</v>
      </c>
      <c r="AN75" s="285">
        <f t="shared" si="37"/>
        <v>0</v>
      </c>
      <c r="AO75" s="285">
        <f t="shared" si="38"/>
        <v>0</v>
      </c>
      <c r="AP75" s="285">
        <f t="shared" si="39"/>
        <v>0</v>
      </c>
      <c r="AQ75" s="285">
        <f t="shared" si="40"/>
        <v>0</v>
      </c>
      <c r="AT75" t="s">
        <v>121</v>
      </c>
      <c r="AU75" s="419">
        <v>0</v>
      </c>
      <c r="AV75" s="419">
        <v>0</v>
      </c>
      <c r="AW75" s="419">
        <v>0</v>
      </c>
      <c r="AX75" s="419">
        <v>0</v>
      </c>
      <c r="AY75" s="419">
        <v>0</v>
      </c>
      <c r="AZ75" s="419">
        <v>0.04</v>
      </c>
      <c r="BA75" s="419">
        <v>0.04</v>
      </c>
      <c r="BB75" s="419">
        <v>0.04</v>
      </c>
      <c r="BC75" s="419">
        <v>0.04</v>
      </c>
      <c r="BD75" s="419">
        <v>0.04</v>
      </c>
      <c r="BE75" s="419">
        <v>0.04</v>
      </c>
      <c r="BF75" s="419">
        <v>0.04</v>
      </c>
      <c r="BG75" s="419">
        <v>0.04</v>
      </c>
      <c r="BH75" s="419">
        <v>0.04</v>
      </c>
      <c r="BI75" s="419">
        <v>0.04</v>
      </c>
      <c r="BJ75" s="419">
        <v>0.04</v>
      </c>
      <c r="BK75" s="419">
        <v>0.04</v>
      </c>
      <c r="BL75" s="419">
        <v>0.04</v>
      </c>
      <c r="BM75" s="419">
        <v>0.04</v>
      </c>
      <c r="BN75" s="419">
        <v>0.04</v>
      </c>
      <c r="BO75" s="419">
        <v>0.04</v>
      </c>
      <c r="BP75" s="419">
        <v>0.04</v>
      </c>
      <c r="BQ75" s="419">
        <v>0.04</v>
      </c>
      <c r="BR75" s="419">
        <v>0.04</v>
      </c>
      <c r="BS75" s="419">
        <v>0.04</v>
      </c>
      <c r="BT75" s="419">
        <v>0.04</v>
      </c>
      <c r="BU75" s="419">
        <v>0.04</v>
      </c>
      <c r="BV75" s="419">
        <v>0.04</v>
      </c>
      <c r="BW75" s="419">
        <v>0.04</v>
      </c>
      <c r="BX75" s="419">
        <v>0.04</v>
      </c>
      <c r="BY75" s="419">
        <v>0</v>
      </c>
      <c r="BZ75" s="419">
        <v>0</v>
      </c>
      <c r="CA75" s="419">
        <v>0</v>
      </c>
      <c r="CB75" s="419">
        <v>0</v>
      </c>
      <c r="CC75" s="419">
        <v>0</v>
      </c>
    </row>
    <row r="76" spans="6:81">
      <c r="F76" s="49" t="s">
        <v>121</v>
      </c>
      <c r="G76" s="285">
        <f t="shared" si="5"/>
        <v>0</v>
      </c>
      <c r="I76" s="285">
        <f t="shared" si="6"/>
        <v>0</v>
      </c>
      <c r="J76" s="285">
        <f t="shared" si="7"/>
        <v>0</v>
      </c>
      <c r="K76" s="285">
        <f t="shared" si="8"/>
        <v>0</v>
      </c>
      <c r="L76" s="285">
        <f t="shared" si="9"/>
        <v>0</v>
      </c>
      <c r="M76" s="285">
        <f t="shared" si="10"/>
        <v>0</v>
      </c>
      <c r="N76" s="285">
        <f t="shared" si="11"/>
        <v>0</v>
      </c>
      <c r="O76" s="285">
        <f t="shared" si="12"/>
        <v>0</v>
      </c>
      <c r="P76" s="285">
        <f t="shared" si="13"/>
        <v>0</v>
      </c>
      <c r="Q76" s="285">
        <f t="shared" si="14"/>
        <v>0</v>
      </c>
      <c r="R76" s="285">
        <f t="shared" si="15"/>
        <v>0</v>
      </c>
      <c r="S76" s="285">
        <f t="shared" si="16"/>
        <v>0</v>
      </c>
      <c r="T76" s="285">
        <f t="shared" si="17"/>
        <v>0</v>
      </c>
      <c r="U76" s="285">
        <f t="shared" si="18"/>
        <v>0</v>
      </c>
      <c r="V76" s="285">
        <f t="shared" si="19"/>
        <v>0</v>
      </c>
      <c r="W76" s="285">
        <f t="shared" si="20"/>
        <v>0</v>
      </c>
      <c r="X76" s="285">
        <f t="shared" si="21"/>
        <v>0</v>
      </c>
      <c r="Y76" s="285">
        <f t="shared" si="22"/>
        <v>0</v>
      </c>
      <c r="Z76" s="285">
        <f t="shared" si="23"/>
        <v>0</v>
      </c>
      <c r="AA76" s="285">
        <f t="shared" si="24"/>
        <v>0</v>
      </c>
      <c r="AB76" s="285">
        <f t="shared" si="25"/>
        <v>0</v>
      </c>
      <c r="AC76" s="285">
        <f t="shared" si="26"/>
        <v>0</v>
      </c>
      <c r="AD76" s="285">
        <f t="shared" si="27"/>
        <v>0</v>
      </c>
      <c r="AE76" s="285">
        <f t="shared" si="28"/>
        <v>0</v>
      </c>
      <c r="AF76" s="285">
        <f t="shared" si="29"/>
        <v>0</v>
      </c>
      <c r="AG76" s="285">
        <f t="shared" si="30"/>
        <v>0</v>
      </c>
      <c r="AH76" s="285">
        <f t="shared" si="31"/>
        <v>0</v>
      </c>
      <c r="AI76" s="285">
        <f t="shared" si="32"/>
        <v>0</v>
      </c>
      <c r="AJ76" s="285">
        <f t="shared" si="33"/>
        <v>0</v>
      </c>
      <c r="AK76" s="285">
        <f t="shared" si="34"/>
        <v>0</v>
      </c>
      <c r="AL76" s="285">
        <f t="shared" si="35"/>
        <v>0</v>
      </c>
      <c r="AM76" s="285">
        <f t="shared" si="36"/>
        <v>0</v>
      </c>
      <c r="AN76" s="285">
        <f t="shared" si="37"/>
        <v>0</v>
      </c>
      <c r="AO76" s="285">
        <f t="shared" si="38"/>
        <v>0</v>
      </c>
      <c r="AP76" s="285">
        <f t="shared" si="39"/>
        <v>0</v>
      </c>
      <c r="AQ76" s="285">
        <f t="shared" si="40"/>
        <v>0</v>
      </c>
      <c r="AT76" t="s">
        <v>122</v>
      </c>
      <c r="AU76" s="419">
        <v>0</v>
      </c>
      <c r="AV76" s="419">
        <v>0</v>
      </c>
      <c r="AW76" s="419">
        <v>0</v>
      </c>
      <c r="AX76" s="419">
        <v>0</v>
      </c>
      <c r="AY76" s="419">
        <v>0</v>
      </c>
      <c r="AZ76" s="419">
        <v>0</v>
      </c>
      <c r="BA76" s="419">
        <v>0.04</v>
      </c>
      <c r="BB76" s="419">
        <v>0.04</v>
      </c>
      <c r="BC76" s="419">
        <v>0.04</v>
      </c>
      <c r="BD76" s="419">
        <v>0.04</v>
      </c>
      <c r="BE76" s="419">
        <v>0.04</v>
      </c>
      <c r="BF76" s="419">
        <v>0.04</v>
      </c>
      <c r="BG76" s="419">
        <v>0.04</v>
      </c>
      <c r="BH76" s="419">
        <v>0.04</v>
      </c>
      <c r="BI76" s="419">
        <v>0.04</v>
      </c>
      <c r="BJ76" s="419">
        <v>0.04</v>
      </c>
      <c r="BK76" s="419">
        <v>0.04</v>
      </c>
      <c r="BL76" s="419">
        <v>0.04</v>
      </c>
      <c r="BM76" s="419">
        <v>0.04</v>
      </c>
      <c r="BN76" s="419">
        <v>0.04</v>
      </c>
      <c r="BO76" s="419">
        <v>0.04</v>
      </c>
      <c r="BP76" s="419">
        <v>0.04</v>
      </c>
      <c r="BQ76" s="419">
        <v>0.04</v>
      </c>
      <c r="BR76" s="419">
        <v>0.04</v>
      </c>
      <c r="BS76" s="419">
        <v>0.04</v>
      </c>
      <c r="BT76" s="419">
        <v>0.04</v>
      </c>
      <c r="BU76" s="419">
        <v>0.04</v>
      </c>
      <c r="BV76" s="419">
        <v>0.04</v>
      </c>
      <c r="BW76" s="419">
        <v>0.04</v>
      </c>
      <c r="BX76" s="419">
        <v>0.04</v>
      </c>
      <c r="BY76" s="419">
        <v>0.04</v>
      </c>
      <c r="BZ76" s="419">
        <v>0</v>
      </c>
      <c r="CA76" s="419">
        <v>0</v>
      </c>
      <c r="CB76" s="419">
        <v>0</v>
      </c>
      <c r="CC76" s="419">
        <v>0</v>
      </c>
    </row>
    <row r="77" spans="6:81">
      <c r="F77" s="49" t="s">
        <v>122</v>
      </c>
      <c r="G77" s="285">
        <f t="shared" si="5"/>
        <v>0</v>
      </c>
      <c r="I77" s="285">
        <f t="shared" si="6"/>
        <v>0</v>
      </c>
      <c r="J77" s="285">
        <f t="shared" si="7"/>
        <v>0</v>
      </c>
      <c r="K77" s="285">
        <f t="shared" si="8"/>
        <v>0</v>
      </c>
      <c r="L77" s="285">
        <f t="shared" si="9"/>
        <v>0</v>
      </c>
      <c r="M77" s="285">
        <f t="shared" si="10"/>
        <v>0</v>
      </c>
      <c r="N77" s="285">
        <f t="shared" si="11"/>
        <v>0</v>
      </c>
      <c r="O77" s="285">
        <f t="shared" si="12"/>
        <v>0</v>
      </c>
      <c r="P77" s="285">
        <f t="shared" si="13"/>
        <v>0</v>
      </c>
      <c r="Q77" s="285">
        <f t="shared" si="14"/>
        <v>0</v>
      </c>
      <c r="R77" s="285">
        <f t="shared" si="15"/>
        <v>0</v>
      </c>
      <c r="S77" s="285">
        <f t="shared" si="16"/>
        <v>0</v>
      </c>
      <c r="T77" s="285">
        <f t="shared" si="17"/>
        <v>0</v>
      </c>
      <c r="U77" s="285">
        <f t="shared" si="18"/>
        <v>0</v>
      </c>
      <c r="V77" s="285">
        <f t="shared" si="19"/>
        <v>0</v>
      </c>
      <c r="W77" s="285">
        <f t="shared" si="20"/>
        <v>0</v>
      </c>
      <c r="X77" s="285">
        <f t="shared" si="21"/>
        <v>0</v>
      </c>
      <c r="Y77" s="285">
        <f t="shared" si="22"/>
        <v>0</v>
      </c>
      <c r="Z77" s="285">
        <f t="shared" si="23"/>
        <v>0</v>
      </c>
      <c r="AA77" s="285">
        <f t="shared" si="24"/>
        <v>0</v>
      </c>
      <c r="AB77" s="285">
        <f t="shared" si="25"/>
        <v>0</v>
      </c>
      <c r="AC77" s="285">
        <f t="shared" si="26"/>
        <v>0</v>
      </c>
      <c r="AD77" s="285">
        <f t="shared" si="27"/>
        <v>0</v>
      </c>
      <c r="AE77" s="285">
        <f t="shared" si="28"/>
        <v>0</v>
      </c>
      <c r="AF77" s="285">
        <f t="shared" si="29"/>
        <v>0</v>
      </c>
      <c r="AG77" s="285">
        <f t="shared" si="30"/>
        <v>0</v>
      </c>
      <c r="AH77" s="285">
        <f t="shared" si="31"/>
        <v>0</v>
      </c>
      <c r="AI77" s="285">
        <f t="shared" si="32"/>
        <v>0</v>
      </c>
      <c r="AJ77" s="285">
        <f t="shared" si="33"/>
        <v>0</v>
      </c>
      <c r="AK77" s="285">
        <f t="shared" si="34"/>
        <v>0</v>
      </c>
      <c r="AL77" s="285">
        <f t="shared" si="35"/>
        <v>0</v>
      </c>
      <c r="AM77" s="285">
        <f t="shared" si="36"/>
        <v>0</v>
      </c>
      <c r="AN77" s="285">
        <f t="shared" si="37"/>
        <v>0</v>
      </c>
      <c r="AO77" s="285">
        <f t="shared" si="38"/>
        <v>0</v>
      </c>
      <c r="AP77" s="285">
        <f t="shared" si="39"/>
        <v>0</v>
      </c>
      <c r="AQ77" s="285">
        <f t="shared" si="40"/>
        <v>0</v>
      </c>
      <c r="AT77" t="s">
        <v>123</v>
      </c>
      <c r="AU77" s="419">
        <v>0</v>
      </c>
      <c r="AV77" s="419">
        <v>0</v>
      </c>
      <c r="AW77" s="419">
        <v>0</v>
      </c>
      <c r="AX77" s="419">
        <v>0</v>
      </c>
      <c r="AY77" s="419">
        <v>0</v>
      </c>
      <c r="AZ77" s="419">
        <v>0</v>
      </c>
      <c r="BA77" s="419">
        <v>0</v>
      </c>
      <c r="BB77" s="419">
        <v>0.04</v>
      </c>
      <c r="BC77" s="419">
        <v>0.04</v>
      </c>
      <c r="BD77" s="419">
        <v>0.04</v>
      </c>
      <c r="BE77" s="419">
        <v>0.04</v>
      </c>
      <c r="BF77" s="419">
        <v>0.04</v>
      </c>
      <c r="BG77" s="419">
        <v>0.04</v>
      </c>
      <c r="BH77" s="419">
        <v>0.04</v>
      </c>
      <c r="BI77" s="419">
        <v>0.04</v>
      </c>
      <c r="BJ77" s="419">
        <v>0.04</v>
      </c>
      <c r="BK77" s="419">
        <v>0.04</v>
      </c>
      <c r="BL77" s="419">
        <v>0.04</v>
      </c>
      <c r="BM77" s="419">
        <v>0.04</v>
      </c>
      <c r="BN77" s="419">
        <v>0.04</v>
      </c>
      <c r="BO77" s="419">
        <v>0.04</v>
      </c>
      <c r="BP77" s="419">
        <v>0.04</v>
      </c>
      <c r="BQ77" s="419">
        <v>0.04</v>
      </c>
      <c r="BR77" s="419">
        <v>0.04</v>
      </c>
      <c r="BS77" s="419">
        <v>0.04</v>
      </c>
      <c r="BT77" s="419">
        <v>0.04</v>
      </c>
      <c r="BU77" s="419">
        <v>0.04</v>
      </c>
      <c r="BV77" s="419">
        <v>0.04</v>
      </c>
      <c r="BW77" s="419">
        <v>0.04</v>
      </c>
      <c r="BX77" s="419">
        <v>0.04</v>
      </c>
      <c r="BY77" s="419">
        <v>0.04</v>
      </c>
      <c r="BZ77" s="419">
        <v>0.04</v>
      </c>
      <c r="CA77" s="419">
        <v>0</v>
      </c>
      <c r="CB77" s="419">
        <v>0</v>
      </c>
      <c r="CC77" s="419">
        <v>0</v>
      </c>
    </row>
    <row r="78" spans="6:81">
      <c r="F78" s="49" t="s">
        <v>123</v>
      </c>
      <c r="G78" s="285">
        <f t="shared" si="5"/>
        <v>0</v>
      </c>
      <c r="I78" s="285">
        <f t="shared" si="6"/>
        <v>0</v>
      </c>
      <c r="J78" s="285">
        <f t="shared" si="7"/>
        <v>0</v>
      </c>
      <c r="K78" s="285">
        <f t="shared" si="8"/>
        <v>0</v>
      </c>
      <c r="L78" s="285">
        <f t="shared" si="9"/>
        <v>0</v>
      </c>
      <c r="M78" s="285">
        <f t="shared" si="10"/>
        <v>0</v>
      </c>
      <c r="N78" s="285">
        <f t="shared" si="11"/>
        <v>0</v>
      </c>
      <c r="O78" s="285">
        <f t="shared" si="12"/>
        <v>0</v>
      </c>
      <c r="P78" s="285">
        <f t="shared" si="13"/>
        <v>0</v>
      </c>
      <c r="Q78" s="285">
        <f t="shared" si="14"/>
        <v>0</v>
      </c>
      <c r="R78" s="285">
        <f t="shared" si="15"/>
        <v>0</v>
      </c>
      <c r="S78" s="285">
        <f t="shared" si="16"/>
        <v>0</v>
      </c>
      <c r="T78" s="285">
        <f t="shared" si="17"/>
        <v>0</v>
      </c>
      <c r="U78" s="285">
        <f t="shared" si="18"/>
        <v>0</v>
      </c>
      <c r="V78" s="285">
        <f t="shared" si="19"/>
        <v>0</v>
      </c>
      <c r="W78" s="285">
        <f t="shared" si="20"/>
        <v>0</v>
      </c>
      <c r="X78" s="285">
        <f t="shared" si="21"/>
        <v>0</v>
      </c>
      <c r="Y78" s="285">
        <f t="shared" si="22"/>
        <v>0</v>
      </c>
      <c r="Z78" s="285">
        <f t="shared" si="23"/>
        <v>0</v>
      </c>
      <c r="AA78" s="285">
        <f t="shared" si="24"/>
        <v>0</v>
      </c>
      <c r="AB78" s="285">
        <f t="shared" si="25"/>
        <v>0</v>
      </c>
      <c r="AC78" s="285">
        <f t="shared" si="26"/>
        <v>0</v>
      </c>
      <c r="AD78" s="285">
        <f t="shared" si="27"/>
        <v>0</v>
      </c>
      <c r="AE78" s="285">
        <f t="shared" si="28"/>
        <v>0</v>
      </c>
      <c r="AF78" s="285">
        <f t="shared" si="29"/>
        <v>0</v>
      </c>
      <c r="AG78" s="285">
        <f t="shared" si="30"/>
        <v>0</v>
      </c>
      <c r="AH78" s="285">
        <f t="shared" si="31"/>
        <v>0</v>
      </c>
      <c r="AI78" s="285">
        <f t="shared" si="32"/>
        <v>0</v>
      </c>
      <c r="AJ78" s="285">
        <f t="shared" si="33"/>
        <v>0</v>
      </c>
      <c r="AK78" s="285">
        <f t="shared" si="34"/>
        <v>0</v>
      </c>
      <c r="AL78" s="285">
        <f t="shared" si="35"/>
        <v>0</v>
      </c>
      <c r="AM78" s="285">
        <f t="shared" si="36"/>
        <v>0</v>
      </c>
      <c r="AN78" s="285">
        <f t="shared" si="37"/>
        <v>0</v>
      </c>
      <c r="AO78" s="285">
        <f t="shared" si="38"/>
        <v>0</v>
      </c>
      <c r="AP78" s="285">
        <f t="shared" si="39"/>
        <v>0</v>
      </c>
      <c r="AQ78" s="285">
        <f t="shared" si="40"/>
        <v>0</v>
      </c>
      <c r="AT78" t="s">
        <v>124</v>
      </c>
      <c r="AU78" s="419">
        <v>0</v>
      </c>
      <c r="AV78" s="419">
        <v>0</v>
      </c>
      <c r="AW78" s="419">
        <v>0</v>
      </c>
      <c r="AX78" s="419">
        <v>0</v>
      </c>
      <c r="AY78" s="419">
        <v>0</v>
      </c>
      <c r="AZ78" s="419">
        <v>0</v>
      </c>
      <c r="BA78" s="419">
        <v>0</v>
      </c>
      <c r="BB78" s="419">
        <v>0</v>
      </c>
      <c r="BC78" s="419">
        <v>0.04</v>
      </c>
      <c r="BD78" s="419">
        <v>0.04</v>
      </c>
      <c r="BE78" s="419">
        <v>0.04</v>
      </c>
      <c r="BF78" s="419">
        <v>0.04</v>
      </c>
      <c r="BG78" s="419">
        <v>0.04</v>
      </c>
      <c r="BH78" s="419">
        <v>0.04</v>
      </c>
      <c r="BI78" s="419">
        <v>0.04</v>
      </c>
      <c r="BJ78" s="419">
        <v>0.04</v>
      </c>
      <c r="BK78" s="419">
        <v>0.04</v>
      </c>
      <c r="BL78" s="419">
        <v>0.04</v>
      </c>
      <c r="BM78" s="419">
        <v>0.04</v>
      </c>
      <c r="BN78" s="419">
        <v>0.04</v>
      </c>
      <c r="BO78" s="419">
        <v>0.04</v>
      </c>
      <c r="BP78" s="419">
        <v>0.04</v>
      </c>
      <c r="BQ78" s="419">
        <v>0.04</v>
      </c>
      <c r="BR78" s="419">
        <v>0.04</v>
      </c>
      <c r="BS78" s="419">
        <v>0.04</v>
      </c>
      <c r="BT78" s="419">
        <v>0.04</v>
      </c>
      <c r="BU78" s="419">
        <v>0.04</v>
      </c>
      <c r="BV78" s="419">
        <v>0.04</v>
      </c>
      <c r="BW78" s="419">
        <v>0.04</v>
      </c>
      <c r="BX78" s="419">
        <v>0.04</v>
      </c>
      <c r="BY78" s="419">
        <v>0.04</v>
      </c>
      <c r="BZ78" s="419">
        <v>0.04</v>
      </c>
      <c r="CA78" s="419">
        <v>0.04</v>
      </c>
      <c r="CB78" s="419">
        <v>0</v>
      </c>
      <c r="CC78" s="419">
        <v>0</v>
      </c>
    </row>
    <row r="79" spans="6:81">
      <c r="F79" s="49" t="s">
        <v>124</v>
      </c>
      <c r="G79" s="285">
        <f t="shared" si="5"/>
        <v>0</v>
      </c>
      <c r="I79" s="285">
        <f t="shared" si="6"/>
        <v>0</v>
      </c>
      <c r="J79" s="285">
        <f t="shared" si="7"/>
        <v>0</v>
      </c>
      <c r="K79" s="285">
        <f t="shared" si="8"/>
        <v>0</v>
      </c>
      <c r="L79" s="285">
        <f t="shared" si="9"/>
        <v>0</v>
      </c>
      <c r="M79" s="285">
        <f t="shared" si="10"/>
        <v>0</v>
      </c>
      <c r="N79" s="285">
        <f t="shared" si="11"/>
        <v>0</v>
      </c>
      <c r="O79" s="285">
        <f t="shared" si="12"/>
        <v>0</v>
      </c>
      <c r="P79" s="285">
        <f t="shared" si="13"/>
        <v>0</v>
      </c>
      <c r="Q79" s="285">
        <f t="shared" si="14"/>
        <v>0</v>
      </c>
      <c r="R79" s="285">
        <f t="shared" si="15"/>
        <v>0</v>
      </c>
      <c r="S79" s="285">
        <f t="shared" si="16"/>
        <v>0</v>
      </c>
      <c r="T79" s="285">
        <f t="shared" si="17"/>
        <v>0</v>
      </c>
      <c r="U79" s="285">
        <f t="shared" si="18"/>
        <v>0</v>
      </c>
      <c r="V79" s="285">
        <f t="shared" si="19"/>
        <v>0</v>
      </c>
      <c r="W79" s="285">
        <f t="shared" si="20"/>
        <v>0</v>
      </c>
      <c r="X79" s="285">
        <f t="shared" si="21"/>
        <v>0</v>
      </c>
      <c r="Y79" s="285">
        <f t="shared" si="22"/>
        <v>0</v>
      </c>
      <c r="Z79" s="285">
        <f t="shared" si="23"/>
        <v>0</v>
      </c>
      <c r="AA79" s="285">
        <f t="shared" si="24"/>
        <v>0</v>
      </c>
      <c r="AB79" s="285">
        <f t="shared" si="25"/>
        <v>0</v>
      </c>
      <c r="AC79" s="285">
        <f t="shared" si="26"/>
        <v>0</v>
      </c>
      <c r="AD79" s="285">
        <f t="shared" si="27"/>
        <v>0</v>
      </c>
      <c r="AE79" s="285">
        <f t="shared" si="28"/>
        <v>0</v>
      </c>
      <c r="AF79" s="285">
        <f t="shared" si="29"/>
        <v>0</v>
      </c>
      <c r="AG79" s="285">
        <f t="shared" si="30"/>
        <v>0</v>
      </c>
      <c r="AH79" s="285">
        <f t="shared" si="31"/>
        <v>0</v>
      </c>
      <c r="AI79" s="285">
        <f t="shared" si="32"/>
        <v>0</v>
      </c>
      <c r="AJ79" s="285">
        <f t="shared" si="33"/>
        <v>0</v>
      </c>
      <c r="AK79" s="285">
        <f t="shared" si="34"/>
        <v>0</v>
      </c>
      <c r="AL79" s="285">
        <f t="shared" si="35"/>
        <v>0</v>
      </c>
      <c r="AM79" s="285">
        <f t="shared" si="36"/>
        <v>0</v>
      </c>
      <c r="AN79" s="285">
        <f t="shared" si="37"/>
        <v>0</v>
      </c>
      <c r="AO79" s="285">
        <f t="shared" si="38"/>
        <v>0</v>
      </c>
      <c r="AP79" s="285">
        <f t="shared" si="39"/>
        <v>0</v>
      </c>
      <c r="AQ79" s="285">
        <f t="shared" si="40"/>
        <v>0</v>
      </c>
      <c r="AT79" t="s">
        <v>1256</v>
      </c>
      <c r="AU79" s="63">
        <f>SUM(AU44:AU78)</f>
        <v>1.0000000000000002</v>
      </c>
      <c r="AV79" s="63">
        <f t="shared" ref="AV79:CC79" si="41">SUM(AV44:AV78)</f>
        <v>1.0000000000000002</v>
      </c>
      <c r="AW79" s="63">
        <f t="shared" si="41"/>
        <v>1.0000000000000002</v>
      </c>
      <c r="AX79" s="63">
        <f t="shared" si="41"/>
        <v>1.0000000000000002</v>
      </c>
      <c r="AY79" s="63">
        <f t="shared" si="41"/>
        <v>1.0000000000000002</v>
      </c>
      <c r="AZ79" s="63">
        <f t="shared" si="41"/>
        <v>1.0000000000000002</v>
      </c>
      <c r="BA79" s="63">
        <f t="shared" si="41"/>
        <v>1.0000000000000002</v>
      </c>
      <c r="BB79" s="63">
        <f t="shared" si="41"/>
        <v>1.0000000000000002</v>
      </c>
      <c r="BC79" s="63">
        <f t="shared" si="41"/>
        <v>1.0000000000000002</v>
      </c>
      <c r="BD79" s="63">
        <f t="shared" si="41"/>
        <v>0.9600000000000003</v>
      </c>
      <c r="BE79" s="63">
        <f t="shared" si="41"/>
        <v>0.92000000000000026</v>
      </c>
      <c r="BF79" s="63">
        <f t="shared" si="41"/>
        <v>0.88000000000000023</v>
      </c>
      <c r="BG79" s="63">
        <f t="shared" si="41"/>
        <v>0.84000000000000019</v>
      </c>
      <c r="BH79" s="63">
        <f t="shared" si="41"/>
        <v>0.80000000000000016</v>
      </c>
      <c r="BI79" s="63">
        <f t="shared" si="41"/>
        <v>0.76000000000000012</v>
      </c>
      <c r="BJ79" s="63">
        <f t="shared" si="41"/>
        <v>0.72000000000000008</v>
      </c>
      <c r="BK79" s="63">
        <f t="shared" si="41"/>
        <v>0.68</v>
      </c>
      <c r="BL79" s="63">
        <f t="shared" si="41"/>
        <v>0.64</v>
      </c>
      <c r="BM79" s="63">
        <f t="shared" si="41"/>
        <v>0.6</v>
      </c>
      <c r="BN79" s="63">
        <f t="shared" si="41"/>
        <v>0.55999999999999994</v>
      </c>
      <c r="BO79" s="63">
        <f t="shared" si="41"/>
        <v>0.51999999999999991</v>
      </c>
      <c r="BP79" s="63">
        <f t="shared" si="41"/>
        <v>0.47999999999999993</v>
      </c>
      <c r="BQ79" s="63">
        <f t="shared" si="41"/>
        <v>0.43999999999999995</v>
      </c>
      <c r="BR79" s="63">
        <f t="shared" si="41"/>
        <v>0.39999999999999997</v>
      </c>
      <c r="BS79" s="63">
        <f t="shared" si="41"/>
        <v>0.36</v>
      </c>
      <c r="BT79" s="370">
        <f t="shared" si="41"/>
        <v>0.32</v>
      </c>
      <c r="BU79" s="370">
        <f t="shared" si="41"/>
        <v>0.28000000000000003</v>
      </c>
      <c r="BV79" s="370">
        <f t="shared" si="41"/>
        <v>0.24000000000000002</v>
      </c>
      <c r="BW79" s="370">
        <f t="shared" si="41"/>
        <v>0.2</v>
      </c>
      <c r="BX79" s="370">
        <f t="shared" si="41"/>
        <v>0.16</v>
      </c>
      <c r="BY79" s="370">
        <f t="shared" si="41"/>
        <v>0.12</v>
      </c>
      <c r="BZ79" s="370">
        <f t="shared" si="41"/>
        <v>0.08</v>
      </c>
      <c r="CA79" s="370">
        <f t="shared" si="41"/>
        <v>0.04</v>
      </c>
      <c r="CB79" s="370">
        <f t="shared" si="41"/>
        <v>0</v>
      </c>
      <c r="CC79" s="370">
        <f t="shared" si="41"/>
        <v>0</v>
      </c>
    </row>
    <row r="82" spans="6:81">
      <c r="F82" s="846" t="s">
        <v>1257</v>
      </c>
      <c r="G82" s="846"/>
    </row>
    <row r="83" spans="6:81">
      <c r="F83" s="846"/>
      <c r="G83" s="846"/>
      <c r="I83" s="49" t="s">
        <v>84</v>
      </c>
      <c r="J83" s="49" t="s">
        <v>86</v>
      </c>
      <c r="K83" s="49" t="s">
        <v>92</v>
      </c>
      <c r="L83" s="49" t="s">
        <v>93</v>
      </c>
      <c r="M83" s="49" t="s">
        <v>94</v>
      </c>
      <c r="N83" s="49" t="s">
        <v>95</v>
      </c>
      <c r="O83" s="49" t="s">
        <v>96</v>
      </c>
      <c r="P83" s="49" t="s">
        <v>97</v>
      </c>
      <c r="Q83" s="49" t="s">
        <v>98</v>
      </c>
      <c r="R83" s="49" t="s">
        <v>99</v>
      </c>
      <c r="S83" s="49" t="s">
        <v>100</v>
      </c>
      <c r="T83" s="49" t="s">
        <v>101</v>
      </c>
      <c r="U83" s="49" t="s">
        <v>102</v>
      </c>
      <c r="V83" s="49" t="s">
        <v>103</v>
      </c>
      <c r="W83" s="49" t="s">
        <v>104</v>
      </c>
      <c r="X83" s="49" t="s">
        <v>105</v>
      </c>
      <c r="Y83" s="49" t="s">
        <v>106</v>
      </c>
      <c r="Z83" s="49" t="s">
        <v>107</v>
      </c>
      <c r="AA83" s="49" t="s">
        <v>108</v>
      </c>
      <c r="AB83" s="49" t="s">
        <v>109</v>
      </c>
      <c r="AC83" s="49" t="s">
        <v>110</v>
      </c>
      <c r="AD83" s="49" t="s">
        <v>111</v>
      </c>
      <c r="AE83" s="49" t="s">
        <v>112</v>
      </c>
      <c r="AF83" s="49" t="s">
        <v>113</v>
      </c>
      <c r="AG83" s="49" t="s">
        <v>114</v>
      </c>
      <c r="AH83" s="49" t="s">
        <v>115</v>
      </c>
      <c r="AI83" s="49" t="s">
        <v>116</v>
      </c>
      <c r="AJ83" s="49" t="s">
        <v>117</v>
      </c>
      <c r="AK83" s="49" t="s">
        <v>118</v>
      </c>
      <c r="AL83" s="49" t="s">
        <v>119</v>
      </c>
      <c r="AM83" s="49" t="s">
        <v>120</v>
      </c>
      <c r="AN83" s="49" t="s">
        <v>121</v>
      </c>
      <c r="AO83" s="49" t="s">
        <v>122</v>
      </c>
      <c r="AP83" s="49" t="s">
        <v>123</v>
      </c>
      <c r="AQ83" s="49" t="s">
        <v>124</v>
      </c>
    </row>
    <row r="84" spans="6:81">
      <c r="F84" s="846"/>
      <c r="G84" s="846"/>
      <c r="I84" s="313" cm="1">
        <f t="array" ref="I84:AQ84">TRANSPOSE(G86:G120)</f>
        <v>0</v>
      </c>
      <c r="J84" s="313">
        <v>0</v>
      </c>
      <c r="K84" s="313">
        <v>0</v>
      </c>
      <c r="L84" s="313">
        <v>0</v>
      </c>
      <c r="M84" s="313">
        <v>19246.690114723195</v>
      </c>
      <c r="N84" s="313">
        <v>19246.690114723195</v>
      </c>
      <c r="O84" s="313">
        <v>19246.690114723195</v>
      </c>
      <c r="P84" s="313">
        <v>19246.690114723195</v>
      </c>
      <c r="Q84" s="313">
        <v>19246.690114723195</v>
      </c>
      <c r="R84" s="313">
        <v>19246.690114723195</v>
      </c>
      <c r="S84" s="313">
        <v>19246.690114723195</v>
      </c>
      <c r="T84" s="313">
        <v>19246.690114723195</v>
      </c>
      <c r="U84" s="313">
        <v>19246.690114723195</v>
      </c>
      <c r="V84" s="313">
        <v>19246.690114723195</v>
      </c>
      <c r="W84" s="313">
        <v>19246.690114723195</v>
      </c>
      <c r="X84" s="313">
        <v>19246.690114723195</v>
      </c>
      <c r="Y84" s="313">
        <v>19246.690114723195</v>
      </c>
      <c r="Z84" s="313">
        <v>19246.690114723195</v>
      </c>
      <c r="AA84" s="313">
        <v>19246.690114723195</v>
      </c>
      <c r="AB84" s="313">
        <v>19246.690114723195</v>
      </c>
      <c r="AC84" s="313">
        <v>19246.690114723195</v>
      </c>
      <c r="AD84" s="313">
        <v>19246.690114723195</v>
      </c>
      <c r="AE84" s="313">
        <v>19246.690114723195</v>
      </c>
      <c r="AF84" s="313">
        <v>19246.690114723195</v>
      </c>
      <c r="AG84" s="313">
        <v>0</v>
      </c>
      <c r="AH84" s="313">
        <v>0</v>
      </c>
      <c r="AI84" s="313">
        <v>0</v>
      </c>
      <c r="AJ84" s="313">
        <v>0</v>
      </c>
      <c r="AK84" s="313">
        <v>0</v>
      </c>
      <c r="AL84" s="313">
        <v>0</v>
      </c>
      <c r="AM84" s="313">
        <v>0</v>
      </c>
      <c r="AN84" s="313">
        <v>0</v>
      </c>
      <c r="AO84" s="313">
        <v>0</v>
      </c>
      <c r="AP84" s="313">
        <v>0</v>
      </c>
      <c r="AQ84" s="313">
        <v>0</v>
      </c>
      <c r="AU84">
        <v>1</v>
      </c>
      <c r="AV84">
        <v>2</v>
      </c>
      <c r="AW84">
        <v>3</v>
      </c>
      <c r="AX84">
        <v>4</v>
      </c>
      <c r="AY84">
        <v>5</v>
      </c>
      <c r="AZ84">
        <v>6</v>
      </c>
      <c r="BA84">
        <v>7</v>
      </c>
      <c r="BB84">
        <v>8</v>
      </c>
      <c r="BC84">
        <v>9</v>
      </c>
      <c r="BD84">
        <v>10</v>
      </c>
      <c r="BE84">
        <v>11</v>
      </c>
      <c r="BF84">
        <v>12</v>
      </c>
      <c r="BG84">
        <v>13</v>
      </c>
      <c r="BH84">
        <v>14</v>
      </c>
      <c r="BI84">
        <v>15</v>
      </c>
      <c r="BJ84">
        <v>16</v>
      </c>
      <c r="BK84">
        <v>17</v>
      </c>
      <c r="BL84">
        <v>18</v>
      </c>
      <c r="BM84">
        <v>19</v>
      </c>
      <c r="BN84">
        <v>20</v>
      </c>
      <c r="BO84">
        <v>21</v>
      </c>
      <c r="BP84">
        <v>22</v>
      </c>
      <c r="BQ84">
        <v>23</v>
      </c>
      <c r="BR84">
        <v>24</v>
      </c>
      <c r="BS84">
        <v>25</v>
      </c>
      <c r="BT84">
        <v>26</v>
      </c>
      <c r="BU84">
        <v>27</v>
      </c>
      <c r="BV84">
        <v>28</v>
      </c>
      <c r="BW84">
        <v>29</v>
      </c>
      <c r="BX84">
        <v>30</v>
      </c>
      <c r="BY84">
        <v>31</v>
      </c>
      <c r="BZ84">
        <v>32</v>
      </c>
      <c r="CA84">
        <v>33</v>
      </c>
      <c r="CB84">
        <v>34</v>
      </c>
      <c r="CC84">
        <v>35</v>
      </c>
    </row>
    <row r="85" spans="6:81">
      <c r="AT85" t="s">
        <v>84</v>
      </c>
      <c r="AU85" s="419">
        <v>0</v>
      </c>
      <c r="AV85" s="419">
        <v>0</v>
      </c>
      <c r="AW85" s="419">
        <v>0</v>
      </c>
      <c r="AX85" s="419">
        <v>0</v>
      </c>
      <c r="AY85" s="419">
        <v>0</v>
      </c>
      <c r="AZ85" s="419">
        <v>0</v>
      </c>
      <c r="BA85" s="419">
        <v>0</v>
      </c>
      <c r="BB85" s="419">
        <v>0</v>
      </c>
      <c r="BC85" s="419">
        <v>0</v>
      </c>
      <c r="BD85" s="419">
        <v>0</v>
      </c>
      <c r="BE85" s="419">
        <v>0</v>
      </c>
      <c r="BF85" s="419">
        <v>0</v>
      </c>
      <c r="BG85" s="419">
        <v>0</v>
      </c>
      <c r="BH85" s="419">
        <v>0</v>
      </c>
      <c r="BI85" s="419">
        <v>0</v>
      </c>
      <c r="BJ85" s="419">
        <v>0</v>
      </c>
      <c r="BK85" s="419">
        <v>0</v>
      </c>
      <c r="BL85" s="419">
        <v>0</v>
      </c>
      <c r="BM85" s="419">
        <v>0</v>
      </c>
      <c r="BN85" s="419">
        <v>0</v>
      </c>
      <c r="BO85" s="419">
        <v>0</v>
      </c>
      <c r="BP85" s="419">
        <v>0</v>
      </c>
      <c r="BQ85" s="419">
        <v>0</v>
      </c>
      <c r="BR85" s="419">
        <v>0</v>
      </c>
      <c r="BS85" s="419">
        <v>0</v>
      </c>
      <c r="BT85" s="419">
        <v>0</v>
      </c>
      <c r="BU85" s="419">
        <v>0</v>
      </c>
      <c r="BV85" s="419">
        <v>0</v>
      </c>
      <c r="BW85" s="419">
        <v>0</v>
      </c>
      <c r="BX85" s="419">
        <v>0</v>
      </c>
      <c r="BY85" s="419">
        <v>0</v>
      </c>
      <c r="BZ85" s="419">
        <v>0</v>
      </c>
      <c r="CA85" s="419">
        <v>0</v>
      </c>
      <c r="CB85" s="419">
        <v>0</v>
      </c>
      <c r="CC85" s="419">
        <v>0</v>
      </c>
    </row>
    <row r="86" spans="6:81">
      <c r="F86" s="49" t="s">
        <v>84</v>
      </c>
      <c r="I86" s="285"/>
      <c r="J86" s="285">
        <v>0</v>
      </c>
      <c r="K86" s="285">
        <v>0</v>
      </c>
      <c r="L86" s="285">
        <v>0</v>
      </c>
      <c r="M86" s="285">
        <v>0</v>
      </c>
      <c r="N86" s="285">
        <v>0</v>
      </c>
      <c r="O86" s="285">
        <v>0</v>
      </c>
      <c r="P86" s="285">
        <v>0</v>
      </c>
      <c r="Q86" s="285">
        <v>0</v>
      </c>
      <c r="R86" s="285">
        <v>0</v>
      </c>
      <c r="S86" s="285">
        <v>0</v>
      </c>
      <c r="T86" s="285">
        <v>0</v>
      </c>
      <c r="U86" s="285">
        <v>0</v>
      </c>
      <c r="V86" s="285">
        <v>0</v>
      </c>
      <c r="W86" s="285">
        <v>0</v>
      </c>
      <c r="X86" s="285">
        <v>0</v>
      </c>
      <c r="Y86" s="285">
        <v>0</v>
      </c>
      <c r="Z86" s="285">
        <v>0</v>
      </c>
      <c r="AA86" s="285">
        <v>0</v>
      </c>
      <c r="AB86" s="285">
        <v>0</v>
      </c>
      <c r="AC86" s="285">
        <v>0</v>
      </c>
      <c r="AD86" s="285">
        <v>0</v>
      </c>
      <c r="AE86" s="285">
        <v>0</v>
      </c>
      <c r="AF86" s="285">
        <v>0</v>
      </c>
      <c r="AG86" s="285">
        <v>0</v>
      </c>
      <c r="AH86" s="285">
        <v>0</v>
      </c>
      <c r="AI86" s="285">
        <v>0</v>
      </c>
      <c r="AJ86" s="285">
        <v>0</v>
      </c>
      <c r="AK86" s="285">
        <v>0</v>
      </c>
      <c r="AL86" s="285">
        <v>0</v>
      </c>
      <c r="AM86" s="285">
        <v>0</v>
      </c>
      <c r="AN86" s="285">
        <v>0</v>
      </c>
      <c r="AO86" s="285">
        <v>0</v>
      </c>
      <c r="AP86" s="285">
        <v>0</v>
      </c>
      <c r="AQ86" s="285">
        <v>0</v>
      </c>
      <c r="AT86" t="s">
        <v>86</v>
      </c>
      <c r="AU86" s="419">
        <v>0</v>
      </c>
      <c r="AV86" s="419">
        <v>0</v>
      </c>
      <c r="AW86" s="419">
        <v>0</v>
      </c>
      <c r="AX86" s="419">
        <v>0</v>
      </c>
      <c r="AY86" s="419">
        <v>0</v>
      </c>
      <c r="AZ86" s="419">
        <v>0</v>
      </c>
      <c r="BA86" s="419">
        <v>0</v>
      </c>
      <c r="BB86" s="419">
        <v>0</v>
      </c>
      <c r="BC86" s="419">
        <v>0</v>
      </c>
      <c r="BD86" s="419">
        <v>0</v>
      </c>
      <c r="BE86" s="419">
        <v>0</v>
      </c>
      <c r="BF86" s="419">
        <v>0</v>
      </c>
      <c r="BG86" s="419">
        <v>0</v>
      </c>
      <c r="BH86" s="419">
        <v>0</v>
      </c>
      <c r="BI86" s="419">
        <v>0</v>
      </c>
      <c r="BJ86" s="419">
        <v>0</v>
      </c>
      <c r="BK86" s="419">
        <v>0</v>
      </c>
      <c r="BL86" s="419">
        <v>0</v>
      </c>
      <c r="BM86" s="419">
        <v>0</v>
      </c>
      <c r="BN86" s="419">
        <v>0</v>
      </c>
      <c r="BO86" s="419">
        <v>0</v>
      </c>
      <c r="BP86" s="419">
        <v>0</v>
      </c>
      <c r="BQ86" s="419">
        <v>0</v>
      </c>
      <c r="BR86" s="419">
        <v>0</v>
      </c>
      <c r="BS86" s="419">
        <v>0</v>
      </c>
      <c r="BT86" s="419">
        <v>0</v>
      </c>
      <c r="BU86" s="419">
        <v>0</v>
      </c>
      <c r="BV86" s="419">
        <v>0</v>
      </c>
      <c r="BW86" s="419">
        <v>0</v>
      </c>
      <c r="BX86" s="419">
        <v>0</v>
      </c>
      <c r="BY86" s="419">
        <v>0</v>
      </c>
      <c r="BZ86" s="419">
        <v>0</v>
      </c>
      <c r="CA86" s="419">
        <v>0</v>
      </c>
      <c r="CB86" s="419">
        <v>0</v>
      </c>
      <c r="CC86" s="419">
        <v>0</v>
      </c>
    </row>
    <row r="87" spans="6:81">
      <c r="F87" s="49" t="s">
        <v>86</v>
      </c>
      <c r="G87" s="285">
        <f t="shared" ref="G87:G120" si="42">SUM(I87:AR87)</f>
        <v>0</v>
      </c>
      <c r="I87" s="285">
        <f t="shared" ref="I87:I120" si="43">I$30*AU85</f>
        <v>0</v>
      </c>
      <c r="J87" s="285">
        <f t="shared" ref="J87:J120" si="44">J$30*AV85</f>
        <v>0</v>
      </c>
      <c r="K87" s="285">
        <f t="shared" ref="K87:K120" si="45">K$30*AW85</f>
        <v>0</v>
      </c>
      <c r="L87" s="285">
        <f t="shared" ref="L87:L120" si="46">L$30*AX85</f>
        <v>0</v>
      </c>
      <c r="M87" s="285">
        <f t="shared" ref="M87:M120" si="47">M$30*AY85</f>
        <v>0</v>
      </c>
      <c r="N87" s="285">
        <f t="shared" ref="N87:N120" si="48">N$30*AZ85</f>
        <v>0</v>
      </c>
      <c r="O87" s="285">
        <f t="shared" ref="O87:O120" si="49">O$30*BA85</f>
        <v>0</v>
      </c>
      <c r="P87" s="285">
        <f t="shared" ref="P87:P120" si="50">P$30*BB85</f>
        <v>0</v>
      </c>
      <c r="Q87" s="285">
        <f t="shared" ref="Q87:Q120" si="51">Q$30*BC85</f>
        <v>0</v>
      </c>
      <c r="R87" s="285">
        <f t="shared" ref="R87:R120" si="52">R$30*BD85</f>
        <v>0</v>
      </c>
      <c r="S87" s="285">
        <f t="shared" ref="S87:S120" si="53">S$30*BE85</f>
        <v>0</v>
      </c>
      <c r="T87" s="285">
        <f t="shared" ref="T87:T120" si="54">T$30*BF85</f>
        <v>0</v>
      </c>
      <c r="U87" s="285">
        <f t="shared" ref="U87:U120" si="55">U$30*BG85</f>
        <v>0</v>
      </c>
      <c r="V87" s="285">
        <f t="shared" ref="V87:V120" si="56">V$30*BH85</f>
        <v>0</v>
      </c>
      <c r="W87" s="285">
        <f t="shared" ref="W87:W120" si="57">W$30*BI85</f>
        <v>0</v>
      </c>
      <c r="X87" s="285">
        <f t="shared" ref="X87:X120" si="58">X$30*BJ85</f>
        <v>0</v>
      </c>
      <c r="Y87" s="285">
        <f t="shared" ref="Y87:Y120" si="59">Y$30*BK85</f>
        <v>0</v>
      </c>
      <c r="Z87" s="285">
        <f t="shared" ref="Z87:Z120" si="60">Z$30*BL85</f>
        <v>0</v>
      </c>
      <c r="AA87" s="285">
        <f t="shared" ref="AA87:AA120" si="61">AA$30*BM85</f>
        <v>0</v>
      </c>
      <c r="AB87" s="285">
        <f t="shared" ref="AB87:AB120" si="62">AB$30*BN85</f>
        <v>0</v>
      </c>
      <c r="AC87" s="285">
        <f t="shared" ref="AC87:AC120" si="63">AC$30*BO85</f>
        <v>0</v>
      </c>
      <c r="AD87" s="285">
        <f t="shared" ref="AD87:AD120" si="64">AD$30*BP85</f>
        <v>0</v>
      </c>
      <c r="AE87" s="285">
        <f t="shared" ref="AE87:AE120" si="65">AE$30*BQ85</f>
        <v>0</v>
      </c>
      <c r="AF87" s="285">
        <f t="shared" ref="AF87:AF120" si="66">AF$30*BR85</f>
        <v>0</v>
      </c>
      <c r="AG87" s="285">
        <f t="shared" ref="AG87:AG120" si="67">AG$30*BS85</f>
        <v>0</v>
      </c>
      <c r="AH87" s="285">
        <f t="shared" ref="AH87:AH120" si="68">AH$30*BT85</f>
        <v>0</v>
      </c>
      <c r="AI87" s="285">
        <f t="shared" ref="AI87:AI120" si="69">AI$30*BU85</f>
        <v>0</v>
      </c>
      <c r="AJ87" s="285">
        <f t="shared" ref="AJ87:AJ120" si="70">AJ$30*BV85</f>
        <v>0</v>
      </c>
      <c r="AK87" s="285">
        <f t="shared" ref="AK87:AK120" si="71">AK$30*BW85</f>
        <v>0</v>
      </c>
      <c r="AL87" s="285">
        <f t="shared" ref="AL87:AL120" si="72">AL$30*BX85</f>
        <v>0</v>
      </c>
      <c r="AM87" s="285">
        <f t="shared" ref="AM87:AM120" si="73">AM$30*BY85</f>
        <v>0</v>
      </c>
      <c r="AN87" s="285">
        <f t="shared" ref="AN87:AN120" si="74">AN$30*BZ85</f>
        <v>0</v>
      </c>
      <c r="AO87" s="285">
        <f t="shared" ref="AO87:AO120" si="75">AO$30*CA85</f>
        <v>0</v>
      </c>
      <c r="AP87" s="285">
        <f t="shared" ref="AP87:AP120" si="76">AP$30*CB85</f>
        <v>0</v>
      </c>
      <c r="AQ87" s="285">
        <f t="shared" ref="AQ87:AQ120" si="77">AQ$30*CC85</f>
        <v>0</v>
      </c>
      <c r="AT87" t="s">
        <v>92</v>
      </c>
      <c r="AU87" s="419">
        <v>0.05</v>
      </c>
      <c r="AV87" s="419">
        <v>0</v>
      </c>
      <c r="AW87" s="419">
        <v>0</v>
      </c>
      <c r="AX87" s="419">
        <v>0</v>
      </c>
      <c r="AY87" s="419">
        <v>0</v>
      </c>
      <c r="AZ87" s="419">
        <v>0</v>
      </c>
      <c r="BA87" s="419">
        <v>0</v>
      </c>
      <c r="BB87" s="419">
        <v>0</v>
      </c>
      <c r="BC87" s="419">
        <v>0</v>
      </c>
      <c r="BD87" s="419">
        <v>0</v>
      </c>
      <c r="BE87" s="419">
        <v>0</v>
      </c>
      <c r="BF87" s="419">
        <v>0</v>
      </c>
      <c r="BG87" s="419">
        <v>0</v>
      </c>
      <c r="BH87" s="419">
        <v>0</v>
      </c>
      <c r="BI87" s="419">
        <v>0</v>
      </c>
      <c r="BJ87" s="419">
        <v>0</v>
      </c>
      <c r="BK87" s="419">
        <v>0</v>
      </c>
      <c r="BL87" s="419">
        <v>0</v>
      </c>
      <c r="BM87" s="419">
        <v>0</v>
      </c>
      <c r="BN87" s="419">
        <v>0</v>
      </c>
      <c r="BO87" s="419">
        <v>0</v>
      </c>
      <c r="BP87" s="419">
        <v>0</v>
      </c>
      <c r="BQ87" s="419">
        <v>0</v>
      </c>
      <c r="BR87" s="419">
        <v>0</v>
      </c>
      <c r="BS87" s="419">
        <v>0</v>
      </c>
      <c r="BT87" s="419">
        <v>0</v>
      </c>
      <c r="BU87" s="419">
        <v>0</v>
      </c>
      <c r="BV87" s="419">
        <v>0</v>
      </c>
      <c r="BW87" s="419">
        <v>0</v>
      </c>
      <c r="BX87" s="419">
        <v>0</v>
      </c>
      <c r="BY87" s="419">
        <v>0</v>
      </c>
      <c r="BZ87" s="419">
        <v>0</v>
      </c>
      <c r="CA87" s="419">
        <v>0</v>
      </c>
      <c r="CB87" s="419">
        <v>0</v>
      </c>
      <c r="CC87" s="419">
        <v>0</v>
      </c>
    </row>
    <row r="88" spans="6:81">
      <c r="F88" s="49" t="s">
        <v>92</v>
      </c>
      <c r="G88" s="285">
        <f t="shared" si="42"/>
        <v>0</v>
      </c>
      <c r="I88" s="285">
        <f t="shared" si="43"/>
        <v>0</v>
      </c>
      <c r="J88" s="285">
        <f t="shared" si="44"/>
        <v>0</v>
      </c>
      <c r="K88" s="285">
        <f t="shared" si="45"/>
        <v>0</v>
      </c>
      <c r="L88" s="285">
        <f t="shared" si="46"/>
        <v>0</v>
      </c>
      <c r="M88" s="285">
        <f t="shared" si="47"/>
        <v>0</v>
      </c>
      <c r="N88" s="285">
        <f t="shared" si="48"/>
        <v>0</v>
      </c>
      <c r="O88" s="285">
        <f t="shared" si="49"/>
        <v>0</v>
      </c>
      <c r="P88" s="285">
        <f t="shared" si="50"/>
        <v>0</v>
      </c>
      <c r="Q88" s="285">
        <f t="shared" si="51"/>
        <v>0</v>
      </c>
      <c r="R88" s="285">
        <f t="shared" si="52"/>
        <v>0</v>
      </c>
      <c r="S88" s="285">
        <f t="shared" si="53"/>
        <v>0</v>
      </c>
      <c r="T88" s="285">
        <f t="shared" si="54"/>
        <v>0</v>
      </c>
      <c r="U88" s="285">
        <f t="shared" si="55"/>
        <v>0</v>
      </c>
      <c r="V88" s="285">
        <f t="shared" si="56"/>
        <v>0</v>
      </c>
      <c r="W88" s="285">
        <f t="shared" si="57"/>
        <v>0</v>
      </c>
      <c r="X88" s="285">
        <f t="shared" si="58"/>
        <v>0</v>
      </c>
      <c r="Y88" s="285">
        <f t="shared" si="59"/>
        <v>0</v>
      </c>
      <c r="Z88" s="285">
        <f t="shared" si="60"/>
        <v>0</v>
      </c>
      <c r="AA88" s="285">
        <f t="shared" si="61"/>
        <v>0</v>
      </c>
      <c r="AB88" s="285">
        <f t="shared" si="62"/>
        <v>0</v>
      </c>
      <c r="AC88" s="285">
        <f t="shared" si="63"/>
        <v>0</v>
      </c>
      <c r="AD88" s="285">
        <f t="shared" si="64"/>
        <v>0</v>
      </c>
      <c r="AE88" s="285">
        <f t="shared" si="65"/>
        <v>0</v>
      </c>
      <c r="AF88" s="285">
        <f t="shared" si="66"/>
        <v>0</v>
      </c>
      <c r="AG88" s="285">
        <f t="shared" si="67"/>
        <v>0</v>
      </c>
      <c r="AH88" s="285">
        <f t="shared" si="68"/>
        <v>0</v>
      </c>
      <c r="AI88" s="285">
        <f t="shared" si="69"/>
        <v>0</v>
      </c>
      <c r="AJ88" s="285">
        <f t="shared" si="70"/>
        <v>0</v>
      </c>
      <c r="AK88" s="285">
        <f t="shared" si="71"/>
        <v>0</v>
      </c>
      <c r="AL88" s="285">
        <f t="shared" si="72"/>
        <v>0</v>
      </c>
      <c r="AM88" s="285">
        <f t="shared" si="73"/>
        <v>0</v>
      </c>
      <c r="AN88" s="285">
        <f t="shared" si="74"/>
        <v>0</v>
      </c>
      <c r="AO88" s="285">
        <f t="shared" si="75"/>
        <v>0</v>
      </c>
      <c r="AP88" s="285">
        <f t="shared" si="76"/>
        <v>0</v>
      </c>
      <c r="AQ88" s="285">
        <f t="shared" si="77"/>
        <v>0</v>
      </c>
      <c r="AT88" t="s">
        <v>93</v>
      </c>
      <c r="AU88" s="419">
        <v>0.05</v>
      </c>
      <c r="AV88" s="419">
        <v>0.05</v>
      </c>
      <c r="AW88" s="419">
        <v>0</v>
      </c>
      <c r="AX88" s="419">
        <v>0</v>
      </c>
      <c r="AY88" s="419">
        <v>0</v>
      </c>
      <c r="AZ88" s="419">
        <v>0</v>
      </c>
      <c r="BA88" s="419">
        <v>0</v>
      </c>
      <c r="BB88" s="419">
        <v>0</v>
      </c>
      <c r="BC88" s="419">
        <v>0</v>
      </c>
      <c r="BD88" s="419">
        <v>0</v>
      </c>
      <c r="BE88" s="419">
        <v>0</v>
      </c>
      <c r="BF88" s="419">
        <v>0</v>
      </c>
      <c r="BG88" s="419">
        <v>0</v>
      </c>
      <c r="BH88" s="419">
        <v>0</v>
      </c>
      <c r="BI88" s="419">
        <v>0</v>
      </c>
      <c r="BJ88" s="419">
        <v>0</v>
      </c>
      <c r="BK88" s="419">
        <v>0</v>
      </c>
      <c r="BL88" s="419">
        <v>0</v>
      </c>
      <c r="BM88" s="419">
        <v>0</v>
      </c>
      <c r="BN88" s="419">
        <v>0</v>
      </c>
      <c r="BO88" s="419">
        <v>0</v>
      </c>
      <c r="BP88" s="419">
        <v>0</v>
      </c>
      <c r="BQ88" s="419">
        <v>0</v>
      </c>
      <c r="BR88" s="419">
        <v>0</v>
      </c>
      <c r="BS88" s="419">
        <v>0</v>
      </c>
      <c r="BT88" s="419">
        <v>0</v>
      </c>
      <c r="BU88" s="419">
        <v>0</v>
      </c>
      <c r="BV88" s="419">
        <v>0</v>
      </c>
      <c r="BW88" s="419">
        <v>0</v>
      </c>
      <c r="BX88" s="419">
        <v>0</v>
      </c>
      <c r="BY88" s="419">
        <v>0</v>
      </c>
      <c r="BZ88" s="419">
        <v>0</v>
      </c>
      <c r="CA88" s="419">
        <v>0</v>
      </c>
      <c r="CB88" s="419">
        <v>0</v>
      </c>
      <c r="CC88" s="419">
        <v>0</v>
      </c>
    </row>
    <row r="89" spans="6:81">
      <c r="F89" s="49" t="s">
        <v>93</v>
      </c>
      <c r="G89" s="285">
        <f t="shared" si="42"/>
        <v>0</v>
      </c>
      <c r="I89" s="285">
        <f t="shared" si="43"/>
        <v>0</v>
      </c>
      <c r="J89" s="285">
        <f t="shared" si="44"/>
        <v>0</v>
      </c>
      <c r="K89" s="285">
        <f t="shared" si="45"/>
        <v>0</v>
      </c>
      <c r="L89" s="285">
        <f t="shared" si="46"/>
        <v>0</v>
      </c>
      <c r="M89" s="285">
        <f t="shared" si="47"/>
        <v>0</v>
      </c>
      <c r="N89" s="285">
        <f t="shared" si="48"/>
        <v>0</v>
      </c>
      <c r="O89" s="285">
        <f t="shared" si="49"/>
        <v>0</v>
      </c>
      <c r="P89" s="285">
        <f t="shared" si="50"/>
        <v>0</v>
      </c>
      <c r="Q89" s="285">
        <f t="shared" si="51"/>
        <v>0</v>
      </c>
      <c r="R89" s="285">
        <f t="shared" si="52"/>
        <v>0</v>
      </c>
      <c r="S89" s="285">
        <f t="shared" si="53"/>
        <v>0</v>
      </c>
      <c r="T89" s="285">
        <f t="shared" si="54"/>
        <v>0</v>
      </c>
      <c r="U89" s="285">
        <f t="shared" si="55"/>
        <v>0</v>
      </c>
      <c r="V89" s="285">
        <f t="shared" si="56"/>
        <v>0</v>
      </c>
      <c r="W89" s="285">
        <f t="shared" si="57"/>
        <v>0</v>
      </c>
      <c r="X89" s="285">
        <f t="shared" si="58"/>
        <v>0</v>
      </c>
      <c r="Y89" s="285">
        <f t="shared" si="59"/>
        <v>0</v>
      </c>
      <c r="Z89" s="285">
        <f t="shared" si="60"/>
        <v>0</v>
      </c>
      <c r="AA89" s="285">
        <f t="shared" si="61"/>
        <v>0</v>
      </c>
      <c r="AB89" s="285">
        <f t="shared" si="62"/>
        <v>0</v>
      </c>
      <c r="AC89" s="285">
        <f t="shared" si="63"/>
        <v>0</v>
      </c>
      <c r="AD89" s="285">
        <f t="shared" si="64"/>
        <v>0</v>
      </c>
      <c r="AE89" s="285">
        <f t="shared" si="65"/>
        <v>0</v>
      </c>
      <c r="AF89" s="285">
        <f t="shared" si="66"/>
        <v>0</v>
      </c>
      <c r="AG89" s="285">
        <f t="shared" si="67"/>
        <v>0</v>
      </c>
      <c r="AH89" s="285">
        <f t="shared" si="68"/>
        <v>0</v>
      </c>
      <c r="AI89" s="285">
        <f t="shared" si="69"/>
        <v>0</v>
      </c>
      <c r="AJ89" s="285">
        <f t="shared" si="70"/>
        <v>0</v>
      </c>
      <c r="AK89" s="285">
        <f t="shared" si="71"/>
        <v>0</v>
      </c>
      <c r="AL89" s="285">
        <f t="shared" si="72"/>
        <v>0</v>
      </c>
      <c r="AM89" s="285">
        <f t="shared" si="73"/>
        <v>0</v>
      </c>
      <c r="AN89" s="285">
        <f t="shared" si="74"/>
        <v>0</v>
      </c>
      <c r="AO89" s="285">
        <f t="shared" si="75"/>
        <v>0</v>
      </c>
      <c r="AP89" s="285">
        <f t="shared" si="76"/>
        <v>0</v>
      </c>
      <c r="AQ89" s="285">
        <f t="shared" si="77"/>
        <v>0</v>
      </c>
      <c r="AT89" t="s">
        <v>94</v>
      </c>
      <c r="AU89" s="419">
        <v>0.05</v>
      </c>
      <c r="AV89" s="419">
        <v>0.05</v>
      </c>
      <c r="AW89" s="419">
        <v>0.05</v>
      </c>
      <c r="AX89" s="419">
        <v>0</v>
      </c>
      <c r="AY89" s="419">
        <v>0</v>
      </c>
      <c r="AZ89" s="419">
        <v>0</v>
      </c>
      <c r="BA89" s="419">
        <v>0</v>
      </c>
      <c r="BB89" s="419">
        <v>0</v>
      </c>
      <c r="BC89" s="419">
        <v>0</v>
      </c>
      <c r="BD89" s="419">
        <v>0</v>
      </c>
      <c r="BE89" s="419">
        <v>0</v>
      </c>
      <c r="BF89" s="419">
        <v>0</v>
      </c>
      <c r="BG89" s="419">
        <v>0</v>
      </c>
      <c r="BH89" s="419">
        <v>0</v>
      </c>
      <c r="BI89" s="419">
        <v>0</v>
      </c>
      <c r="BJ89" s="419">
        <v>0</v>
      </c>
      <c r="BK89" s="419">
        <v>0</v>
      </c>
      <c r="BL89" s="419">
        <v>0</v>
      </c>
      <c r="BM89" s="419">
        <v>0</v>
      </c>
      <c r="BN89" s="419">
        <v>0</v>
      </c>
      <c r="BO89" s="419">
        <v>0</v>
      </c>
      <c r="BP89" s="419">
        <v>0</v>
      </c>
      <c r="BQ89" s="419">
        <v>0</v>
      </c>
      <c r="BR89" s="419">
        <v>0</v>
      </c>
      <c r="BS89" s="419">
        <v>0</v>
      </c>
      <c r="BT89" s="419">
        <v>0</v>
      </c>
      <c r="BU89" s="419">
        <v>0</v>
      </c>
      <c r="BV89" s="419">
        <v>0</v>
      </c>
      <c r="BW89" s="419">
        <v>0</v>
      </c>
      <c r="BX89" s="419">
        <v>0</v>
      </c>
      <c r="BY89" s="419">
        <v>0</v>
      </c>
      <c r="BZ89" s="419">
        <v>0</v>
      </c>
      <c r="CA89" s="419">
        <v>0</v>
      </c>
      <c r="CB89" s="419">
        <v>0</v>
      </c>
      <c r="CC89" s="419">
        <v>0</v>
      </c>
    </row>
    <row r="90" spans="6:81">
      <c r="F90" s="49" t="s">
        <v>94</v>
      </c>
      <c r="G90" s="285">
        <f t="shared" si="42"/>
        <v>19246.690114723195</v>
      </c>
      <c r="I90" s="285">
        <f t="shared" si="43"/>
        <v>0</v>
      </c>
      <c r="J90" s="285">
        <f>J$30*AV88</f>
        <v>19246.690114723195</v>
      </c>
      <c r="K90" s="285">
        <f t="shared" si="45"/>
        <v>0</v>
      </c>
      <c r="L90" s="285">
        <f t="shared" si="46"/>
        <v>0</v>
      </c>
      <c r="M90" s="285">
        <f t="shared" si="47"/>
        <v>0</v>
      </c>
      <c r="N90" s="285">
        <f t="shared" si="48"/>
        <v>0</v>
      </c>
      <c r="O90" s="285">
        <f t="shared" si="49"/>
        <v>0</v>
      </c>
      <c r="P90" s="285">
        <f t="shared" si="50"/>
        <v>0</v>
      </c>
      <c r="Q90" s="285">
        <f t="shared" si="51"/>
        <v>0</v>
      </c>
      <c r="R90" s="285">
        <f t="shared" si="52"/>
        <v>0</v>
      </c>
      <c r="S90" s="285">
        <f t="shared" si="53"/>
        <v>0</v>
      </c>
      <c r="T90" s="285">
        <f t="shared" si="54"/>
        <v>0</v>
      </c>
      <c r="U90" s="285">
        <f t="shared" si="55"/>
        <v>0</v>
      </c>
      <c r="V90" s="285">
        <f t="shared" si="56"/>
        <v>0</v>
      </c>
      <c r="W90" s="285">
        <f t="shared" si="57"/>
        <v>0</v>
      </c>
      <c r="X90" s="285">
        <f t="shared" si="58"/>
        <v>0</v>
      </c>
      <c r="Y90" s="285">
        <f t="shared" si="59"/>
        <v>0</v>
      </c>
      <c r="Z90" s="285">
        <f t="shared" si="60"/>
        <v>0</v>
      </c>
      <c r="AA90" s="285">
        <f t="shared" si="61"/>
        <v>0</v>
      </c>
      <c r="AB90" s="285">
        <f t="shared" si="62"/>
        <v>0</v>
      </c>
      <c r="AC90" s="285">
        <f t="shared" si="63"/>
        <v>0</v>
      </c>
      <c r="AD90" s="285">
        <f t="shared" si="64"/>
        <v>0</v>
      </c>
      <c r="AE90" s="285">
        <f t="shared" si="65"/>
        <v>0</v>
      </c>
      <c r="AF90" s="285">
        <f t="shared" si="66"/>
        <v>0</v>
      </c>
      <c r="AG90" s="285">
        <f t="shared" si="67"/>
        <v>0</v>
      </c>
      <c r="AH90" s="285">
        <f t="shared" si="68"/>
        <v>0</v>
      </c>
      <c r="AI90" s="285">
        <f t="shared" si="69"/>
        <v>0</v>
      </c>
      <c r="AJ90" s="285">
        <f t="shared" si="70"/>
        <v>0</v>
      </c>
      <c r="AK90" s="285">
        <f t="shared" si="71"/>
        <v>0</v>
      </c>
      <c r="AL90" s="285">
        <f t="shared" si="72"/>
        <v>0</v>
      </c>
      <c r="AM90" s="285">
        <f t="shared" si="73"/>
        <v>0</v>
      </c>
      <c r="AN90" s="285">
        <f t="shared" si="74"/>
        <v>0</v>
      </c>
      <c r="AO90" s="285">
        <f t="shared" si="75"/>
        <v>0</v>
      </c>
      <c r="AP90" s="285">
        <f t="shared" si="76"/>
        <v>0</v>
      </c>
      <c r="AQ90" s="285">
        <f t="shared" si="77"/>
        <v>0</v>
      </c>
      <c r="AT90" t="s">
        <v>95</v>
      </c>
      <c r="AU90" s="419">
        <v>0.05</v>
      </c>
      <c r="AV90" s="419">
        <v>0.05</v>
      </c>
      <c r="AW90" s="419">
        <v>0.05</v>
      </c>
      <c r="AX90" s="419">
        <v>0.05</v>
      </c>
      <c r="AY90" s="419">
        <v>0</v>
      </c>
      <c r="AZ90" s="419">
        <v>0</v>
      </c>
      <c r="BA90" s="419">
        <v>0</v>
      </c>
      <c r="BB90" s="419">
        <v>0</v>
      </c>
      <c r="BC90" s="419">
        <v>0</v>
      </c>
      <c r="BD90" s="419">
        <v>0</v>
      </c>
      <c r="BE90" s="419">
        <v>0</v>
      </c>
      <c r="BF90" s="419">
        <v>0</v>
      </c>
      <c r="BG90" s="419">
        <v>0</v>
      </c>
      <c r="BH90" s="419">
        <v>0</v>
      </c>
      <c r="BI90" s="419">
        <v>0</v>
      </c>
      <c r="BJ90" s="419">
        <v>0</v>
      </c>
      <c r="BK90" s="419">
        <v>0</v>
      </c>
      <c r="BL90" s="419">
        <v>0</v>
      </c>
      <c r="BM90" s="419">
        <v>0</v>
      </c>
      <c r="BN90" s="419">
        <v>0</v>
      </c>
      <c r="BO90" s="419">
        <v>0</v>
      </c>
      <c r="BP90" s="419">
        <v>0</v>
      </c>
      <c r="BQ90" s="419">
        <v>0</v>
      </c>
      <c r="BR90" s="419">
        <v>0</v>
      </c>
      <c r="BS90" s="419">
        <v>0</v>
      </c>
      <c r="BT90" s="419">
        <v>0</v>
      </c>
      <c r="BU90" s="419">
        <v>0</v>
      </c>
      <c r="BV90" s="419">
        <v>0</v>
      </c>
      <c r="BW90" s="419">
        <v>0</v>
      </c>
      <c r="BX90" s="419">
        <v>0</v>
      </c>
      <c r="BY90" s="419">
        <v>0</v>
      </c>
      <c r="BZ90" s="419">
        <v>0</v>
      </c>
      <c r="CA90" s="419">
        <v>0</v>
      </c>
      <c r="CB90" s="419">
        <v>0</v>
      </c>
      <c r="CC90" s="419">
        <v>0</v>
      </c>
    </row>
    <row r="91" spans="6:81">
      <c r="F91" s="49" t="s">
        <v>95</v>
      </c>
      <c r="G91" s="285">
        <f t="shared" si="42"/>
        <v>19246.690114723195</v>
      </c>
      <c r="I91" s="285">
        <f t="shared" si="43"/>
        <v>0</v>
      </c>
      <c r="J91" s="285">
        <f t="shared" si="44"/>
        <v>19246.690114723195</v>
      </c>
      <c r="K91" s="285">
        <f t="shared" si="45"/>
        <v>0</v>
      </c>
      <c r="L91" s="285">
        <f t="shared" si="46"/>
        <v>0</v>
      </c>
      <c r="M91" s="285">
        <f t="shared" si="47"/>
        <v>0</v>
      </c>
      <c r="N91" s="285">
        <f t="shared" si="48"/>
        <v>0</v>
      </c>
      <c r="O91" s="285">
        <f t="shared" si="49"/>
        <v>0</v>
      </c>
      <c r="P91" s="285">
        <f t="shared" si="50"/>
        <v>0</v>
      </c>
      <c r="Q91" s="285">
        <f t="shared" si="51"/>
        <v>0</v>
      </c>
      <c r="R91" s="285">
        <f t="shared" si="52"/>
        <v>0</v>
      </c>
      <c r="S91" s="285">
        <f t="shared" si="53"/>
        <v>0</v>
      </c>
      <c r="T91" s="285">
        <f t="shared" si="54"/>
        <v>0</v>
      </c>
      <c r="U91" s="285">
        <f t="shared" si="55"/>
        <v>0</v>
      </c>
      <c r="V91" s="285">
        <f t="shared" si="56"/>
        <v>0</v>
      </c>
      <c r="W91" s="285">
        <f t="shared" si="57"/>
        <v>0</v>
      </c>
      <c r="X91" s="285">
        <f t="shared" si="58"/>
        <v>0</v>
      </c>
      <c r="Y91" s="285">
        <f t="shared" si="59"/>
        <v>0</v>
      </c>
      <c r="Z91" s="285">
        <f t="shared" si="60"/>
        <v>0</v>
      </c>
      <c r="AA91" s="285">
        <f t="shared" si="61"/>
        <v>0</v>
      </c>
      <c r="AB91" s="285">
        <f t="shared" si="62"/>
        <v>0</v>
      </c>
      <c r="AC91" s="285">
        <f t="shared" si="63"/>
        <v>0</v>
      </c>
      <c r="AD91" s="285">
        <f t="shared" si="64"/>
        <v>0</v>
      </c>
      <c r="AE91" s="285">
        <f t="shared" si="65"/>
        <v>0</v>
      </c>
      <c r="AF91" s="285">
        <f t="shared" si="66"/>
        <v>0</v>
      </c>
      <c r="AG91" s="285">
        <f t="shared" si="67"/>
        <v>0</v>
      </c>
      <c r="AH91" s="285">
        <f t="shared" si="68"/>
        <v>0</v>
      </c>
      <c r="AI91" s="285">
        <f t="shared" si="69"/>
        <v>0</v>
      </c>
      <c r="AJ91" s="285">
        <f t="shared" si="70"/>
        <v>0</v>
      </c>
      <c r="AK91" s="285">
        <f t="shared" si="71"/>
        <v>0</v>
      </c>
      <c r="AL91" s="285">
        <f t="shared" si="72"/>
        <v>0</v>
      </c>
      <c r="AM91" s="285">
        <f t="shared" si="73"/>
        <v>0</v>
      </c>
      <c r="AN91" s="285">
        <f t="shared" si="74"/>
        <v>0</v>
      </c>
      <c r="AO91" s="285">
        <f t="shared" si="75"/>
        <v>0</v>
      </c>
      <c r="AP91" s="285">
        <f t="shared" si="76"/>
        <v>0</v>
      </c>
      <c r="AQ91" s="285">
        <f t="shared" si="77"/>
        <v>0</v>
      </c>
      <c r="AT91" t="s">
        <v>96</v>
      </c>
      <c r="AU91" s="419">
        <v>0.05</v>
      </c>
      <c r="AV91" s="419">
        <v>0.05</v>
      </c>
      <c r="AW91" s="419">
        <v>0.05</v>
      </c>
      <c r="AX91" s="419">
        <v>0.05</v>
      </c>
      <c r="AY91" s="419">
        <v>0.05</v>
      </c>
      <c r="AZ91" s="419">
        <v>0</v>
      </c>
      <c r="BA91" s="419">
        <v>0</v>
      </c>
      <c r="BB91" s="419">
        <v>0</v>
      </c>
      <c r="BC91" s="419">
        <v>0</v>
      </c>
      <c r="BD91" s="419">
        <v>0</v>
      </c>
      <c r="BE91" s="419">
        <v>0</v>
      </c>
      <c r="BF91" s="419">
        <v>0</v>
      </c>
      <c r="BG91" s="419">
        <v>0</v>
      </c>
      <c r="BH91" s="419">
        <v>0</v>
      </c>
      <c r="BI91" s="419">
        <v>0</v>
      </c>
      <c r="BJ91" s="419">
        <v>0</v>
      </c>
      <c r="BK91" s="419">
        <v>0</v>
      </c>
      <c r="BL91" s="419">
        <v>0</v>
      </c>
      <c r="BM91" s="419">
        <v>0</v>
      </c>
      <c r="BN91" s="419">
        <v>0</v>
      </c>
      <c r="BO91" s="419">
        <v>0</v>
      </c>
      <c r="BP91" s="419">
        <v>0</v>
      </c>
      <c r="BQ91" s="419">
        <v>0</v>
      </c>
      <c r="BR91" s="419">
        <v>0</v>
      </c>
      <c r="BS91" s="419">
        <v>0</v>
      </c>
      <c r="BT91" s="419">
        <v>0</v>
      </c>
      <c r="BU91" s="419">
        <v>0</v>
      </c>
      <c r="BV91" s="419">
        <v>0</v>
      </c>
      <c r="BW91" s="419">
        <v>0</v>
      </c>
      <c r="BX91" s="419">
        <v>0</v>
      </c>
      <c r="BY91" s="419">
        <v>0</v>
      </c>
      <c r="BZ91" s="419">
        <v>0</v>
      </c>
      <c r="CA91" s="419">
        <v>0</v>
      </c>
      <c r="CB91" s="419">
        <v>0</v>
      </c>
      <c r="CC91" s="419">
        <v>0</v>
      </c>
    </row>
    <row r="92" spans="6:81">
      <c r="F92" s="49" t="s">
        <v>96</v>
      </c>
      <c r="G92" s="285">
        <f t="shared" si="42"/>
        <v>19246.690114723195</v>
      </c>
      <c r="I92" s="285">
        <f t="shared" si="43"/>
        <v>0</v>
      </c>
      <c r="J92" s="285">
        <f t="shared" si="44"/>
        <v>19246.690114723195</v>
      </c>
      <c r="K92" s="285">
        <f t="shared" si="45"/>
        <v>0</v>
      </c>
      <c r="L92" s="285">
        <f t="shared" si="46"/>
        <v>0</v>
      </c>
      <c r="M92" s="285">
        <f t="shared" si="47"/>
        <v>0</v>
      </c>
      <c r="N92" s="285">
        <f t="shared" si="48"/>
        <v>0</v>
      </c>
      <c r="O92" s="285">
        <f t="shared" si="49"/>
        <v>0</v>
      </c>
      <c r="P92" s="285">
        <f t="shared" si="50"/>
        <v>0</v>
      </c>
      <c r="Q92" s="285">
        <f t="shared" si="51"/>
        <v>0</v>
      </c>
      <c r="R92" s="285">
        <f t="shared" si="52"/>
        <v>0</v>
      </c>
      <c r="S92" s="285">
        <f t="shared" si="53"/>
        <v>0</v>
      </c>
      <c r="T92" s="285">
        <f t="shared" si="54"/>
        <v>0</v>
      </c>
      <c r="U92" s="285">
        <f t="shared" si="55"/>
        <v>0</v>
      </c>
      <c r="V92" s="285">
        <f t="shared" si="56"/>
        <v>0</v>
      </c>
      <c r="W92" s="285">
        <f t="shared" si="57"/>
        <v>0</v>
      </c>
      <c r="X92" s="285">
        <f t="shared" si="58"/>
        <v>0</v>
      </c>
      <c r="Y92" s="285">
        <f t="shared" si="59"/>
        <v>0</v>
      </c>
      <c r="Z92" s="285">
        <f t="shared" si="60"/>
        <v>0</v>
      </c>
      <c r="AA92" s="285">
        <f t="shared" si="61"/>
        <v>0</v>
      </c>
      <c r="AB92" s="285">
        <f t="shared" si="62"/>
        <v>0</v>
      </c>
      <c r="AC92" s="285">
        <f t="shared" si="63"/>
        <v>0</v>
      </c>
      <c r="AD92" s="285">
        <f t="shared" si="64"/>
        <v>0</v>
      </c>
      <c r="AE92" s="285">
        <f t="shared" si="65"/>
        <v>0</v>
      </c>
      <c r="AF92" s="285">
        <f t="shared" si="66"/>
        <v>0</v>
      </c>
      <c r="AG92" s="285">
        <f t="shared" si="67"/>
        <v>0</v>
      </c>
      <c r="AH92" s="285">
        <f t="shared" si="68"/>
        <v>0</v>
      </c>
      <c r="AI92" s="285">
        <f t="shared" si="69"/>
        <v>0</v>
      </c>
      <c r="AJ92" s="285">
        <f t="shared" si="70"/>
        <v>0</v>
      </c>
      <c r="AK92" s="285">
        <f t="shared" si="71"/>
        <v>0</v>
      </c>
      <c r="AL92" s="285">
        <f t="shared" si="72"/>
        <v>0</v>
      </c>
      <c r="AM92" s="285">
        <f t="shared" si="73"/>
        <v>0</v>
      </c>
      <c r="AN92" s="285">
        <f t="shared" si="74"/>
        <v>0</v>
      </c>
      <c r="AO92" s="285">
        <f t="shared" si="75"/>
        <v>0</v>
      </c>
      <c r="AP92" s="285">
        <f t="shared" si="76"/>
        <v>0</v>
      </c>
      <c r="AQ92" s="285">
        <f t="shared" si="77"/>
        <v>0</v>
      </c>
      <c r="AT92" t="s">
        <v>97</v>
      </c>
      <c r="AU92" s="419">
        <v>0.05</v>
      </c>
      <c r="AV92" s="419">
        <v>0.05</v>
      </c>
      <c r="AW92" s="419">
        <v>0.05</v>
      </c>
      <c r="AX92" s="419">
        <v>0.05</v>
      </c>
      <c r="AY92" s="419">
        <v>0.05</v>
      </c>
      <c r="AZ92" s="419">
        <v>0.05</v>
      </c>
      <c r="BA92" s="419">
        <v>0</v>
      </c>
      <c r="BB92" s="419">
        <v>0</v>
      </c>
      <c r="BC92" s="419">
        <v>0</v>
      </c>
      <c r="BD92" s="419">
        <v>0</v>
      </c>
      <c r="BE92" s="419">
        <v>0</v>
      </c>
      <c r="BF92" s="419">
        <v>0</v>
      </c>
      <c r="BG92" s="419">
        <v>0</v>
      </c>
      <c r="BH92" s="419">
        <v>0</v>
      </c>
      <c r="BI92" s="419">
        <v>0</v>
      </c>
      <c r="BJ92" s="419">
        <v>0</v>
      </c>
      <c r="BK92" s="419">
        <v>0</v>
      </c>
      <c r="BL92" s="419">
        <v>0</v>
      </c>
      <c r="BM92" s="419">
        <v>0</v>
      </c>
      <c r="BN92" s="419">
        <v>0</v>
      </c>
      <c r="BO92" s="419">
        <v>0</v>
      </c>
      <c r="BP92" s="419">
        <v>0</v>
      </c>
      <c r="BQ92" s="419">
        <v>0</v>
      </c>
      <c r="BR92" s="419">
        <v>0</v>
      </c>
      <c r="BS92" s="419">
        <v>0</v>
      </c>
      <c r="BT92" s="419">
        <v>0</v>
      </c>
      <c r="BU92" s="419">
        <v>0</v>
      </c>
      <c r="BV92" s="419">
        <v>0</v>
      </c>
      <c r="BW92" s="419">
        <v>0</v>
      </c>
      <c r="BX92" s="419">
        <v>0</v>
      </c>
      <c r="BY92" s="419">
        <v>0</v>
      </c>
      <c r="BZ92" s="419">
        <v>0</v>
      </c>
      <c r="CA92" s="419">
        <v>0</v>
      </c>
      <c r="CB92" s="419">
        <v>0</v>
      </c>
      <c r="CC92" s="419">
        <v>0</v>
      </c>
    </row>
    <row r="93" spans="6:81">
      <c r="F93" s="49" t="s">
        <v>97</v>
      </c>
      <c r="G93" s="285">
        <f t="shared" si="42"/>
        <v>19246.690114723195</v>
      </c>
      <c r="I93" s="285">
        <f t="shared" si="43"/>
        <v>0</v>
      </c>
      <c r="J93" s="285">
        <f t="shared" si="44"/>
        <v>19246.690114723195</v>
      </c>
      <c r="K93" s="285">
        <f t="shared" si="45"/>
        <v>0</v>
      </c>
      <c r="L93" s="285">
        <f t="shared" si="46"/>
        <v>0</v>
      </c>
      <c r="M93" s="285">
        <f t="shared" si="47"/>
        <v>0</v>
      </c>
      <c r="N93" s="285">
        <f t="shared" si="48"/>
        <v>0</v>
      </c>
      <c r="O93" s="285">
        <f t="shared" si="49"/>
        <v>0</v>
      </c>
      <c r="P93" s="285">
        <f t="shared" si="50"/>
        <v>0</v>
      </c>
      <c r="Q93" s="285">
        <f t="shared" si="51"/>
        <v>0</v>
      </c>
      <c r="R93" s="285">
        <f t="shared" si="52"/>
        <v>0</v>
      </c>
      <c r="S93" s="285">
        <f t="shared" si="53"/>
        <v>0</v>
      </c>
      <c r="T93" s="285">
        <f t="shared" si="54"/>
        <v>0</v>
      </c>
      <c r="U93" s="285">
        <f t="shared" si="55"/>
        <v>0</v>
      </c>
      <c r="V93" s="285">
        <f t="shared" si="56"/>
        <v>0</v>
      </c>
      <c r="W93" s="285">
        <f t="shared" si="57"/>
        <v>0</v>
      </c>
      <c r="X93" s="285">
        <f t="shared" si="58"/>
        <v>0</v>
      </c>
      <c r="Y93" s="285">
        <f t="shared" si="59"/>
        <v>0</v>
      </c>
      <c r="Z93" s="285">
        <f t="shared" si="60"/>
        <v>0</v>
      </c>
      <c r="AA93" s="285">
        <f t="shared" si="61"/>
        <v>0</v>
      </c>
      <c r="AB93" s="285">
        <f t="shared" si="62"/>
        <v>0</v>
      </c>
      <c r="AC93" s="285">
        <f t="shared" si="63"/>
        <v>0</v>
      </c>
      <c r="AD93" s="285">
        <f t="shared" si="64"/>
        <v>0</v>
      </c>
      <c r="AE93" s="285">
        <f t="shared" si="65"/>
        <v>0</v>
      </c>
      <c r="AF93" s="285">
        <f t="shared" si="66"/>
        <v>0</v>
      </c>
      <c r="AG93" s="285">
        <f t="shared" si="67"/>
        <v>0</v>
      </c>
      <c r="AH93" s="285">
        <f t="shared" si="68"/>
        <v>0</v>
      </c>
      <c r="AI93" s="285">
        <f t="shared" si="69"/>
        <v>0</v>
      </c>
      <c r="AJ93" s="285">
        <f t="shared" si="70"/>
        <v>0</v>
      </c>
      <c r="AK93" s="285">
        <f t="shared" si="71"/>
        <v>0</v>
      </c>
      <c r="AL93" s="285">
        <f t="shared" si="72"/>
        <v>0</v>
      </c>
      <c r="AM93" s="285">
        <f t="shared" si="73"/>
        <v>0</v>
      </c>
      <c r="AN93" s="285">
        <f t="shared" si="74"/>
        <v>0</v>
      </c>
      <c r="AO93" s="285">
        <f t="shared" si="75"/>
        <v>0</v>
      </c>
      <c r="AP93" s="285">
        <f t="shared" si="76"/>
        <v>0</v>
      </c>
      <c r="AQ93" s="285">
        <f t="shared" si="77"/>
        <v>0</v>
      </c>
      <c r="AT93" t="s">
        <v>98</v>
      </c>
      <c r="AU93" s="419">
        <v>0.05</v>
      </c>
      <c r="AV93" s="419">
        <v>0.05</v>
      </c>
      <c r="AW93" s="419">
        <v>0.05</v>
      </c>
      <c r="AX93" s="419">
        <v>0.05</v>
      </c>
      <c r="AY93" s="419">
        <v>0.05</v>
      </c>
      <c r="AZ93" s="419">
        <v>0.05</v>
      </c>
      <c r="BA93" s="419">
        <v>0.05</v>
      </c>
      <c r="BB93" s="419">
        <v>0</v>
      </c>
      <c r="BC93" s="419">
        <v>0</v>
      </c>
      <c r="BD93" s="419">
        <v>0</v>
      </c>
      <c r="BE93" s="419">
        <v>0</v>
      </c>
      <c r="BF93" s="419">
        <v>0</v>
      </c>
      <c r="BG93" s="419">
        <v>0</v>
      </c>
      <c r="BH93" s="419">
        <v>0</v>
      </c>
      <c r="BI93" s="419">
        <v>0</v>
      </c>
      <c r="BJ93" s="419">
        <v>0</v>
      </c>
      <c r="BK93" s="419">
        <v>0</v>
      </c>
      <c r="BL93" s="419">
        <v>0</v>
      </c>
      <c r="BM93" s="419">
        <v>0</v>
      </c>
      <c r="BN93" s="419">
        <v>0</v>
      </c>
      <c r="BO93" s="419">
        <v>0</v>
      </c>
      <c r="BP93" s="419">
        <v>0</v>
      </c>
      <c r="BQ93" s="419">
        <v>0</v>
      </c>
      <c r="BR93" s="419">
        <v>0</v>
      </c>
      <c r="BS93" s="419">
        <v>0</v>
      </c>
      <c r="BT93" s="419">
        <v>0</v>
      </c>
      <c r="BU93" s="419">
        <v>0</v>
      </c>
      <c r="BV93" s="419">
        <v>0</v>
      </c>
      <c r="BW93" s="419">
        <v>0</v>
      </c>
      <c r="BX93" s="419">
        <v>0</v>
      </c>
      <c r="BY93" s="419">
        <v>0</v>
      </c>
      <c r="BZ93" s="419">
        <v>0</v>
      </c>
      <c r="CA93" s="419">
        <v>0</v>
      </c>
      <c r="CB93" s="419">
        <v>0</v>
      </c>
      <c r="CC93" s="419">
        <v>0</v>
      </c>
    </row>
    <row r="94" spans="6:81">
      <c r="F94" s="49" t="s">
        <v>98</v>
      </c>
      <c r="G94" s="285">
        <f t="shared" si="42"/>
        <v>19246.690114723195</v>
      </c>
      <c r="I94" s="285">
        <f t="shared" si="43"/>
        <v>0</v>
      </c>
      <c r="J94" s="285">
        <f t="shared" si="44"/>
        <v>19246.690114723195</v>
      </c>
      <c r="K94" s="285">
        <f t="shared" si="45"/>
        <v>0</v>
      </c>
      <c r="L94" s="285">
        <f t="shared" si="46"/>
        <v>0</v>
      </c>
      <c r="M94" s="285">
        <f t="shared" si="47"/>
        <v>0</v>
      </c>
      <c r="N94" s="285">
        <f t="shared" si="48"/>
        <v>0</v>
      </c>
      <c r="O94" s="285">
        <f t="shared" si="49"/>
        <v>0</v>
      </c>
      <c r="P94" s="285">
        <f t="shared" si="50"/>
        <v>0</v>
      </c>
      <c r="Q94" s="285">
        <f t="shared" si="51"/>
        <v>0</v>
      </c>
      <c r="R94" s="285">
        <f t="shared" si="52"/>
        <v>0</v>
      </c>
      <c r="S94" s="285">
        <f t="shared" si="53"/>
        <v>0</v>
      </c>
      <c r="T94" s="285">
        <f t="shared" si="54"/>
        <v>0</v>
      </c>
      <c r="U94" s="285">
        <f t="shared" si="55"/>
        <v>0</v>
      </c>
      <c r="V94" s="285">
        <f t="shared" si="56"/>
        <v>0</v>
      </c>
      <c r="W94" s="285">
        <f t="shared" si="57"/>
        <v>0</v>
      </c>
      <c r="X94" s="285">
        <f t="shared" si="58"/>
        <v>0</v>
      </c>
      <c r="Y94" s="285">
        <f t="shared" si="59"/>
        <v>0</v>
      </c>
      <c r="Z94" s="285">
        <f t="shared" si="60"/>
        <v>0</v>
      </c>
      <c r="AA94" s="285">
        <f t="shared" si="61"/>
        <v>0</v>
      </c>
      <c r="AB94" s="285">
        <f t="shared" si="62"/>
        <v>0</v>
      </c>
      <c r="AC94" s="285">
        <f t="shared" si="63"/>
        <v>0</v>
      </c>
      <c r="AD94" s="285">
        <f t="shared" si="64"/>
        <v>0</v>
      </c>
      <c r="AE94" s="285">
        <f t="shared" si="65"/>
        <v>0</v>
      </c>
      <c r="AF94" s="285">
        <f t="shared" si="66"/>
        <v>0</v>
      </c>
      <c r="AG94" s="285">
        <f t="shared" si="67"/>
        <v>0</v>
      </c>
      <c r="AH94" s="285">
        <f t="shared" si="68"/>
        <v>0</v>
      </c>
      <c r="AI94" s="285">
        <f t="shared" si="69"/>
        <v>0</v>
      </c>
      <c r="AJ94" s="285">
        <f t="shared" si="70"/>
        <v>0</v>
      </c>
      <c r="AK94" s="285">
        <f t="shared" si="71"/>
        <v>0</v>
      </c>
      <c r="AL94" s="285">
        <f t="shared" si="72"/>
        <v>0</v>
      </c>
      <c r="AM94" s="285">
        <f t="shared" si="73"/>
        <v>0</v>
      </c>
      <c r="AN94" s="285">
        <f t="shared" si="74"/>
        <v>0</v>
      </c>
      <c r="AO94" s="285">
        <f t="shared" si="75"/>
        <v>0</v>
      </c>
      <c r="AP94" s="285">
        <f t="shared" si="76"/>
        <v>0</v>
      </c>
      <c r="AQ94" s="285">
        <f t="shared" si="77"/>
        <v>0</v>
      </c>
      <c r="AT94" t="s">
        <v>99</v>
      </c>
      <c r="AU94" s="419">
        <v>0.05</v>
      </c>
      <c r="AV94" s="419">
        <v>0.05</v>
      </c>
      <c r="AW94" s="419">
        <v>0.05</v>
      </c>
      <c r="AX94" s="419">
        <v>0.05</v>
      </c>
      <c r="AY94" s="419">
        <v>0.05</v>
      </c>
      <c r="AZ94" s="419">
        <v>0.05</v>
      </c>
      <c r="BA94" s="419">
        <v>0.05</v>
      </c>
      <c r="BB94" s="419">
        <v>0.05</v>
      </c>
      <c r="BC94" s="419">
        <v>0</v>
      </c>
      <c r="BD94" s="419">
        <v>0</v>
      </c>
      <c r="BE94" s="419">
        <v>0</v>
      </c>
      <c r="BF94" s="419">
        <v>0</v>
      </c>
      <c r="BG94" s="419">
        <v>0</v>
      </c>
      <c r="BH94" s="419">
        <v>0</v>
      </c>
      <c r="BI94" s="419">
        <v>0</v>
      </c>
      <c r="BJ94" s="419">
        <v>0</v>
      </c>
      <c r="BK94" s="419">
        <v>0</v>
      </c>
      <c r="BL94" s="419">
        <v>0</v>
      </c>
      <c r="BM94" s="419">
        <v>0</v>
      </c>
      <c r="BN94" s="419">
        <v>0</v>
      </c>
      <c r="BO94" s="419">
        <v>0</v>
      </c>
      <c r="BP94" s="419">
        <v>0</v>
      </c>
      <c r="BQ94" s="419">
        <v>0</v>
      </c>
      <c r="BR94" s="419">
        <v>0</v>
      </c>
      <c r="BS94" s="419">
        <v>0</v>
      </c>
      <c r="BT94" s="419">
        <v>0</v>
      </c>
      <c r="BU94" s="419">
        <v>0</v>
      </c>
      <c r="BV94" s="419">
        <v>0</v>
      </c>
      <c r="BW94" s="419">
        <v>0</v>
      </c>
      <c r="BX94" s="419">
        <v>0</v>
      </c>
      <c r="BY94" s="419">
        <v>0</v>
      </c>
      <c r="BZ94" s="419">
        <v>0</v>
      </c>
      <c r="CA94" s="419">
        <v>0</v>
      </c>
      <c r="CB94" s="419">
        <v>0</v>
      </c>
      <c r="CC94" s="419">
        <v>0</v>
      </c>
    </row>
    <row r="95" spans="6:81">
      <c r="F95" s="49" t="s">
        <v>99</v>
      </c>
      <c r="G95" s="285">
        <f t="shared" si="42"/>
        <v>19246.690114723195</v>
      </c>
      <c r="I95" s="285">
        <f t="shared" si="43"/>
        <v>0</v>
      </c>
      <c r="J95" s="285">
        <f t="shared" si="44"/>
        <v>19246.690114723195</v>
      </c>
      <c r="K95" s="285">
        <f t="shared" si="45"/>
        <v>0</v>
      </c>
      <c r="L95" s="285">
        <f t="shared" si="46"/>
        <v>0</v>
      </c>
      <c r="M95" s="285">
        <f t="shared" si="47"/>
        <v>0</v>
      </c>
      <c r="N95" s="285">
        <f t="shared" si="48"/>
        <v>0</v>
      </c>
      <c r="O95" s="285">
        <f t="shared" si="49"/>
        <v>0</v>
      </c>
      <c r="P95" s="285">
        <f t="shared" si="50"/>
        <v>0</v>
      </c>
      <c r="Q95" s="285">
        <f t="shared" si="51"/>
        <v>0</v>
      </c>
      <c r="R95" s="285">
        <f t="shared" si="52"/>
        <v>0</v>
      </c>
      <c r="S95" s="285">
        <f t="shared" si="53"/>
        <v>0</v>
      </c>
      <c r="T95" s="285">
        <f t="shared" si="54"/>
        <v>0</v>
      </c>
      <c r="U95" s="285">
        <f t="shared" si="55"/>
        <v>0</v>
      </c>
      <c r="V95" s="285">
        <f t="shared" si="56"/>
        <v>0</v>
      </c>
      <c r="W95" s="285">
        <f t="shared" si="57"/>
        <v>0</v>
      </c>
      <c r="X95" s="285">
        <f t="shared" si="58"/>
        <v>0</v>
      </c>
      <c r="Y95" s="285">
        <f t="shared" si="59"/>
        <v>0</v>
      </c>
      <c r="Z95" s="285">
        <f t="shared" si="60"/>
        <v>0</v>
      </c>
      <c r="AA95" s="285">
        <f t="shared" si="61"/>
        <v>0</v>
      </c>
      <c r="AB95" s="285">
        <f t="shared" si="62"/>
        <v>0</v>
      </c>
      <c r="AC95" s="285">
        <f t="shared" si="63"/>
        <v>0</v>
      </c>
      <c r="AD95" s="285">
        <f t="shared" si="64"/>
        <v>0</v>
      </c>
      <c r="AE95" s="285">
        <f t="shared" si="65"/>
        <v>0</v>
      </c>
      <c r="AF95" s="285">
        <f t="shared" si="66"/>
        <v>0</v>
      </c>
      <c r="AG95" s="285">
        <f t="shared" si="67"/>
        <v>0</v>
      </c>
      <c r="AH95" s="285">
        <f t="shared" si="68"/>
        <v>0</v>
      </c>
      <c r="AI95" s="285">
        <f t="shared" si="69"/>
        <v>0</v>
      </c>
      <c r="AJ95" s="285">
        <f t="shared" si="70"/>
        <v>0</v>
      </c>
      <c r="AK95" s="285">
        <f t="shared" si="71"/>
        <v>0</v>
      </c>
      <c r="AL95" s="285">
        <f t="shared" si="72"/>
        <v>0</v>
      </c>
      <c r="AM95" s="285">
        <f t="shared" si="73"/>
        <v>0</v>
      </c>
      <c r="AN95" s="285">
        <f t="shared" si="74"/>
        <v>0</v>
      </c>
      <c r="AO95" s="285">
        <f t="shared" si="75"/>
        <v>0</v>
      </c>
      <c r="AP95" s="285">
        <f t="shared" si="76"/>
        <v>0</v>
      </c>
      <c r="AQ95" s="285">
        <f t="shared" si="77"/>
        <v>0</v>
      </c>
      <c r="AT95" t="s">
        <v>100</v>
      </c>
      <c r="AU95" s="419">
        <v>0.05</v>
      </c>
      <c r="AV95" s="419">
        <v>0.05</v>
      </c>
      <c r="AW95" s="419">
        <v>0.05</v>
      </c>
      <c r="AX95" s="419">
        <v>0.05</v>
      </c>
      <c r="AY95" s="419">
        <v>0.05</v>
      </c>
      <c r="AZ95" s="419">
        <v>0.05</v>
      </c>
      <c r="BA95" s="419">
        <v>0.05</v>
      </c>
      <c r="BB95" s="419">
        <v>0.05</v>
      </c>
      <c r="BC95" s="419">
        <v>0.05</v>
      </c>
      <c r="BD95" s="419">
        <v>0</v>
      </c>
      <c r="BE95" s="419">
        <v>0</v>
      </c>
      <c r="BF95" s="419">
        <v>0</v>
      </c>
      <c r="BG95" s="419">
        <v>0</v>
      </c>
      <c r="BH95" s="419">
        <v>0</v>
      </c>
      <c r="BI95" s="419">
        <v>0</v>
      </c>
      <c r="BJ95" s="419">
        <v>0</v>
      </c>
      <c r="BK95" s="419">
        <v>0</v>
      </c>
      <c r="BL95" s="419">
        <v>0</v>
      </c>
      <c r="BM95" s="419">
        <v>0</v>
      </c>
      <c r="BN95" s="419">
        <v>0</v>
      </c>
      <c r="BO95" s="419">
        <v>0</v>
      </c>
      <c r="BP95" s="419">
        <v>0</v>
      </c>
      <c r="BQ95" s="419">
        <v>0</v>
      </c>
      <c r="BR95" s="419">
        <v>0</v>
      </c>
      <c r="BS95" s="419">
        <v>0</v>
      </c>
      <c r="BT95" s="419">
        <v>0</v>
      </c>
      <c r="BU95" s="419">
        <v>0</v>
      </c>
      <c r="BV95" s="419">
        <v>0</v>
      </c>
      <c r="BW95" s="419">
        <v>0</v>
      </c>
      <c r="BX95" s="419">
        <v>0</v>
      </c>
      <c r="BY95" s="419">
        <v>0</v>
      </c>
      <c r="BZ95" s="419">
        <v>0</v>
      </c>
      <c r="CA95" s="419">
        <v>0</v>
      </c>
      <c r="CB95" s="419">
        <v>0</v>
      </c>
      <c r="CC95" s="419">
        <v>0</v>
      </c>
    </row>
    <row r="96" spans="6:81">
      <c r="F96" s="49" t="s">
        <v>100</v>
      </c>
      <c r="G96" s="285">
        <f t="shared" si="42"/>
        <v>19246.690114723195</v>
      </c>
      <c r="I96" s="285">
        <f t="shared" si="43"/>
        <v>0</v>
      </c>
      <c r="J96" s="285">
        <f t="shared" si="44"/>
        <v>19246.690114723195</v>
      </c>
      <c r="K96" s="285">
        <f t="shared" si="45"/>
        <v>0</v>
      </c>
      <c r="L96" s="285">
        <f t="shared" si="46"/>
        <v>0</v>
      </c>
      <c r="M96" s="285">
        <f t="shared" si="47"/>
        <v>0</v>
      </c>
      <c r="N96" s="285">
        <f t="shared" si="48"/>
        <v>0</v>
      </c>
      <c r="O96" s="285">
        <f t="shared" si="49"/>
        <v>0</v>
      </c>
      <c r="P96" s="285">
        <f t="shared" si="50"/>
        <v>0</v>
      </c>
      <c r="Q96" s="285">
        <f t="shared" si="51"/>
        <v>0</v>
      </c>
      <c r="R96" s="285">
        <f t="shared" si="52"/>
        <v>0</v>
      </c>
      <c r="S96" s="285">
        <f t="shared" si="53"/>
        <v>0</v>
      </c>
      <c r="T96" s="285">
        <f t="shared" si="54"/>
        <v>0</v>
      </c>
      <c r="U96" s="285">
        <f t="shared" si="55"/>
        <v>0</v>
      </c>
      <c r="V96" s="285">
        <f t="shared" si="56"/>
        <v>0</v>
      </c>
      <c r="W96" s="285">
        <f t="shared" si="57"/>
        <v>0</v>
      </c>
      <c r="X96" s="285">
        <f t="shared" si="58"/>
        <v>0</v>
      </c>
      <c r="Y96" s="285">
        <f t="shared" si="59"/>
        <v>0</v>
      </c>
      <c r="Z96" s="285">
        <f t="shared" si="60"/>
        <v>0</v>
      </c>
      <c r="AA96" s="285">
        <f t="shared" si="61"/>
        <v>0</v>
      </c>
      <c r="AB96" s="285">
        <f t="shared" si="62"/>
        <v>0</v>
      </c>
      <c r="AC96" s="285">
        <f t="shared" si="63"/>
        <v>0</v>
      </c>
      <c r="AD96" s="285">
        <f t="shared" si="64"/>
        <v>0</v>
      </c>
      <c r="AE96" s="285">
        <f t="shared" si="65"/>
        <v>0</v>
      </c>
      <c r="AF96" s="285">
        <f t="shared" si="66"/>
        <v>0</v>
      </c>
      <c r="AG96" s="285">
        <f t="shared" si="67"/>
        <v>0</v>
      </c>
      <c r="AH96" s="285">
        <f t="shared" si="68"/>
        <v>0</v>
      </c>
      <c r="AI96" s="285">
        <f t="shared" si="69"/>
        <v>0</v>
      </c>
      <c r="AJ96" s="285">
        <f t="shared" si="70"/>
        <v>0</v>
      </c>
      <c r="AK96" s="285">
        <f t="shared" si="71"/>
        <v>0</v>
      </c>
      <c r="AL96" s="285">
        <f t="shared" si="72"/>
        <v>0</v>
      </c>
      <c r="AM96" s="285">
        <f t="shared" si="73"/>
        <v>0</v>
      </c>
      <c r="AN96" s="285">
        <f t="shared" si="74"/>
        <v>0</v>
      </c>
      <c r="AO96" s="285">
        <f t="shared" si="75"/>
        <v>0</v>
      </c>
      <c r="AP96" s="285">
        <f t="shared" si="76"/>
        <v>0</v>
      </c>
      <c r="AQ96" s="285">
        <f t="shared" si="77"/>
        <v>0</v>
      </c>
      <c r="AT96" t="s">
        <v>101</v>
      </c>
      <c r="AU96" s="419">
        <v>0.05</v>
      </c>
      <c r="AV96" s="419">
        <v>0.05</v>
      </c>
      <c r="AW96" s="419">
        <v>0.05</v>
      </c>
      <c r="AX96" s="419">
        <v>0.05</v>
      </c>
      <c r="AY96" s="419">
        <v>0.05</v>
      </c>
      <c r="AZ96" s="419">
        <v>0.05</v>
      </c>
      <c r="BA96" s="419">
        <v>0.05</v>
      </c>
      <c r="BB96" s="419">
        <v>0.05</v>
      </c>
      <c r="BC96" s="419">
        <v>0.05</v>
      </c>
      <c r="BD96" s="419">
        <v>0.05</v>
      </c>
      <c r="BE96" s="419">
        <v>0</v>
      </c>
      <c r="BF96" s="419">
        <v>0</v>
      </c>
      <c r="BG96" s="419">
        <v>0</v>
      </c>
      <c r="BH96" s="419">
        <v>0</v>
      </c>
      <c r="BI96" s="419">
        <v>0</v>
      </c>
      <c r="BJ96" s="419">
        <v>0</v>
      </c>
      <c r="BK96" s="419">
        <v>0</v>
      </c>
      <c r="BL96" s="419">
        <v>0</v>
      </c>
      <c r="BM96" s="419">
        <v>0</v>
      </c>
      <c r="BN96" s="419">
        <v>0</v>
      </c>
      <c r="BO96" s="419">
        <v>0</v>
      </c>
      <c r="BP96" s="419">
        <v>0</v>
      </c>
      <c r="BQ96" s="419">
        <v>0</v>
      </c>
      <c r="BR96" s="419">
        <v>0</v>
      </c>
      <c r="BS96" s="419">
        <v>0</v>
      </c>
      <c r="BT96" s="419">
        <v>0</v>
      </c>
      <c r="BU96" s="419">
        <v>0</v>
      </c>
      <c r="BV96" s="419">
        <v>0</v>
      </c>
      <c r="BW96" s="419">
        <v>0</v>
      </c>
      <c r="BX96" s="419">
        <v>0</v>
      </c>
      <c r="BY96" s="419">
        <v>0</v>
      </c>
      <c r="BZ96" s="419">
        <v>0</v>
      </c>
      <c r="CA96" s="419">
        <v>0</v>
      </c>
      <c r="CB96" s="419">
        <v>0</v>
      </c>
      <c r="CC96" s="419">
        <v>0</v>
      </c>
    </row>
    <row r="97" spans="6:81">
      <c r="F97" s="49" t="s">
        <v>101</v>
      </c>
      <c r="G97" s="285">
        <f t="shared" si="42"/>
        <v>19246.690114723195</v>
      </c>
      <c r="I97" s="285">
        <f t="shared" si="43"/>
        <v>0</v>
      </c>
      <c r="J97" s="285">
        <f t="shared" si="44"/>
        <v>19246.690114723195</v>
      </c>
      <c r="K97" s="285">
        <f t="shared" si="45"/>
        <v>0</v>
      </c>
      <c r="L97" s="285">
        <f t="shared" si="46"/>
        <v>0</v>
      </c>
      <c r="M97" s="285">
        <f t="shared" si="47"/>
        <v>0</v>
      </c>
      <c r="N97" s="285">
        <f t="shared" si="48"/>
        <v>0</v>
      </c>
      <c r="O97" s="285">
        <f t="shared" si="49"/>
        <v>0</v>
      </c>
      <c r="P97" s="285">
        <f t="shared" si="50"/>
        <v>0</v>
      </c>
      <c r="Q97" s="285">
        <f t="shared" si="51"/>
        <v>0</v>
      </c>
      <c r="R97" s="285">
        <f t="shared" si="52"/>
        <v>0</v>
      </c>
      <c r="S97" s="285">
        <f t="shared" si="53"/>
        <v>0</v>
      </c>
      <c r="T97" s="285">
        <f t="shared" si="54"/>
        <v>0</v>
      </c>
      <c r="U97" s="285">
        <f t="shared" si="55"/>
        <v>0</v>
      </c>
      <c r="V97" s="285">
        <f t="shared" si="56"/>
        <v>0</v>
      </c>
      <c r="W97" s="285">
        <f t="shared" si="57"/>
        <v>0</v>
      </c>
      <c r="X97" s="285">
        <f t="shared" si="58"/>
        <v>0</v>
      </c>
      <c r="Y97" s="285">
        <f t="shared" si="59"/>
        <v>0</v>
      </c>
      <c r="Z97" s="285">
        <f t="shared" si="60"/>
        <v>0</v>
      </c>
      <c r="AA97" s="285">
        <f t="shared" si="61"/>
        <v>0</v>
      </c>
      <c r="AB97" s="285">
        <f t="shared" si="62"/>
        <v>0</v>
      </c>
      <c r="AC97" s="285">
        <f t="shared" si="63"/>
        <v>0</v>
      </c>
      <c r="AD97" s="285">
        <f t="shared" si="64"/>
        <v>0</v>
      </c>
      <c r="AE97" s="285">
        <f t="shared" si="65"/>
        <v>0</v>
      </c>
      <c r="AF97" s="285">
        <f t="shared" si="66"/>
        <v>0</v>
      </c>
      <c r="AG97" s="285">
        <f t="shared" si="67"/>
        <v>0</v>
      </c>
      <c r="AH97" s="285">
        <f t="shared" si="68"/>
        <v>0</v>
      </c>
      <c r="AI97" s="285">
        <f t="shared" si="69"/>
        <v>0</v>
      </c>
      <c r="AJ97" s="285">
        <f t="shared" si="70"/>
        <v>0</v>
      </c>
      <c r="AK97" s="285">
        <f t="shared" si="71"/>
        <v>0</v>
      </c>
      <c r="AL97" s="285">
        <f t="shared" si="72"/>
        <v>0</v>
      </c>
      <c r="AM97" s="285">
        <f t="shared" si="73"/>
        <v>0</v>
      </c>
      <c r="AN97" s="285">
        <f t="shared" si="74"/>
        <v>0</v>
      </c>
      <c r="AO97" s="285">
        <f t="shared" si="75"/>
        <v>0</v>
      </c>
      <c r="AP97" s="285">
        <f t="shared" si="76"/>
        <v>0</v>
      </c>
      <c r="AQ97" s="285">
        <f t="shared" si="77"/>
        <v>0</v>
      </c>
      <c r="AT97" t="s">
        <v>102</v>
      </c>
      <c r="AU97" s="419">
        <v>0.05</v>
      </c>
      <c r="AV97" s="419">
        <v>0.05</v>
      </c>
      <c r="AW97" s="419">
        <v>0.05</v>
      </c>
      <c r="AX97" s="419">
        <v>0.05</v>
      </c>
      <c r="AY97" s="419">
        <v>0.05</v>
      </c>
      <c r="AZ97" s="419">
        <v>0.05</v>
      </c>
      <c r="BA97" s="419">
        <v>0.05</v>
      </c>
      <c r="BB97" s="419">
        <v>0.05</v>
      </c>
      <c r="BC97" s="419">
        <v>0.05</v>
      </c>
      <c r="BD97" s="419">
        <v>0.05</v>
      </c>
      <c r="BE97" s="419">
        <v>0.05</v>
      </c>
      <c r="BF97" s="419">
        <v>0</v>
      </c>
      <c r="BG97" s="419">
        <v>0</v>
      </c>
      <c r="BH97" s="419">
        <v>0</v>
      </c>
      <c r="BI97" s="419">
        <v>0</v>
      </c>
      <c r="BJ97" s="419">
        <v>0</v>
      </c>
      <c r="BK97" s="419">
        <v>0</v>
      </c>
      <c r="BL97" s="419">
        <v>0</v>
      </c>
      <c r="BM97" s="419">
        <v>0</v>
      </c>
      <c r="BN97" s="419">
        <v>0</v>
      </c>
      <c r="BO97" s="419">
        <v>0</v>
      </c>
      <c r="BP97" s="419">
        <v>0</v>
      </c>
      <c r="BQ97" s="419">
        <v>0</v>
      </c>
      <c r="BR97" s="419">
        <v>0</v>
      </c>
      <c r="BS97" s="419">
        <v>0</v>
      </c>
      <c r="BT97" s="419">
        <v>0</v>
      </c>
      <c r="BU97" s="419">
        <v>0</v>
      </c>
      <c r="BV97" s="419">
        <v>0</v>
      </c>
      <c r="BW97" s="419">
        <v>0</v>
      </c>
      <c r="BX97" s="419">
        <v>0</v>
      </c>
      <c r="BY97" s="419">
        <v>0</v>
      </c>
      <c r="BZ97" s="419">
        <v>0</v>
      </c>
      <c r="CA97" s="419">
        <v>0</v>
      </c>
      <c r="CB97" s="419">
        <v>0</v>
      </c>
      <c r="CC97" s="419">
        <v>0</v>
      </c>
    </row>
    <row r="98" spans="6:81">
      <c r="F98" s="49" t="s">
        <v>102</v>
      </c>
      <c r="G98" s="285">
        <f t="shared" si="42"/>
        <v>19246.690114723195</v>
      </c>
      <c r="I98" s="285">
        <f t="shared" si="43"/>
        <v>0</v>
      </c>
      <c r="J98" s="285">
        <f t="shared" si="44"/>
        <v>19246.690114723195</v>
      </c>
      <c r="K98" s="285">
        <f t="shared" si="45"/>
        <v>0</v>
      </c>
      <c r="L98" s="285">
        <f t="shared" si="46"/>
        <v>0</v>
      </c>
      <c r="M98" s="285">
        <f t="shared" si="47"/>
        <v>0</v>
      </c>
      <c r="N98" s="285">
        <f t="shared" si="48"/>
        <v>0</v>
      </c>
      <c r="O98" s="285">
        <f t="shared" si="49"/>
        <v>0</v>
      </c>
      <c r="P98" s="285">
        <f t="shared" si="50"/>
        <v>0</v>
      </c>
      <c r="Q98" s="285">
        <f t="shared" si="51"/>
        <v>0</v>
      </c>
      <c r="R98" s="285">
        <f t="shared" si="52"/>
        <v>0</v>
      </c>
      <c r="S98" s="285">
        <f t="shared" si="53"/>
        <v>0</v>
      </c>
      <c r="T98" s="285">
        <f t="shared" si="54"/>
        <v>0</v>
      </c>
      <c r="U98" s="285">
        <f t="shared" si="55"/>
        <v>0</v>
      </c>
      <c r="V98" s="285">
        <f t="shared" si="56"/>
        <v>0</v>
      </c>
      <c r="W98" s="285">
        <f t="shared" si="57"/>
        <v>0</v>
      </c>
      <c r="X98" s="285">
        <f t="shared" si="58"/>
        <v>0</v>
      </c>
      <c r="Y98" s="285">
        <f t="shared" si="59"/>
        <v>0</v>
      </c>
      <c r="Z98" s="285">
        <f t="shared" si="60"/>
        <v>0</v>
      </c>
      <c r="AA98" s="285">
        <f t="shared" si="61"/>
        <v>0</v>
      </c>
      <c r="AB98" s="285">
        <f t="shared" si="62"/>
        <v>0</v>
      </c>
      <c r="AC98" s="285">
        <f t="shared" si="63"/>
        <v>0</v>
      </c>
      <c r="AD98" s="285">
        <f t="shared" si="64"/>
        <v>0</v>
      </c>
      <c r="AE98" s="285">
        <f t="shared" si="65"/>
        <v>0</v>
      </c>
      <c r="AF98" s="285">
        <f t="shared" si="66"/>
        <v>0</v>
      </c>
      <c r="AG98" s="285">
        <f t="shared" si="67"/>
        <v>0</v>
      </c>
      <c r="AH98" s="285">
        <f t="shared" si="68"/>
        <v>0</v>
      </c>
      <c r="AI98" s="285">
        <f t="shared" si="69"/>
        <v>0</v>
      </c>
      <c r="AJ98" s="285">
        <f t="shared" si="70"/>
        <v>0</v>
      </c>
      <c r="AK98" s="285">
        <f t="shared" si="71"/>
        <v>0</v>
      </c>
      <c r="AL98" s="285">
        <f t="shared" si="72"/>
        <v>0</v>
      </c>
      <c r="AM98" s="285">
        <f t="shared" si="73"/>
        <v>0</v>
      </c>
      <c r="AN98" s="285">
        <f t="shared" si="74"/>
        <v>0</v>
      </c>
      <c r="AO98" s="285">
        <f t="shared" si="75"/>
        <v>0</v>
      </c>
      <c r="AP98" s="285">
        <f t="shared" si="76"/>
        <v>0</v>
      </c>
      <c r="AQ98" s="285">
        <f t="shared" si="77"/>
        <v>0</v>
      </c>
      <c r="AT98" t="s">
        <v>103</v>
      </c>
      <c r="AU98" s="419">
        <v>0.05</v>
      </c>
      <c r="AV98" s="419">
        <v>0.05</v>
      </c>
      <c r="AW98" s="419">
        <v>0.05</v>
      </c>
      <c r="AX98" s="419">
        <v>0.05</v>
      </c>
      <c r="AY98" s="419">
        <v>0.05</v>
      </c>
      <c r="AZ98" s="419">
        <v>0.05</v>
      </c>
      <c r="BA98" s="419">
        <v>0.05</v>
      </c>
      <c r="BB98" s="419">
        <v>0.05</v>
      </c>
      <c r="BC98" s="419">
        <v>0.05</v>
      </c>
      <c r="BD98" s="419">
        <v>0.05</v>
      </c>
      <c r="BE98" s="419">
        <v>0.05</v>
      </c>
      <c r="BF98" s="419">
        <v>0.05</v>
      </c>
      <c r="BG98" s="419">
        <v>0</v>
      </c>
      <c r="BH98" s="419">
        <v>0</v>
      </c>
      <c r="BI98" s="419">
        <v>0</v>
      </c>
      <c r="BJ98" s="419">
        <v>0</v>
      </c>
      <c r="BK98" s="419">
        <v>0</v>
      </c>
      <c r="BL98" s="419">
        <v>0</v>
      </c>
      <c r="BM98" s="419">
        <v>0</v>
      </c>
      <c r="BN98" s="419">
        <v>0</v>
      </c>
      <c r="BO98" s="419">
        <v>0</v>
      </c>
      <c r="BP98" s="419">
        <v>0</v>
      </c>
      <c r="BQ98" s="419">
        <v>0</v>
      </c>
      <c r="BR98" s="419">
        <v>0</v>
      </c>
      <c r="BS98" s="419">
        <v>0</v>
      </c>
      <c r="BT98" s="419">
        <v>0</v>
      </c>
      <c r="BU98" s="419">
        <v>0</v>
      </c>
      <c r="BV98" s="419">
        <v>0</v>
      </c>
      <c r="BW98" s="419">
        <v>0</v>
      </c>
      <c r="BX98" s="419">
        <v>0</v>
      </c>
      <c r="BY98" s="419">
        <v>0</v>
      </c>
      <c r="BZ98" s="419">
        <v>0</v>
      </c>
      <c r="CA98" s="419">
        <v>0</v>
      </c>
      <c r="CB98" s="419">
        <v>0</v>
      </c>
      <c r="CC98" s="419">
        <v>0</v>
      </c>
    </row>
    <row r="99" spans="6:81">
      <c r="F99" s="49" t="s">
        <v>103</v>
      </c>
      <c r="G99" s="285">
        <f t="shared" si="42"/>
        <v>19246.690114723195</v>
      </c>
      <c r="I99" s="285">
        <f t="shared" si="43"/>
        <v>0</v>
      </c>
      <c r="J99" s="285">
        <f t="shared" si="44"/>
        <v>19246.690114723195</v>
      </c>
      <c r="K99" s="285">
        <f t="shared" si="45"/>
        <v>0</v>
      </c>
      <c r="L99" s="285">
        <f t="shared" si="46"/>
        <v>0</v>
      </c>
      <c r="M99" s="285">
        <f t="shared" si="47"/>
        <v>0</v>
      </c>
      <c r="N99" s="285">
        <f t="shared" si="48"/>
        <v>0</v>
      </c>
      <c r="O99" s="285">
        <f t="shared" si="49"/>
        <v>0</v>
      </c>
      <c r="P99" s="285">
        <f t="shared" si="50"/>
        <v>0</v>
      </c>
      <c r="Q99" s="285">
        <f t="shared" si="51"/>
        <v>0</v>
      </c>
      <c r="R99" s="285">
        <f t="shared" si="52"/>
        <v>0</v>
      </c>
      <c r="S99" s="285">
        <f t="shared" si="53"/>
        <v>0</v>
      </c>
      <c r="T99" s="285">
        <f t="shared" si="54"/>
        <v>0</v>
      </c>
      <c r="U99" s="285">
        <f t="shared" si="55"/>
        <v>0</v>
      </c>
      <c r="V99" s="285">
        <f t="shared" si="56"/>
        <v>0</v>
      </c>
      <c r="W99" s="285">
        <f t="shared" si="57"/>
        <v>0</v>
      </c>
      <c r="X99" s="285">
        <f t="shared" si="58"/>
        <v>0</v>
      </c>
      <c r="Y99" s="285">
        <f t="shared" si="59"/>
        <v>0</v>
      </c>
      <c r="Z99" s="285">
        <f t="shared" si="60"/>
        <v>0</v>
      </c>
      <c r="AA99" s="285">
        <f t="shared" si="61"/>
        <v>0</v>
      </c>
      <c r="AB99" s="285">
        <f t="shared" si="62"/>
        <v>0</v>
      </c>
      <c r="AC99" s="285">
        <f t="shared" si="63"/>
        <v>0</v>
      </c>
      <c r="AD99" s="285">
        <f t="shared" si="64"/>
        <v>0</v>
      </c>
      <c r="AE99" s="285">
        <f t="shared" si="65"/>
        <v>0</v>
      </c>
      <c r="AF99" s="285">
        <f t="shared" si="66"/>
        <v>0</v>
      </c>
      <c r="AG99" s="285">
        <f t="shared" si="67"/>
        <v>0</v>
      </c>
      <c r="AH99" s="285">
        <f t="shared" si="68"/>
        <v>0</v>
      </c>
      <c r="AI99" s="285">
        <f t="shared" si="69"/>
        <v>0</v>
      </c>
      <c r="AJ99" s="285">
        <f t="shared" si="70"/>
        <v>0</v>
      </c>
      <c r="AK99" s="285">
        <f t="shared" si="71"/>
        <v>0</v>
      </c>
      <c r="AL99" s="285">
        <f t="shared" si="72"/>
        <v>0</v>
      </c>
      <c r="AM99" s="285">
        <f t="shared" si="73"/>
        <v>0</v>
      </c>
      <c r="AN99" s="285">
        <f t="shared" si="74"/>
        <v>0</v>
      </c>
      <c r="AO99" s="285">
        <f t="shared" si="75"/>
        <v>0</v>
      </c>
      <c r="AP99" s="285">
        <f t="shared" si="76"/>
        <v>0</v>
      </c>
      <c r="AQ99" s="285">
        <f t="shared" si="77"/>
        <v>0</v>
      </c>
      <c r="AT99" t="s">
        <v>104</v>
      </c>
      <c r="AU99" s="419">
        <v>0.05</v>
      </c>
      <c r="AV99" s="419">
        <v>0.05</v>
      </c>
      <c r="AW99" s="419">
        <v>0.05</v>
      </c>
      <c r="AX99" s="419">
        <v>0.05</v>
      </c>
      <c r="AY99" s="419">
        <v>0.05</v>
      </c>
      <c r="AZ99" s="419">
        <v>0.05</v>
      </c>
      <c r="BA99" s="419">
        <v>0.05</v>
      </c>
      <c r="BB99" s="419">
        <v>0.05</v>
      </c>
      <c r="BC99" s="419">
        <v>0.05</v>
      </c>
      <c r="BD99" s="419">
        <v>0.05</v>
      </c>
      <c r="BE99" s="419">
        <v>0.05</v>
      </c>
      <c r="BF99" s="419">
        <v>0.05</v>
      </c>
      <c r="BG99" s="419">
        <v>0.05</v>
      </c>
      <c r="BH99" s="419">
        <v>0</v>
      </c>
      <c r="BI99" s="419">
        <v>0</v>
      </c>
      <c r="BJ99" s="419">
        <v>0</v>
      </c>
      <c r="BK99" s="419">
        <v>0</v>
      </c>
      <c r="BL99" s="419">
        <v>0</v>
      </c>
      <c r="BM99" s="419">
        <v>0</v>
      </c>
      <c r="BN99" s="419">
        <v>0</v>
      </c>
      <c r="BO99" s="419">
        <v>0</v>
      </c>
      <c r="BP99" s="419">
        <v>0</v>
      </c>
      <c r="BQ99" s="419">
        <v>0</v>
      </c>
      <c r="BR99" s="419">
        <v>0</v>
      </c>
      <c r="BS99" s="419">
        <v>0</v>
      </c>
      <c r="BT99" s="419">
        <v>0</v>
      </c>
      <c r="BU99" s="419">
        <v>0</v>
      </c>
      <c r="BV99" s="419">
        <v>0</v>
      </c>
      <c r="BW99" s="419">
        <v>0</v>
      </c>
      <c r="BX99" s="419">
        <v>0</v>
      </c>
      <c r="BY99" s="419">
        <v>0</v>
      </c>
      <c r="BZ99" s="419">
        <v>0</v>
      </c>
      <c r="CA99" s="419">
        <v>0</v>
      </c>
      <c r="CB99" s="419">
        <v>0</v>
      </c>
      <c r="CC99" s="419">
        <v>0</v>
      </c>
    </row>
    <row r="100" spans="6:81">
      <c r="F100" s="49" t="s">
        <v>104</v>
      </c>
      <c r="G100" s="285">
        <f t="shared" si="42"/>
        <v>19246.690114723195</v>
      </c>
      <c r="I100" s="285">
        <f t="shared" si="43"/>
        <v>0</v>
      </c>
      <c r="J100" s="285">
        <f t="shared" si="44"/>
        <v>19246.690114723195</v>
      </c>
      <c r="K100" s="285">
        <f t="shared" si="45"/>
        <v>0</v>
      </c>
      <c r="L100" s="285">
        <f t="shared" si="46"/>
        <v>0</v>
      </c>
      <c r="M100" s="285">
        <f t="shared" si="47"/>
        <v>0</v>
      </c>
      <c r="N100" s="285">
        <f t="shared" si="48"/>
        <v>0</v>
      </c>
      <c r="O100" s="285">
        <f t="shared" si="49"/>
        <v>0</v>
      </c>
      <c r="P100" s="285">
        <f t="shared" si="50"/>
        <v>0</v>
      </c>
      <c r="Q100" s="285">
        <f t="shared" si="51"/>
        <v>0</v>
      </c>
      <c r="R100" s="285">
        <f t="shared" si="52"/>
        <v>0</v>
      </c>
      <c r="S100" s="285">
        <f t="shared" si="53"/>
        <v>0</v>
      </c>
      <c r="T100" s="285">
        <f t="shared" si="54"/>
        <v>0</v>
      </c>
      <c r="U100" s="285">
        <f t="shared" si="55"/>
        <v>0</v>
      </c>
      <c r="V100" s="285">
        <f t="shared" si="56"/>
        <v>0</v>
      </c>
      <c r="W100" s="285">
        <f t="shared" si="57"/>
        <v>0</v>
      </c>
      <c r="X100" s="285">
        <f t="shared" si="58"/>
        <v>0</v>
      </c>
      <c r="Y100" s="285">
        <f t="shared" si="59"/>
        <v>0</v>
      </c>
      <c r="Z100" s="285">
        <f t="shared" si="60"/>
        <v>0</v>
      </c>
      <c r="AA100" s="285">
        <f t="shared" si="61"/>
        <v>0</v>
      </c>
      <c r="AB100" s="285">
        <f t="shared" si="62"/>
        <v>0</v>
      </c>
      <c r="AC100" s="285">
        <f t="shared" si="63"/>
        <v>0</v>
      </c>
      <c r="AD100" s="285">
        <f t="shared" si="64"/>
        <v>0</v>
      </c>
      <c r="AE100" s="285">
        <f t="shared" si="65"/>
        <v>0</v>
      </c>
      <c r="AF100" s="285">
        <f t="shared" si="66"/>
        <v>0</v>
      </c>
      <c r="AG100" s="285">
        <f t="shared" si="67"/>
        <v>0</v>
      </c>
      <c r="AH100" s="285">
        <f t="shared" si="68"/>
        <v>0</v>
      </c>
      <c r="AI100" s="285">
        <f t="shared" si="69"/>
        <v>0</v>
      </c>
      <c r="AJ100" s="285">
        <f t="shared" si="70"/>
        <v>0</v>
      </c>
      <c r="AK100" s="285">
        <f t="shared" si="71"/>
        <v>0</v>
      </c>
      <c r="AL100" s="285">
        <f t="shared" si="72"/>
        <v>0</v>
      </c>
      <c r="AM100" s="285">
        <f t="shared" si="73"/>
        <v>0</v>
      </c>
      <c r="AN100" s="285">
        <f t="shared" si="74"/>
        <v>0</v>
      </c>
      <c r="AO100" s="285">
        <f t="shared" si="75"/>
        <v>0</v>
      </c>
      <c r="AP100" s="285">
        <f t="shared" si="76"/>
        <v>0</v>
      </c>
      <c r="AQ100" s="285">
        <f t="shared" si="77"/>
        <v>0</v>
      </c>
      <c r="AT100" t="s">
        <v>105</v>
      </c>
      <c r="AU100" s="419">
        <v>0.05</v>
      </c>
      <c r="AV100" s="419">
        <v>0.05</v>
      </c>
      <c r="AW100" s="419">
        <v>0.05</v>
      </c>
      <c r="AX100" s="419">
        <v>0.05</v>
      </c>
      <c r="AY100" s="419">
        <v>0.05</v>
      </c>
      <c r="AZ100" s="419">
        <v>0.05</v>
      </c>
      <c r="BA100" s="419">
        <v>0.05</v>
      </c>
      <c r="BB100" s="419">
        <v>0.05</v>
      </c>
      <c r="BC100" s="419">
        <v>0.05</v>
      </c>
      <c r="BD100" s="419">
        <v>0.05</v>
      </c>
      <c r="BE100" s="419">
        <v>0.05</v>
      </c>
      <c r="BF100" s="419">
        <v>0.05</v>
      </c>
      <c r="BG100" s="419">
        <v>0.05</v>
      </c>
      <c r="BH100" s="419">
        <v>0.05</v>
      </c>
      <c r="BI100" s="419">
        <v>0</v>
      </c>
      <c r="BJ100" s="419">
        <v>0</v>
      </c>
      <c r="BK100" s="419">
        <v>0</v>
      </c>
      <c r="BL100" s="419">
        <v>0</v>
      </c>
      <c r="BM100" s="419">
        <v>0</v>
      </c>
      <c r="BN100" s="419">
        <v>0</v>
      </c>
      <c r="BO100" s="419">
        <v>0</v>
      </c>
      <c r="BP100" s="419">
        <v>0</v>
      </c>
      <c r="BQ100" s="419">
        <v>0</v>
      </c>
      <c r="BR100" s="419">
        <v>0</v>
      </c>
      <c r="BS100" s="419">
        <v>0</v>
      </c>
      <c r="BT100" s="419">
        <v>0</v>
      </c>
      <c r="BU100" s="419">
        <v>0</v>
      </c>
      <c r="BV100" s="419">
        <v>0</v>
      </c>
      <c r="BW100" s="419">
        <v>0</v>
      </c>
      <c r="BX100" s="419">
        <v>0</v>
      </c>
      <c r="BY100" s="419">
        <v>0</v>
      </c>
      <c r="BZ100" s="419">
        <v>0</v>
      </c>
      <c r="CA100" s="419">
        <v>0</v>
      </c>
      <c r="CB100" s="419">
        <v>0</v>
      </c>
      <c r="CC100" s="419">
        <v>0</v>
      </c>
    </row>
    <row r="101" spans="6:81">
      <c r="F101" s="49" t="s">
        <v>105</v>
      </c>
      <c r="G101" s="285">
        <f t="shared" si="42"/>
        <v>19246.690114723195</v>
      </c>
      <c r="I101" s="285">
        <f t="shared" si="43"/>
        <v>0</v>
      </c>
      <c r="J101" s="285">
        <f t="shared" si="44"/>
        <v>19246.690114723195</v>
      </c>
      <c r="K101" s="285">
        <f t="shared" si="45"/>
        <v>0</v>
      </c>
      <c r="L101" s="285">
        <f t="shared" si="46"/>
        <v>0</v>
      </c>
      <c r="M101" s="285">
        <f t="shared" si="47"/>
        <v>0</v>
      </c>
      <c r="N101" s="285">
        <f t="shared" si="48"/>
        <v>0</v>
      </c>
      <c r="O101" s="285">
        <f t="shared" si="49"/>
        <v>0</v>
      </c>
      <c r="P101" s="285">
        <f t="shared" si="50"/>
        <v>0</v>
      </c>
      <c r="Q101" s="285">
        <f t="shared" si="51"/>
        <v>0</v>
      </c>
      <c r="R101" s="285">
        <f t="shared" si="52"/>
        <v>0</v>
      </c>
      <c r="S101" s="285">
        <f t="shared" si="53"/>
        <v>0</v>
      </c>
      <c r="T101" s="285">
        <f t="shared" si="54"/>
        <v>0</v>
      </c>
      <c r="U101" s="285">
        <f t="shared" si="55"/>
        <v>0</v>
      </c>
      <c r="V101" s="285">
        <f t="shared" si="56"/>
        <v>0</v>
      </c>
      <c r="W101" s="285">
        <f t="shared" si="57"/>
        <v>0</v>
      </c>
      <c r="X101" s="285">
        <f t="shared" si="58"/>
        <v>0</v>
      </c>
      <c r="Y101" s="285">
        <f t="shared" si="59"/>
        <v>0</v>
      </c>
      <c r="Z101" s="285">
        <f t="shared" si="60"/>
        <v>0</v>
      </c>
      <c r="AA101" s="285">
        <f t="shared" si="61"/>
        <v>0</v>
      </c>
      <c r="AB101" s="285">
        <f t="shared" si="62"/>
        <v>0</v>
      </c>
      <c r="AC101" s="285">
        <f t="shared" si="63"/>
        <v>0</v>
      </c>
      <c r="AD101" s="285">
        <f t="shared" si="64"/>
        <v>0</v>
      </c>
      <c r="AE101" s="285">
        <f t="shared" si="65"/>
        <v>0</v>
      </c>
      <c r="AF101" s="285">
        <f t="shared" si="66"/>
        <v>0</v>
      </c>
      <c r="AG101" s="285">
        <f t="shared" si="67"/>
        <v>0</v>
      </c>
      <c r="AH101" s="285">
        <f t="shared" si="68"/>
        <v>0</v>
      </c>
      <c r="AI101" s="285">
        <f t="shared" si="69"/>
        <v>0</v>
      </c>
      <c r="AJ101" s="285">
        <f t="shared" si="70"/>
        <v>0</v>
      </c>
      <c r="AK101" s="285">
        <f t="shared" si="71"/>
        <v>0</v>
      </c>
      <c r="AL101" s="285">
        <f t="shared" si="72"/>
        <v>0</v>
      </c>
      <c r="AM101" s="285">
        <f t="shared" si="73"/>
        <v>0</v>
      </c>
      <c r="AN101" s="285">
        <f t="shared" si="74"/>
        <v>0</v>
      </c>
      <c r="AO101" s="285">
        <f t="shared" si="75"/>
        <v>0</v>
      </c>
      <c r="AP101" s="285">
        <f t="shared" si="76"/>
        <v>0</v>
      </c>
      <c r="AQ101" s="285">
        <f t="shared" si="77"/>
        <v>0</v>
      </c>
      <c r="AT101" t="s">
        <v>106</v>
      </c>
      <c r="AU101" s="419">
        <v>0.05</v>
      </c>
      <c r="AV101" s="419">
        <v>0.05</v>
      </c>
      <c r="AW101" s="419">
        <v>0.05</v>
      </c>
      <c r="AX101" s="419">
        <v>0.05</v>
      </c>
      <c r="AY101" s="419">
        <v>0.05</v>
      </c>
      <c r="AZ101" s="419">
        <v>0.05</v>
      </c>
      <c r="BA101" s="419">
        <v>0.05</v>
      </c>
      <c r="BB101" s="419">
        <v>0.05</v>
      </c>
      <c r="BC101" s="419">
        <v>0.05</v>
      </c>
      <c r="BD101" s="419">
        <v>0.05</v>
      </c>
      <c r="BE101" s="419">
        <v>0.05</v>
      </c>
      <c r="BF101" s="419">
        <v>0.05</v>
      </c>
      <c r="BG101" s="419">
        <v>0.05</v>
      </c>
      <c r="BH101" s="419">
        <v>0.05</v>
      </c>
      <c r="BI101" s="419">
        <v>0.05</v>
      </c>
      <c r="BJ101" s="419">
        <v>0</v>
      </c>
      <c r="BK101" s="419">
        <v>0</v>
      </c>
      <c r="BL101" s="419">
        <v>0</v>
      </c>
      <c r="BM101" s="419">
        <v>0</v>
      </c>
      <c r="BN101" s="419">
        <v>0</v>
      </c>
      <c r="BO101" s="419">
        <v>0</v>
      </c>
      <c r="BP101" s="419">
        <v>0</v>
      </c>
      <c r="BQ101" s="419">
        <v>0</v>
      </c>
      <c r="BR101" s="419">
        <v>0</v>
      </c>
      <c r="BS101" s="419">
        <v>0</v>
      </c>
      <c r="BT101" s="419">
        <v>0</v>
      </c>
      <c r="BU101" s="419">
        <v>0</v>
      </c>
      <c r="BV101" s="419">
        <v>0</v>
      </c>
      <c r="BW101" s="419">
        <v>0</v>
      </c>
      <c r="BX101" s="419">
        <v>0</v>
      </c>
      <c r="BY101" s="419">
        <v>0</v>
      </c>
      <c r="BZ101" s="419">
        <v>0</v>
      </c>
      <c r="CA101" s="419">
        <v>0</v>
      </c>
      <c r="CB101" s="419">
        <v>0</v>
      </c>
      <c r="CC101" s="419">
        <v>0</v>
      </c>
    </row>
    <row r="102" spans="6:81">
      <c r="F102" s="49" t="s">
        <v>106</v>
      </c>
      <c r="G102" s="285">
        <f t="shared" si="42"/>
        <v>19246.690114723195</v>
      </c>
      <c r="I102" s="285">
        <f t="shared" si="43"/>
        <v>0</v>
      </c>
      <c r="J102" s="285">
        <f t="shared" si="44"/>
        <v>19246.690114723195</v>
      </c>
      <c r="K102" s="285">
        <f t="shared" si="45"/>
        <v>0</v>
      </c>
      <c r="L102" s="285">
        <f t="shared" si="46"/>
        <v>0</v>
      </c>
      <c r="M102" s="285">
        <f t="shared" si="47"/>
        <v>0</v>
      </c>
      <c r="N102" s="285">
        <f t="shared" si="48"/>
        <v>0</v>
      </c>
      <c r="O102" s="285">
        <f t="shared" si="49"/>
        <v>0</v>
      </c>
      <c r="P102" s="285">
        <f t="shared" si="50"/>
        <v>0</v>
      </c>
      <c r="Q102" s="285">
        <f t="shared" si="51"/>
        <v>0</v>
      </c>
      <c r="R102" s="285">
        <f t="shared" si="52"/>
        <v>0</v>
      </c>
      <c r="S102" s="285">
        <f t="shared" si="53"/>
        <v>0</v>
      </c>
      <c r="T102" s="285">
        <f t="shared" si="54"/>
        <v>0</v>
      </c>
      <c r="U102" s="285">
        <f t="shared" si="55"/>
        <v>0</v>
      </c>
      <c r="V102" s="285">
        <f t="shared" si="56"/>
        <v>0</v>
      </c>
      <c r="W102" s="285">
        <f t="shared" si="57"/>
        <v>0</v>
      </c>
      <c r="X102" s="285">
        <f t="shared" si="58"/>
        <v>0</v>
      </c>
      <c r="Y102" s="285">
        <f t="shared" si="59"/>
        <v>0</v>
      </c>
      <c r="Z102" s="285">
        <f t="shared" si="60"/>
        <v>0</v>
      </c>
      <c r="AA102" s="285">
        <f t="shared" si="61"/>
        <v>0</v>
      </c>
      <c r="AB102" s="285">
        <f t="shared" si="62"/>
        <v>0</v>
      </c>
      <c r="AC102" s="285">
        <f t="shared" si="63"/>
        <v>0</v>
      </c>
      <c r="AD102" s="285">
        <f t="shared" si="64"/>
        <v>0</v>
      </c>
      <c r="AE102" s="285">
        <f t="shared" si="65"/>
        <v>0</v>
      </c>
      <c r="AF102" s="285">
        <f t="shared" si="66"/>
        <v>0</v>
      </c>
      <c r="AG102" s="285">
        <f t="shared" si="67"/>
        <v>0</v>
      </c>
      <c r="AH102" s="285">
        <f t="shared" si="68"/>
        <v>0</v>
      </c>
      <c r="AI102" s="285">
        <f t="shared" si="69"/>
        <v>0</v>
      </c>
      <c r="AJ102" s="285">
        <f t="shared" si="70"/>
        <v>0</v>
      </c>
      <c r="AK102" s="285">
        <f t="shared" si="71"/>
        <v>0</v>
      </c>
      <c r="AL102" s="285">
        <f t="shared" si="72"/>
        <v>0</v>
      </c>
      <c r="AM102" s="285">
        <f t="shared" si="73"/>
        <v>0</v>
      </c>
      <c r="AN102" s="285">
        <f t="shared" si="74"/>
        <v>0</v>
      </c>
      <c r="AO102" s="285">
        <f t="shared" si="75"/>
        <v>0</v>
      </c>
      <c r="AP102" s="285">
        <f t="shared" si="76"/>
        <v>0</v>
      </c>
      <c r="AQ102" s="285">
        <f t="shared" si="77"/>
        <v>0</v>
      </c>
      <c r="AT102" t="s">
        <v>107</v>
      </c>
      <c r="AU102" s="419">
        <v>0.05</v>
      </c>
      <c r="AV102" s="419">
        <v>0.05</v>
      </c>
      <c r="AW102" s="419">
        <v>0.05</v>
      </c>
      <c r="AX102" s="419">
        <v>0.05</v>
      </c>
      <c r="AY102" s="419">
        <v>0.05</v>
      </c>
      <c r="AZ102" s="419">
        <v>0.05</v>
      </c>
      <c r="BA102" s="419">
        <v>0.05</v>
      </c>
      <c r="BB102" s="419">
        <v>0.05</v>
      </c>
      <c r="BC102" s="419">
        <v>0.05</v>
      </c>
      <c r="BD102" s="419">
        <v>0.05</v>
      </c>
      <c r="BE102" s="419">
        <v>0.05</v>
      </c>
      <c r="BF102" s="419">
        <v>0.05</v>
      </c>
      <c r="BG102" s="419">
        <v>0.05</v>
      </c>
      <c r="BH102" s="419">
        <v>0.05</v>
      </c>
      <c r="BI102" s="419">
        <v>0.05</v>
      </c>
      <c r="BJ102" s="419">
        <v>0.05</v>
      </c>
      <c r="BK102" s="419">
        <v>0</v>
      </c>
      <c r="BL102" s="419">
        <v>0</v>
      </c>
      <c r="BM102" s="419">
        <v>0</v>
      </c>
      <c r="BN102" s="419">
        <v>0</v>
      </c>
      <c r="BO102" s="419">
        <v>0</v>
      </c>
      <c r="BP102" s="419">
        <v>0</v>
      </c>
      <c r="BQ102" s="419">
        <v>0</v>
      </c>
      <c r="BR102" s="419">
        <v>0</v>
      </c>
      <c r="BS102" s="419">
        <v>0</v>
      </c>
      <c r="BT102" s="419">
        <v>0</v>
      </c>
      <c r="BU102" s="419">
        <v>0</v>
      </c>
      <c r="BV102" s="419">
        <v>0</v>
      </c>
      <c r="BW102" s="419">
        <v>0</v>
      </c>
      <c r="BX102" s="419">
        <v>0</v>
      </c>
      <c r="BY102" s="419">
        <v>0</v>
      </c>
      <c r="BZ102" s="419">
        <v>0</v>
      </c>
      <c r="CA102" s="419">
        <v>0</v>
      </c>
      <c r="CB102" s="419">
        <v>0</v>
      </c>
      <c r="CC102" s="419">
        <v>0</v>
      </c>
    </row>
    <row r="103" spans="6:81">
      <c r="F103" s="49" t="s">
        <v>107</v>
      </c>
      <c r="G103" s="285">
        <f t="shared" si="42"/>
        <v>19246.690114723195</v>
      </c>
      <c r="I103" s="285">
        <f t="shared" si="43"/>
        <v>0</v>
      </c>
      <c r="J103" s="285">
        <f t="shared" si="44"/>
        <v>19246.690114723195</v>
      </c>
      <c r="K103" s="285">
        <f t="shared" si="45"/>
        <v>0</v>
      </c>
      <c r="L103" s="285">
        <f t="shared" si="46"/>
        <v>0</v>
      </c>
      <c r="M103" s="285">
        <f t="shared" si="47"/>
        <v>0</v>
      </c>
      <c r="N103" s="285">
        <f t="shared" si="48"/>
        <v>0</v>
      </c>
      <c r="O103" s="285">
        <f t="shared" si="49"/>
        <v>0</v>
      </c>
      <c r="P103" s="285">
        <f t="shared" si="50"/>
        <v>0</v>
      </c>
      <c r="Q103" s="285">
        <f t="shared" si="51"/>
        <v>0</v>
      </c>
      <c r="R103" s="285">
        <f t="shared" si="52"/>
        <v>0</v>
      </c>
      <c r="S103" s="285">
        <f t="shared" si="53"/>
        <v>0</v>
      </c>
      <c r="T103" s="285">
        <f t="shared" si="54"/>
        <v>0</v>
      </c>
      <c r="U103" s="285">
        <f t="shared" si="55"/>
        <v>0</v>
      </c>
      <c r="V103" s="285">
        <f t="shared" si="56"/>
        <v>0</v>
      </c>
      <c r="W103" s="285">
        <f t="shared" si="57"/>
        <v>0</v>
      </c>
      <c r="X103" s="285">
        <f t="shared" si="58"/>
        <v>0</v>
      </c>
      <c r="Y103" s="285">
        <f t="shared" si="59"/>
        <v>0</v>
      </c>
      <c r="Z103" s="285">
        <f t="shared" si="60"/>
        <v>0</v>
      </c>
      <c r="AA103" s="285">
        <f t="shared" si="61"/>
        <v>0</v>
      </c>
      <c r="AB103" s="285">
        <f t="shared" si="62"/>
        <v>0</v>
      </c>
      <c r="AC103" s="285">
        <f t="shared" si="63"/>
        <v>0</v>
      </c>
      <c r="AD103" s="285">
        <f t="shared" si="64"/>
        <v>0</v>
      </c>
      <c r="AE103" s="285">
        <f t="shared" si="65"/>
        <v>0</v>
      </c>
      <c r="AF103" s="285">
        <f t="shared" si="66"/>
        <v>0</v>
      </c>
      <c r="AG103" s="285">
        <f t="shared" si="67"/>
        <v>0</v>
      </c>
      <c r="AH103" s="285">
        <f t="shared" si="68"/>
        <v>0</v>
      </c>
      <c r="AI103" s="285">
        <f t="shared" si="69"/>
        <v>0</v>
      </c>
      <c r="AJ103" s="285">
        <f t="shared" si="70"/>
        <v>0</v>
      </c>
      <c r="AK103" s="285">
        <f t="shared" si="71"/>
        <v>0</v>
      </c>
      <c r="AL103" s="285">
        <f t="shared" si="72"/>
        <v>0</v>
      </c>
      <c r="AM103" s="285">
        <f t="shared" si="73"/>
        <v>0</v>
      </c>
      <c r="AN103" s="285">
        <f t="shared" si="74"/>
        <v>0</v>
      </c>
      <c r="AO103" s="285">
        <f t="shared" si="75"/>
        <v>0</v>
      </c>
      <c r="AP103" s="285">
        <f t="shared" si="76"/>
        <v>0</v>
      </c>
      <c r="AQ103" s="285">
        <f t="shared" si="77"/>
        <v>0</v>
      </c>
      <c r="AT103" t="s">
        <v>108</v>
      </c>
      <c r="AU103" s="419">
        <v>0.05</v>
      </c>
      <c r="AV103" s="419">
        <v>0.05</v>
      </c>
      <c r="AW103" s="419">
        <v>0.05</v>
      </c>
      <c r="AX103" s="419">
        <v>0.05</v>
      </c>
      <c r="AY103" s="419">
        <v>0.05</v>
      </c>
      <c r="AZ103" s="419">
        <v>0.05</v>
      </c>
      <c r="BA103" s="419">
        <v>0.05</v>
      </c>
      <c r="BB103" s="419">
        <v>0.05</v>
      </c>
      <c r="BC103" s="419">
        <v>0.05</v>
      </c>
      <c r="BD103" s="419">
        <v>0.05</v>
      </c>
      <c r="BE103" s="419">
        <v>0.05</v>
      </c>
      <c r="BF103" s="419">
        <v>0.05</v>
      </c>
      <c r="BG103" s="419">
        <v>0.05</v>
      </c>
      <c r="BH103" s="419">
        <v>0.05</v>
      </c>
      <c r="BI103" s="419">
        <v>0.05</v>
      </c>
      <c r="BJ103" s="419">
        <v>0.05</v>
      </c>
      <c r="BK103" s="419">
        <v>0.05</v>
      </c>
      <c r="BL103" s="419">
        <v>0</v>
      </c>
      <c r="BM103" s="419">
        <v>0</v>
      </c>
      <c r="BN103" s="419">
        <v>0</v>
      </c>
      <c r="BO103" s="419">
        <v>0</v>
      </c>
      <c r="BP103" s="419">
        <v>0</v>
      </c>
      <c r="BQ103" s="419">
        <v>0</v>
      </c>
      <c r="BR103" s="419">
        <v>0</v>
      </c>
      <c r="BS103" s="419">
        <v>0</v>
      </c>
      <c r="BT103" s="419">
        <v>0</v>
      </c>
      <c r="BU103" s="419">
        <v>0</v>
      </c>
      <c r="BV103" s="419">
        <v>0</v>
      </c>
      <c r="BW103" s="419">
        <v>0</v>
      </c>
      <c r="BX103" s="419">
        <v>0</v>
      </c>
      <c r="BY103" s="419">
        <v>0</v>
      </c>
      <c r="BZ103" s="419">
        <v>0</v>
      </c>
      <c r="CA103" s="419">
        <v>0</v>
      </c>
      <c r="CB103" s="419">
        <v>0</v>
      </c>
      <c r="CC103" s="419">
        <v>0</v>
      </c>
    </row>
    <row r="104" spans="6:81">
      <c r="F104" s="49" t="s">
        <v>108</v>
      </c>
      <c r="G104" s="285">
        <f t="shared" si="42"/>
        <v>19246.690114723195</v>
      </c>
      <c r="I104" s="285">
        <f t="shared" si="43"/>
        <v>0</v>
      </c>
      <c r="J104" s="285">
        <f t="shared" si="44"/>
        <v>19246.690114723195</v>
      </c>
      <c r="K104" s="285">
        <f t="shared" si="45"/>
        <v>0</v>
      </c>
      <c r="L104" s="285">
        <f t="shared" si="46"/>
        <v>0</v>
      </c>
      <c r="M104" s="285">
        <f t="shared" si="47"/>
        <v>0</v>
      </c>
      <c r="N104" s="285">
        <f t="shared" si="48"/>
        <v>0</v>
      </c>
      <c r="O104" s="285">
        <f t="shared" si="49"/>
        <v>0</v>
      </c>
      <c r="P104" s="285">
        <f t="shared" si="50"/>
        <v>0</v>
      </c>
      <c r="Q104" s="285">
        <f t="shared" si="51"/>
        <v>0</v>
      </c>
      <c r="R104" s="285">
        <f t="shared" si="52"/>
        <v>0</v>
      </c>
      <c r="S104" s="285">
        <f t="shared" si="53"/>
        <v>0</v>
      </c>
      <c r="T104" s="285">
        <f t="shared" si="54"/>
        <v>0</v>
      </c>
      <c r="U104" s="285">
        <f t="shared" si="55"/>
        <v>0</v>
      </c>
      <c r="V104" s="285">
        <f t="shared" si="56"/>
        <v>0</v>
      </c>
      <c r="W104" s="285">
        <f t="shared" si="57"/>
        <v>0</v>
      </c>
      <c r="X104" s="285">
        <f t="shared" si="58"/>
        <v>0</v>
      </c>
      <c r="Y104" s="285">
        <f t="shared" si="59"/>
        <v>0</v>
      </c>
      <c r="Z104" s="285">
        <f t="shared" si="60"/>
        <v>0</v>
      </c>
      <c r="AA104" s="285">
        <f t="shared" si="61"/>
        <v>0</v>
      </c>
      <c r="AB104" s="285">
        <f t="shared" si="62"/>
        <v>0</v>
      </c>
      <c r="AC104" s="285">
        <f t="shared" si="63"/>
        <v>0</v>
      </c>
      <c r="AD104" s="285">
        <f t="shared" si="64"/>
        <v>0</v>
      </c>
      <c r="AE104" s="285">
        <f t="shared" si="65"/>
        <v>0</v>
      </c>
      <c r="AF104" s="285">
        <f t="shared" si="66"/>
        <v>0</v>
      </c>
      <c r="AG104" s="285">
        <f t="shared" si="67"/>
        <v>0</v>
      </c>
      <c r="AH104" s="285">
        <f t="shared" si="68"/>
        <v>0</v>
      </c>
      <c r="AI104" s="285">
        <f t="shared" si="69"/>
        <v>0</v>
      </c>
      <c r="AJ104" s="285">
        <f t="shared" si="70"/>
        <v>0</v>
      </c>
      <c r="AK104" s="285">
        <f t="shared" si="71"/>
        <v>0</v>
      </c>
      <c r="AL104" s="285">
        <f t="shared" si="72"/>
        <v>0</v>
      </c>
      <c r="AM104" s="285">
        <f t="shared" si="73"/>
        <v>0</v>
      </c>
      <c r="AN104" s="285">
        <f t="shared" si="74"/>
        <v>0</v>
      </c>
      <c r="AO104" s="285">
        <f t="shared" si="75"/>
        <v>0</v>
      </c>
      <c r="AP104" s="285">
        <f t="shared" si="76"/>
        <v>0</v>
      </c>
      <c r="AQ104" s="285">
        <f t="shared" si="77"/>
        <v>0</v>
      </c>
      <c r="AT104" t="s">
        <v>109</v>
      </c>
      <c r="AU104" s="419">
        <v>0.05</v>
      </c>
      <c r="AV104" s="419">
        <v>0.05</v>
      </c>
      <c r="AW104" s="419">
        <v>0.05</v>
      </c>
      <c r="AX104" s="419">
        <v>0.05</v>
      </c>
      <c r="AY104" s="419">
        <v>0.05</v>
      </c>
      <c r="AZ104" s="419">
        <v>0.05</v>
      </c>
      <c r="BA104" s="419">
        <v>0.05</v>
      </c>
      <c r="BB104" s="419">
        <v>0.05</v>
      </c>
      <c r="BC104" s="419">
        <v>0.05</v>
      </c>
      <c r="BD104" s="419">
        <v>0.05</v>
      </c>
      <c r="BE104" s="419">
        <v>0.05</v>
      </c>
      <c r="BF104" s="419">
        <v>0.05</v>
      </c>
      <c r="BG104" s="419">
        <v>0.05</v>
      </c>
      <c r="BH104" s="419">
        <v>0.05</v>
      </c>
      <c r="BI104" s="419">
        <v>0.05</v>
      </c>
      <c r="BJ104" s="419">
        <v>0.05</v>
      </c>
      <c r="BK104" s="419">
        <v>0.05</v>
      </c>
      <c r="BL104" s="419">
        <v>0.05</v>
      </c>
      <c r="BM104" s="419">
        <v>0</v>
      </c>
      <c r="BN104" s="419">
        <v>0</v>
      </c>
      <c r="BO104" s="419">
        <v>0</v>
      </c>
      <c r="BP104" s="419">
        <v>0</v>
      </c>
      <c r="BQ104" s="419">
        <v>0</v>
      </c>
      <c r="BR104" s="419">
        <v>0</v>
      </c>
      <c r="BS104" s="419">
        <v>0</v>
      </c>
      <c r="BT104" s="419">
        <v>0</v>
      </c>
      <c r="BU104" s="419">
        <v>0</v>
      </c>
      <c r="BV104" s="419">
        <v>0</v>
      </c>
      <c r="BW104" s="419">
        <v>0</v>
      </c>
      <c r="BX104" s="419">
        <v>0</v>
      </c>
      <c r="BY104" s="419">
        <v>0</v>
      </c>
      <c r="BZ104" s="419">
        <v>0</v>
      </c>
      <c r="CA104" s="419">
        <v>0</v>
      </c>
      <c r="CB104" s="419">
        <v>0</v>
      </c>
      <c r="CC104" s="419">
        <v>0</v>
      </c>
    </row>
    <row r="105" spans="6:81">
      <c r="F105" s="49" t="s">
        <v>109</v>
      </c>
      <c r="G105" s="285">
        <f t="shared" si="42"/>
        <v>19246.690114723195</v>
      </c>
      <c r="I105" s="285">
        <f t="shared" si="43"/>
        <v>0</v>
      </c>
      <c r="J105" s="285">
        <f t="shared" si="44"/>
        <v>19246.690114723195</v>
      </c>
      <c r="K105" s="285">
        <f t="shared" si="45"/>
        <v>0</v>
      </c>
      <c r="L105" s="285">
        <f t="shared" si="46"/>
        <v>0</v>
      </c>
      <c r="M105" s="285">
        <f t="shared" si="47"/>
        <v>0</v>
      </c>
      <c r="N105" s="285">
        <f t="shared" si="48"/>
        <v>0</v>
      </c>
      <c r="O105" s="285">
        <f t="shared" si="49"/>
        <v>0</v>
      </c>
      <c r="P105" s="285">
        <f t="shared" si="50"/>
        <v>0</v>
      </c>
      <c r="Q105" s="285">
        <f t="shared" si="51"/>
        <v>0</v>
      </c>
      <c r="R105" s="285">
        <f t="shared" si="52"/>
        <v>0</v>
      </c>
      <c r="S105" s="285">
        <f t="shared" si="53"/>
        <v>0</v>
      </c>
      <c r="T105" s="285">
        <f t="shared" si="54"/>
        <v>0</v>
      </c>
      <c r="U105" s="285">
        <f t="shared" si="55"/>
        <v>0</v>
      </c>
      <c r="V105" s="285">
        <f t="shared" si="56"/>
        <v>0</v>
      </c>
      <c r="W105" s="285">
        <f t="shared" si="57"/>
        <v>0</v>
      </c>
      <c r="X105" s="285">
        <f t="shared" si="58"/>
        <v>0</v>
      </c>
      <c r="Y105" s="285">
        <f t="shared" si="59"/>
        <v>0</v>
      </c>
      <c r="Z105" s="285">
        <f t="shared" si="60"/>
        <v>0</v>
      </c>
      <c r="AA105" s="285">
        <f t="shared" si="61"/>
        <v>0</v>
      </c>
      <c r="AB105" s="285">
        <f t="shared" si="62"/>
        <v>0</v>
      </c>
      <c r="AC105" s="285">
        <f t="shared" si="63"/>
        <v>0</v>
      </c>
      <c r="AD105" s="285">
        <f t="shared" si="64"/>
        <v>0</v>
      </c>
      <c r="AE105" s="285">
        <f t="shared" si="65"/>
        <v>0</v>
      </c>
      <c r="AF105" s="285">
        <f t="shared" si="66"/>
        <v>0</v>
      </c>
      <c r="AG105" s="285">
        <f t="shared" si="67"/>
        <v>0</v>
      </c>
      <c r="AH105" s="285">
        <f t="shared" si="68"/>
        <v>0</v>
      </c>
      <c r="AI105" s="285">
        <f t="shared" si="69"/>
        <v>0</v>
      </c>
      <c r="AJ105" s="285">
        <f t="shared" si="70"/>
        <v>0</v>
      </c>
      <c r="AK105" s="285">
        <f t="shared" si="71"/>
        <v>0</v>
      </c>
      <c r="AL105" s="285">
        <f t="shared" si="72"/>
        <v>0</v>
      </c>
      <c r="AM105" s="285">
        <f t="shared" si="73"/>
        <v>0</v>
      </c>
      <c r="AN105" s="285">
        <f t="shared" si="74"/>
        <v>0</v>
      </c>
      <c r="AO105" s="285">
        <f t="shared" si="75"/>
        <v>0</v>
      </c>
      <c r="AP105" s="285">
        <f t="shared" si="76"/>
        <v>0</v>
      </c>
      <c r="AQ105" s="285">
        <f t="shared" si="77"/>
        <v>0</v>
      </c>
      <c r="AT105" t="s">
        <v>110</v>
      </c>
      <c r="AU105" s="419">
        <v>0.05</v>
      </c>
      <c r="AV105" s="419">
        <v>0.05</v>
      </c>
      <c r="AW105" s="419">
        <v>0.05</v>
      </c>
      <c r="AX105" s="419">
        <v>0.05</v>
      </c>
      <c r="AY105" s="419">
        <v>0.05</v>
      </c>
      <c r="AZ105" s="419">
        <v>0.05</v>
      </c>
      <c r="BA105" s="419">
        <v>0.05</v>
      </c>
      <c r="BB105" s="419">
        <v>0.05</v>
      </c>
      <c r="BC105" s="419">
        <v>0.05</v>
      </c>
      <c r="BD105" s="419">
        <v>0.05</v>
      </c>
      <c r="BE105" s="419">
        <v>0.05</v>
      </c>
      <c r="BF105" s="419">
        <v>0.05</v>
      </c>
      <c r="BG105" s="419">
        <v>0.05</v>
      </c>
      <c r="BH105" s="419">
        <v>0.05</v>
      </c>
      <c r="BI105" s="419">
        <v>0.05</v>
      </c>
      <c r="BJ105" s="419">
        <v>0.05</v>
      </c>
      <c r="BK105" s="419">
        <v>0.05</v>
      </c>
      <c r="BL105" s="419">
        <v>0.05</v>
      </c>
      <c r="BM105" s="419">
        <v>0.05</v>
      </c>
      <c r="BN105" s="419">
        <v>0</v>
      </c>
      <c r="BO105" s="419">
        <v>0</v>
      </c>
      <c r="BP105" s="419">
        <v>0</v>
      </c>
      <c r="BQ105" s="419">
        <v>0</v>
      </c>
      <c r="BR105" s="419">
        <v>0</v>
      </c>
      <c r="BS105" s="419">
        <v>0</v>
      </c>
      <c r="BT105" s="419">
        <v>0</v>
      </c>
      <c r="BU105" s="419">
        <v>0</v>
      </c>
      <c r="BV105" s="419">
        <v>0</v>
      </c>
      <c r="BW105" s="419">
        <v>0</v>
      </c>
      <c r="BX105" s="419">
        <v>0</v>
      </c>
      <c r="BY105" s="419">
        <v>0</v>
      </c>
      <c r="BZ105" s="419">
        <v>0</v>
      </c>
      <c r="CA105" s="419">
        <v>0</v>
      </c>
      <c r="CB105" s="419">
        <v>0</v>
      </c>
      <c r="CC105" s="419">
        <v>0</v>
      </c>
    </row>
    <row r="106" spans="6:81">
      <c r="F106" s="49" t="s">
        <v>110</v>
      </c>
      <c r="G106" s="285">
        <f t="shared" si="42"/>
        <v>19246.690114723195</v>
      </c>
      <c r="I106" s="285">
        <f t="shared" si="43"/>
        <v>0</v>
      </c>
      <c r="J106" s="285">
        <f t="shared" si="44"/>
        <v>19246.690114723195</v>
      </c>
      <c r="K106" s="285">
        <f t="shared" si="45"/>
        <v>0</v>
      </c>
      <c r="L106" s="285">
        <f t="shared" si="46"/>
        <v>0</v>
      </c>
      <c r="M106" s="285">
        <f t="shared" si="47"/>
        <v>0</v>
      </c>
      <c r="N106" s="285">
        <f t="shared" si="48"/>
        <v>0</v>
      </c>
      <c r="O106" s="285">
        <f t="shared" si="49"/>
        <v>0</v>
      </c>
      <c r="P106" s="285">
        <f t="shared" si="50"/>
        <v>0</v>
      </c>
      <c r="Q106" s="285">
        <f t="shared" si="51"/>
        <v>0</v>
      </c>
      <c r="R106" s="285">
        <f t="shared" si="52"/>
        <v>0</v>
      </c>
      <c r="S106" s="285">
        <f t="shared" si="53"/>
        <v>0</v>
      </c>
      <c r="T106" s="285">
        <f t="shared" si="54"/>
        <v>0</v>
      </c>
      <c r="U106" s="285">
        <f t="shared" si="55"/>
        <v>0</v>
      </c>
      <c r="V106" s="285">
        <f t="shared" si="56"/>
        <v>0</v>
      </c>
      <c r="W106" s="285">
        <f t="shared" si="57"/>
        <v>0</v>
      </c>
      <c r="X106" s="285">
        <f t="shared" si="58"/>
        <v>0</v>
      </c>
      <c r="Y106" s="285">
        <f t="shared" si="59"/>
        <v>0</v>
      </c>
      <c r="Z106" s="285">
        <f t="shared" si="60"/>
        <v>0</v>
      </c>
      <c r="AA106" s="285">
        <f t="shared" si="61"/>
        <v>0</v>
      </c>
      <c r="AB106" s="285">
        <f t="shared" si="62"/>
        <v>0</v>
      </c>
      <c r="AC106" s="285">
        <f t="shared" si="63"/>
        <v>0</v>
      </c>
      <c r="AD106" s="285">
        <f t="shared" si="64"/>
        <v>0</v>
      </c>
      <c r="AE106" s="285">
        <f t="shared" si="65"/>
        <v>0</v>
      </c>
      <c r="AF106" s="285">
        <f t="shared" si="66"/>
        <v>0</v>
      </c>
      <c r="AG106" s="285">
        <f t="shared" si="67"/>
        <v>0</v>
      </c>
      <c r="AH106" s="285">
        <f t="shared" si="68"/>
        <v>0</v>
      </c>
      <c r="AI106" s="285">
        <f t="shared" si="69"/>
        <v>0</v>
      </c>
      <c r="AJ106" s="285">
        <f t="shared" si="70"/>
        <v>0</v>
      </c>
      <c r="AK106" s="285">
        <f t="shared" si="71"/>
        <v>0</v>
      </c>
      <c r="AL106" s="285">
        <f t="shared" si="72"/>
        <v>0</v>
      </c>
      <c r="AM106" s="285">
        <f t="shared" si="73"/>
        <v>0</v>
      </c>
      <c r="AN106" s="285">
        <f t="shared" si="74"/>
        <v>0</v>
      </c>
      <c r="AO106" s="285">
        <f t="shared" si="75"/>
        <v>0</v>
      </c>
      <c r="AP106" s="285">
        <f t="shared" si="76"/>
        <v>0</v>
      </c>
      <c r="AQ106" s="285">
        <f t="shared" si="77"/>
        <v>0</v>
      </c>
      <c r="AT106" t="s">
        <v>111</v>
      </c>
      <c r="AU106" s="419">
        <v>0.05</v>
      </c>
      <c r="AV106" s="419">
        <v>0.05</v>
      </c>
      <c r="AW106" s="419">
        <v>0.05</v>
      </c>
      <c r="AX106" s="419">
        <v>0.05</v>
      </c>
      <c r="AY106" s="419">
        <v>0.05</v>
      </c>
      <c r="AZ106" s="419">
        <v>0.05</v>
      </c>
      <c r="BA106" s="419">
        <v>0.05</v>
      </c>
      <c r="BB106" s="419">
        <v>0.05</v>
      </c>
      <c r="BC106" s="419">
        <v>0.05</v>
      </c>
      <c r="BD106" s="419">
        <v>0.05</v>
      </c>
      <c r="BE106" s="419">
        <v>0.05</v>
      </c>
      <c r="BF106" s="419">
        <v>0.05</v>
      </c>
      <c r="BG106" s="419">
        <v>0.05</v>
      </c>
      <c r="BH106" s="419">
        <v>0.05</v>
      </c>
      <c r="BI106" s="419">
        <v>0.05</v>
      </c>
      <c r="BJ106" s="419">
        <v>0.05</v>
      </c>
      <c r="BK106" s="419">
        <v>0.05</v>
      </c>
      <c r="BL106" s="419">
        <v>0.05</v>
      </c>
      <c r="BM106" s="419">
        <v>0.05</v>
      </c>
      <c r="BN106" s="419">
        <v>0.05</v>
      </c>
      <c r="BO106" s="419">
        <v>0</v>
      </c>
      <c r="BP106" s="419">
        <v>0</v>
      </c>
      <c r="BQ106" s="419">
        <v>0</v>
      </c>
      <c r="BR106" s="419">
        <v>0</v>
      </c>
      <c r="BS106" s="419">
        <v>0</v>
      </c>
      <c r="BT106" s="419">
        <v>0</v>
      </c>
      <c r="BU106" s="419">
        <v>0</v>
      </c>
      <c r="BV106" s="419">
        <v>0</v>
      </c>
      <c r="BW106" s="419">
        <v>0</v>
      </c>
      <c r="BX106" s="419">
        <v>0</v>
      </c>
      <c r="BY106" s="419">
        <v>0</v>
      </c>
      <c r="BZ106" s="419">
        <v>0</v>
      </c>
      <c r="CA106" s="419">
        <v>0</v>
      </c>
      <c r="CB106" s="419">
        <v>0</v>
      </c>
      <c r="CC106" s="419">
        <v>0</v>
      </c>
    </row>
    <row r="107" spans="6:81">
      <c r="F107" s="49" t="s">
        <v>111</v>
      </c>
      <c r="G107" s="285">
        <f t="shared" si="42"/>
        <v>19246.690114723195</v>
      </c>
      <c r="I107" s="285">
        <f t="shared" si="43"/>
        <v>0</v>
      </c>
      <c r="J107" s="285">
        <f t="shared" si="44"/>
        <v>19246.690114723195</v>
      </c>
      <c r="K107" s="285">
        <f t="shared" si="45"/>
        <v>0</v>
      </c>
      <c r="L107" s="285">
        <f t="shared" si="46"/>
        <v>0</v>
      </c>
      <c r="M107" s="285">
        <f t="shared" si="47"/>
        <v>0</v>
      </c>
      <c r="N107" s="285">
        <f t="shared" si="48"/>
        <v>0</v>
      </c>
      <c r="O107" s="285">
        <f t="shared" si="49"/>
        <v>0</v>
      </c>
      <c r="P107" s="285">
        <f t="shared" si="50"/>
        <v>0</v>
      </c>
      <c r="Q107" s="285">
        <f t="shared" si="51"/>
        <v>0</v>
      </c>
      <c r="R107" s="285">
        <f t="shared" si="52"/>
        <v>0</v>
      </c>
      <c r="S107" s="285">
        <f t="shared" si="53"/>
        <v>0</v>
      </c>
      <c r="T107" s="285">
        <f t="shared" si="54"/>
        <v>0</v>
      </c>
      <c r="U107" s="285">
        <f t="shared" si="55"/>
        <v>0</v>
      </c>
      <c r="V107" s="285">
        <f t="shared" si="56"/>
        <v>0</v>
      </c>
      <c r="W107" s="285">
        <f t="shared" si="57"/>
        <v>0</v>
      </c>
      <c r="X107" s="285">
        <f t="shared" si="58"/>
        <v>0</v>
      </c>
      <c r="Y107" s="285">
        <f t="shared" si="59"/>
        <v>0</v>
      </c>
      <c r="Z107" s="285">
        <f t="shared" si="60"/>
        <v>0</v>
      </c>
      <c r="AA107" s="285">
        <f t="shared" si="61"/>
        <v>0</v>
      </c>
      <c r="AB107" s="285">
        <f t="shared" si="62"/>
        <v>0</v>
      </c>
      <c r="AC107" s="285">
        <f t="shared" si="63"/>
        <v>0</v>
      </c>
      <c r="AD107" s="285">
        <f t="shared" si="64"/>
        <v>0</v>
      </c>
      <c r="AE107" s="285">
        <f t="shared" si="65"/>
        <v>0</v>
      </c>
      <c r="AF107" s="285">
        <f t="shared" si="66"/>
        <v>0</v>
      </c>
      <c r="AG107" s="285">
        <f t="shared" si="67"/>
        <v>0</v>
      </c>
      <c r="AH107" s="285">
        <f t="shared" si="68"/>
        <v>0</v>
      </c>
      <c r="AI107" s="285">
        <f t="shared" si="69"/>
        <v>0</v>
      </c>
      <c r="AJ107" s="285">
        <f t="shared" si="70"/>
        <v>0</v>
      </c>
      <c r="AK107" s="285">
        <f t="shared" si="71"/>
        <v>0</v>
      </c>
      <c r="AL107" s="285">
        <f t="shared" si="72"/>
        <v>0</v>
      </c>
      <c r="AM107" s="285">
        <f t="shared" si="73"/>
        <v>0</v>
      </c>
      <c r="AN107" s="285">
        <f t="shared" si="74"/>
        <v>0</v>
      </c>
      <c r="AO107" s="285">
        <f t="shared" si="75"/>
        <v>0</v>
      </c>
      <c r="AP107" s="285">
        <f t="shared" si="76"/>
        <v>0</v>
      </c>
      <c r="AQ107" s="285">
        <f t="shared" si="77"/>
        <v>0</v>
      </c>
      <c r="AT107" t="s">
        <v>112</v>
      </c>
      <c r="AU107" s="419">
        <v>0</v>
      </c>
      <c r="AV107" s="419">
        <v>0.05</v>
      </c>
      <c r="AW107" s="419">
        <v>0.05</v>
      </c>
      <c r="AX107" s="419">
        <v>0.05</v>
      </c>
      <c r="AY107" s="419">
        <v>0.05</v>
      </c>
      <c r="AZ107" s="419">
        <v>0.05</v>
      </c>
      <c r="BA107" s="419">
        <v>0.05</v>
      </c>
      <c r="BB107" s="419">
        <v>0.05</v>
      </c>
      <c r="BC107" s="419">
        <v>0.05</v>
      </c>
      <c r="BD107" s="419">
        <v>0.05</v>
      </c>
      <c r="BE107" s="419">
        <v>0.05</v>
      </c>
      <c r="BF107" s="419">
        <v>0.05</v>
      </c>
      <c r="BG107" s="419">
        <v>0.05</v>
      </c>
      <c r="BH107" s="419">
        <v>0.05</v>
      </c>
      <c r="BI107" s="419">
        <v>0.05</v>
      </c>
      <c r="BJ107" s="419">
        <v>0.05</v>
      </c>
      <c r="BK107" s="419">
        <v>0.05</v>
      </c>
      <c r="BL107" s="419">
        <v>0.05</v>
      </c>
      <c r="BM107" s="419">
        <v>0.05</v>
      </c>
      <c r="BN107" s="419">
        <v>0.05</v>
      </c>
      <c r="BO107" s="419">
        <v>0.05</v>
      </c>
      <c r="BP107" s="419">
        <v>0</v>
      </c>
      <c r="BQ107" s="419">
        <v>0</v>
      </c>
      <c r="BR107" s="419">
        <v>0</v>
      </c>
      <c r="BS107" s="419">
        <v>0</v>
      </c>
      <c r="BT107" s="419">
        <v>0</v>
      </c>
      <c r="BU107" s="419">
        <v>0</v>
      </c>
      <c r="BV107" s="419">
        <v>0</v>
      </c>
      <c r="BW107" s="419">
        <v>0</v>
      </c>
      <c r="BX107" s="419">
        <v>0</v>
      </c>
      <c r="BY107" s="419">
        <v>0</v>
      </c>
      <c r="BZ107" s="419">
        <v>0</v>
      </c>
      <c r="CA107" s="419">
        <v>0</v>
      </c>
      <c r="CB107" s="419">
        <v>0</v>
      </c>
      <c r="CC107" s="419">
        <v>0</v>
      </c>
    </row>
    <row r="108" spans="6:81">
      <c r="F108" s="49" t="s">
        <v>112</v>
      </c>
      <c r="G108" s="285">
        <f t="shared" si="42"/>
        <v>19246.690114723195</v>
      </c>
      <c r="I108" s="285">
        <f t="shared" si="43"/>
        <v>0</v>
      </c>
      <c r="J108" s="285">
        <f t="shared" si="44"/>
        <v>19246.690114723195</v>
      </c>
      <c r="K108" s="285">
        <f t="shared" si="45"/>
        <v>0</v>
      </c>
      <c r="L108" s="285">
        <f t="shared" si="46"/>
        <v>0</v>
      </c>
      <c r="M108" s="285">
        <f t="shared" si="47"/>
        <v>0</v>
      </c>
      <c r="N108" s="285">
        <f t="shared" si="48"/>
        <v>0</v>
      </c>
      <c r="O108" s="285">
        <f t="shared" si="49"/>
        <v>0</v>
      </c>
      <c r="P108" s="285">
        <f t="shared" si="50"/>
        <v>0</v>
      </c>
      <c r="Q108" s="285">
        <f t="shared" si="51"/>
        <v>0</v>
      </c>
      <c r="R108" s="285">
        <f t="shared" si="52"/>
        <v>0</v>
      </c>
      <c r="S108" s="285">
        <f t="shared" si="53"/>
        <v>0</v>
      </c>
      <c r="T108" s="285">
        <f t="shared" si="54"/>
        <v>0</v>
      </c>
      <c r="U108" s="285">
        <f t="shared" si="55"/>
        <v>0</v>
      </c>
      <c r="V108" s="285">
        <f t="shared" si="56"/>
        <v>0</v>
      </c>
      <c r="W108" s="285">
        <f t="shared" si="57"/>
        <v>0</v>
      </c>
      <c r="X108" s="285">
        <f t="shared" si="58"/>
        <v>0</v>
      </c>
      <c r="Y108" s="285">
        <f t="shared" si="59"/>
        <v>0</v>
      </c>
      <c r="Z108" s="285">
        <f t="shared" si="60"/>
        <v>0</v>
      </c>
      <c r="AA108" s="285">
        <f t="shared" si="61"/>
        <v>0</v>
      </c>
      <c r="AB108" s="285">
        <f t="shared" si="62"/>
        <v>0</v>
      </c>
      <c r="AC108" s="285">
        <f t="shared" si="63"/>
        <v>0</v>
      </c>
      <c r="AD108" s="285">
        <f t="shared" si="64"/>
        <v>0</v>
      </c>
      <c r="AE108" s="285">
        <f t="shared" si="65"/>
        <v>0</v>
      </c>
      <c r="AF108" s="285">
        <f t="shared" si="66"/>
        <v>0</v>
      </c>
      <c r="AG108" s="285">
        <f t="shared" si="67"/>
        <v>0</v>
      </c>
      <c r="AH108" s="285">
        <f t="shared" si="68"/>
        <v>0</v>
      </c>
      <c r="AI108" s="285">
        <f t="shared" si="69"/>
        <v>0</v>
      </c>
      <c r="AJ108" s="285">
        <f t="shared" si="70"/>
        <v>0</v>
      </c>
      <c r="AK108" s="285">
        <f t="shared" si="71"/>
        <v>0</v>
      </c>
      <c r="AL108" s="285">
        <f t="shared" si="72"/>
        <v>0</v>
      </c>
      <c r="AM108" s="285">
        <f t="shared" si="73"/>
        <v>0</v>
      </c>
      <c r="AN108" s="285">
        <f t="shared" si="74"/>
        <v>0</v>
      </c>
      <c r="AO108" s="285">
        <f t="shared" si="75"/>
        <v>0</v>
      </c>
      <c r="AP108" s="285">
        <f t="shared" si="76"/>
        <v>0</v>
      </c>
      <c r="AQ108" s="285">
        <f t="shared" si="77"/>
        <v>0</v>
      </c>
      <c r="AT108" t="s">
        <v>113</v>
      </c>
      <c r="AU108" s="419">
        <v>0</v>
      </c>
      <c r="AV108" s="419">
        <v>0</v>
      </c>
      <c r="AW108" s="419">
        <v>0.05</v>
      </c>
      <c r="AX108" s="419">
        <v>0.05</v>
      </c>
      <c r="AY108" s="419">
        <v>0.05</v>
      </c>
      <c r="AZ108" s="419">
        <v>0.05</v>
      </c>
      <c r="BA108" s="419">
        <v>0.05</v>
      </c>
      <c r="BB108" s="419">
        <v>0.05</v>
      </c>
      <c r="BC108" s="419">
        <v>0.05</v>
      </c>
      <c r="BD108" s="419">
        <v>0.05</v>
      </c>
      <c r="BE108" s="419">
        <v>0.05</v>
      </c>
      <c r="BF108" s="419">
        <v>0.05</v>
      </c>
      <c r="BG108" s="419">
        <v>0.05</v>
      </c>
      <c r="BH108" s="419">
        <v>0.05</v>
      </c>
      <c r="BI108" s="419">
        <v>0.05</v>
      </c>
      <c r="BJ108" s="419">
        <v>0.05</v>
      </c>
      <c r="BK108" s="419">
        <v>0.05</v>
      </c>
      <c r="BL108" s="419">
        <v>0.05</v>
      </c>
      <c r="BM108" s="419">
        <v>0.05</v>
      </c>
      <c r="BN108" s="419">
        <v>0.05</v>
      </c>
      <c r="BO108" s="419">
        <v>0.05</v>
      </c>
      <c r="BP108" s="419">
        <v>0.05</v>
      </c>
      <c r="BQ108" s="419">
        <v>0</v>
      </c>
      <c r="BR108" s="419">
        <v>0</v>
      </c>
      <c r="BS108" s="419">
        <v>0</v>
      </c>
      <c r="BT108" s="419">
        <v>0</v>
      </c>
      <c r="BU108" s="419">
        <v>0</v>
      </c>
      <c r="BV108" s="419">
        <v>0</v>
      </c>
      <c r="BW108" s="419">
        <v>0</v>
      </c>
      <c r="BX108" s="419">
        <v>0</v>
      </c>
      <c r="BY108" s="419">
        <v>0</v>
      </c>
      <c r="BZ108" s="419">
        <v>0</v>
      </c>
      <c r="CA108" s="419">
        <v>0</v>
      </c>
      <c r="CB108" s="419">
        <v>0</v>
      </c>
      <c r="CC108" s="419">
        <v>0</v>
      </c>
    </row>
    <row r="109" spans="6:81">
      <c r="F109" s="49" t="s">
        <v>113</v>
      </c>
      <c r="G109" s="285">
        <f t="shared" si="42"/>
        <v>19246.690114723195</v>
      </c>
      <c r="I109" s="285">
        <f t="shared" si="43"/>
        <v>0</v>
      </c>
      <c r="J109" s="285">
        <f t="shared" si="44"/>
        <v>19246.690114723195</v>
      </c>
      <c r="K109" s="285">
        <f t="shared" si="45"/>
        <v>0</v>
      </c>
      <c r="L109" s="285">
        <f t="shared" si="46"/>
        <v>0</v>
      </c>
      <c r="M109" s="285">
        <f t="shared" si="47"/>
        <v>0</v>
      </c>
      <c r="N109" s="285">
        <f t="shared" si="48"/>
        <v>0</v>
      </c>
      <c r="O109" s="285">
        <f t="shared" si="49"/>
        <v>0</v>
      </c>
      <c r="P109" s="285">
        <f t="shared" si="50"/>
        <v>0</v>
      </c>
      <c r="Q109" s="285">
        <f t="shared" si="51"/>
        <v>0</v>
      </c>
      <c r="R109" s="285">
        <f t="shared" si="52"/>
        <v>0</v>
      </c>
      <c r="S109" s="285">
        <f t="shared" si="53"/>
        <v>0</v>
      </c>
      <c r="T109" s="285">
        <f t="shared" si="54"/>
        <v>0</v>
      </c>
      <c r="U109" s="285">
        <f t="shared" si="55"/>
        <v>0</v>
      </c>
      <c r="V109" s="285">
        <f t="shared" si="56"/>
        <v>0</v>
      </c>
      <c r="W109" s="285">
        <f t="shared" si="57"/>
        <v>0</v>
      </c>
      <c r="X109" s="285">
        <f t="shared" si="58"/>
        <v>0</v>
      </c>
      <c r="Y109" s="285">
        <f t="shared" si="59"/>
        <v>0</v>
      </c>
      <c r="Z109" s="285">
        <f t="shared" si="60"/>
        <v>0</v>
      </c>
      <c r="AA109" s="285">
        <f t="shared" si="61"/>
        <v>0</v>
      </c>
      <c r="AB109" s="285">
        <f t="shared" si="62"/>
        <v>0</v>
      </c>
      <c r="AC109" s="285">
        <f t="shared" si="63"/>
        <v>0</v>
      </c>
      <c r="AD109" s="285">
        <f t="shared" si="64"/>
        <v>0</v>
      </c>
      <c r="AE109" s="285">
        <f t="shared" si="65"/>
        <v>0</v>
      </c>
      <c r="AF109" s="285">
        <f t="shared" si="66"/>
        <v>0</v>
      </c>
      <c r="AG109" s="285">
        <f t="shared" si="67"/>
        <v>0</v>
      </c>
      <c r="AH109" s="285">
        <f t="shared" si="68"/>
        <v>0</v>
      </c>
      <c r="AI109" s="285">
        <f t="shared" si="69"/>
        <v>0</v>
      </c>
      <c r="AJ109" s="285">
        <f t="shared" si="70"/>
        <v>0</v>
      </c>
      <c r="AK109" s="285">
        <f t="shared" si="71"/>
        <v>0</v>
      </c>
      <c r="AL109" s="285">
        <f t="shared" si="72"/>
        <v>0</v>
      </c>
      <c r="AM109" s="285">
        <f t="shared" si="73"/>
        <v>0</v>
      </c>
      <c r="AN109" s="285">
        <f t="shared" si="74"/>
        <v>0</v>
      </c>
      <c r="AO109" s="285">
        <f t="shared" si="75"/>
        <v>0</v>
      </c>
      <c r="AP109" s="285">
        <f t="shared" si="76"/>
        <v>0</v>
      </c>
      <c r="AQ109" s="285">
        <f t="shared" si="77"/>
        <v>0</v>
      </c>
      <c r="AT109" t="s">
        <v>114</v>
      </c>
      <c r="AU109" s="419">
        <v>0</v>
      </c>
      <c r="AV109" s="419">
        <v>0</v>
      </c>
      <c r="AW109" s="419">
        <v>0</v>
      </c>
      <c r="AX109" s="419">
        <v>0.05</v>
      </c>
      <c r="AY109" s="419">
        <v>0.05</v>
      </c>
      <c r="AZ109" s="419">
        <v>0.05</v>
      </c>
      <c r="BA109" s="419">
        <v>0.05</v>
      </c>
      <c r="BB109" s="419">
        <v>0.05</v>
      </c>
      <c r="BC109" s="419">
        <v>0.05</v>
      </c>
      <c r="BD109" s="419">
        <v>0.05</v>
      </c>
      <c r="BE109" s="419">
        <v>0.05</v>
      </c>
      <c r="BF109" s="419">
        <v>0.05</v>
      </c>
      <c r="BG109" s="419">
        <v>0.05</v>
      </c>
      <c r="BH109" s="419">
        <v>0.05</v>
      </c>
      <c r="BI109" s="419">
        <v>0.05</v>
      </c>
      <c r="BJ109" s="419">
        <v>0.05</v>
      </c>
      <c r="BK109" s="419">
        <v>0.05</v>
      </c>
      <c r="BL109" s="419">
        <v>0.05</v>
      </c>
      <c r="BM109" s="419">
        <v>0.05</v>
      </c>
      <c r="BN109" s="419">
        <v>0.05</v>
      </c>
      <c r="BO109" s="419">
        <v>0.05</v>
      </c>
      <c r="BP109" s="419">
        <v>0.05</v>
      </c>
      <c r="BQ109" s="419">
        <v>0.05</v>
      </c>
      <c r="BR109" s="419">
        <v>0</v>
      </c>
      <c r="BS109" s="419">
        <v>0</v>
      </c>
      <c r="BT109" s="419">
        <v>0</v>
      </c>
      <c r="BU109" s="419">
        <v>0</v>
      </c>
      <c r="BV109" s="419">
        <v>0</v>
      </c>
      <c r="BW109" s="419">
        <v>0</v>
      </c>
      <c r="BX109" s="419">
        <v>0</v>
      </c>
      <c r="BY109" s="419">
        <v>0</v>
      </c>
      <c r="BZ109" s="419">
        <v>0</v>
      </c>
      <c r="CA109" s="419">
        <v>0</v>
      </c>
      <c r="CB109" s="419">
        <v>0</v>
      </c>
      <c r="CC109" s="419">
        <v>0</v>
      </c>
    </row>
    <row r="110" spans="6:81">
      <c r="F110" s="49" t="s">
        <v>114</v>
      </c>
      <c r="G110" s="285">
        <f t="shared" si="42"/>
        <v>0</v>
      </c>
      <c r="I110" s="285">
        <f t="shared" si="43"/>
        <v>0</v>
      </c>
      <c r="J110" s="285">
        <f t="shared" si="44"/>
        <v>0</v>
      </c>
      <c r="K110" s="285">
        <f t="shared" si="45"/>
        <v>0</v>
      </c>
      <c r="L110" s="285">
        <f t="shared" si="46"/>
        <v>0</v>
      </c>
      <c r="M110" s="285">
        <f t="shared" si="47"/>
        <v>0</v>
      </c>
      <c r="N110" s="285">
        <f t="shared" si="48"/>
        <v>0</v>
      </c>
      <c r="O110" s="285">
        <f t="shared" si="49"/>
        <v>0</v>
      </c>
      <c r="P110" s="285">
        <f t="shared" si="50"/>
        <v>0</v>
      </c>
      <c r="Q110" s="285">
        <f t="shared" si="51"/>
        <v>0</v>
      </c>
      <c r="R110" s="285">
        <f t="shared" si="52"/>
        <v>0</v>
      </c>
      <c r="S110" s="285">
        <f t="shared" si="53"/>
        <v>0</v>
      </c>
      <c r="T110" s="285">
        <f t="shared" si="54"/>
        <v>0</v>
      </c>
      <c r="U110" s="285">
        <f t="shared" si="55"/>
        <v>0</v>
      </c>
      <c r="V110" s="285">
        <f t="shared" si="56"/>
        <v>0</v>
      </c>
      <c r="W110" s="285">
        <f t="shared" si="57"/>
        <v>0</v>
      </c>
      <c r="X110" s="285">
        <f t="shared" si="58"/>
        <v>0</v>
      </c>
      <c r="Y110" s="285">
        <f t="shared" si="59"/>
        <v>0</v>
      </c>
      <c r="Z110" s="285">
        <f t="shared" si="60"/>
        <v>0</v>
      </c>
      <c r="AA110" s="285">
        <f t="shared" si="61"/>
        <v>0</v>
      </c>
      <c r="AB110" s="285">
        <f t="shared" si="62"/>
        <v>0</v>
      </c>
      <c r="AC110" s="285">
        <f t="shared" si="63"/>
        <v>0</v>
      </c>
      <c r="AD110" s="285">
        <f t="shared" si="64"/>
        <v>0</v>
      </c>
      <c r="AE110" s="285">
        <f t="shared" si="65"/>
        <v>0</v>
      </c>
      <c r="AF110" s="285">
        <f t="shared" si="66"/>
        <v>0</v>
      </c>
      <c r="AG110" s="285">
        <f t="shared" si="67"/>
        <v>0</v>
      </c>
      <c r="AH110" s="285">
        <f t="shared" si="68"/>
        <v>0</v>
      </c>
      <c r="AI110" s="285">
        <f t="shared" si="69"/>
        <v>0</v>
      </c>
      <c r="AJ110" s="285">
        <f t="shared" si="70"/>
        <v>0</v>
      </c>
      <c r="AK110" s="285">
        <f t="shared" si="71"/>
        <v>0</v>
      </c>
      <c r="AL110" s="285">
        <f t="shared" si="72"/>
        <v>0</v>
      </c>
      <c r="AM110" s="285">
        <f t="shared" si="73"/>
        <v>0</v>
      </c>
      <c r="AN110" s="285">
        <f t="shared" si="74"/>
        <v>0</v>
      </c>
      <c r="AO110" s="285">
        <f t="shared" si="75"/>
        <v>0</v>
      </c>
      <c r="AP110" s="285">
        <f t="shared" si="76"/>
        <v>0</v>
      </c>
      <c r="AQ110" s="285">
        <f t="shared" si="77"/>
        <v>0</v>
      </c>
      <c r="AT110" t="s">
        <v>115</v>
      </c>
      <c r="AU110" s="419">
        <v>0</v>
      </c>
      <c r="AV110" s="419">
        <v>0</v>
      </c>
      <c r="AW110" s="419">
        <v>0</v>
      </c>
      <c r="AX110" s="419">
        <v>0</v>
      </c>
      <c r="AY110" s="419">
        <v>0.05</v>
      </c>
      <c r="AZ110" s="419">
        <v>0.05</v>
      </c>
      <c r="BA110" s="419">
        <v>0.05</v>
      </c>
      <c r="BB110" s="419">
        <v>0.05</v>
      </c>
      <c r="BC110" s="419">
        <v>0.05</v>
      </c>
      <c r="BD110" s="419">
        <v>0.05</v>
      </c>
      <c r="BE110" s="419">
        <v>0.05</v>
      </c>
      <c r="BF110" s="419">
        <v>0.05</v>
      </c>
      <c r="BG110" s="419">
        <v>0.05</v>
      </c>
      <c r="BH110" s="419">
        <v>0.05</v>
      </c>
      <c r="BI110" s="419">
        <v>0.05</v>
      </c>
      <c r="BJ110" s="419">
        <v>0.05</v>
      </c>
      <c r="BK110" s="419">
        <v>0.05</v>
      </c>
      <c r="BL110" s="419">
        <v>0.05</v>
      </c>
      <c r="BM110" s="419">
        <v>0.05</v>
      </c>
      <c r="BN110" s="419">
        <v>0.05</v>
      </c>
      <c r="BO110" s="419">
        <v>0.05</v>
      </c>
      <c r="BP110" s="419">
        <v>0.05</v>
      </c>
      <c r="BQ110" s="419">
        <v>0.05</v>
      </c>
      <c r="BR110" s="419">
        <v>0.05</v>
      </c>
      <c r="BS110" s="419">
        <v>0</v>
      </c>
      <c r="BT110" s="419">
        <v>0</v>
      </c>
      <c r="BU110" s="419">
        <v>0</v>
      </c>
      <c r="BV110" s="419">
        <v>0</v>
      </c>
      <c r="BW110" s="419">
        <v>0</v>
      </c>
      <c r="BX110" s="419">
        <v>0</v>
      </c>
      <c r="BY110" s="419">
        <v>0</v>
      </c>
      <c r="BZ110" s="419">
        <v>0</v>
      </c>
      <c r="CA110" s="419">
        <v>0</v>
      </c>
      <c r="CB110" s="419">
        <v>0</v>
      </c>
      <c r="CC110" s="419">
        <v>0</v>
      </c>
    </row>
    <row r="111" spans="6:81">
      <c r="F111" s="49" t="s">
        <v>115</v>
      </c>
      <c r="G111" s="285">
        <f t="shared" si="42"/>
        <v>0</v>
      </c>
      <c r="I111" s="285">
        <f t="shared" si="43"/>
        <v>0</v>
      </c>
      <c r="J111" s="285">
        <f t="shared" si="44"/>
        <v>0</v>
      </c>
      <c r="K111" s="285">
        <f t="shared" si="45"/>
        <v>0</v>
      </c>
      <c r="L111" s="285">
        <f t="shared" si="46"/>
        <v>0</v>
      </c>
      <c r="M111" s="285">
        <f t="shared" si="47"/>
        <v>0</v>
      </c>
      <c r="N111" s="285">
        <f t="shared" si="48"/>
        <v>0</v>
      </c>
      <c r="O111" s="285">
        <f t="shared" si="49"/>
        <v>0</v>
      </c>
      <c r="P111" s="285">
        <f t="shared" si="50"/>
        <v>0</v>
      </c>
      <c r="Q111" s="285">
        <f t="shared" si="51"/>
        <v>0</v>
      </c>
      <c r="R111" s="285">
        <f t="shared" si="52"/>
        <v>0</v>
      </c>
      <c r="S111" s="285">
        <f t="shared" si="53"/>
        <v>0</v>
      </c>
      <c r="T111" s="285">
        <f t="shared" si="54"/>
        <v>0</v>
      </c>
      <c r="U111" s="285">
        <f t="shared" si="55"/>
        <v>0</v>
      </c>
      <c r="V111" s="285">
        <f t="shared" si="56"/>
        <v>0</v>
      </c>
      <c r="W111" s="285">
        <f t="shared" si="57"/>
        <v>0</v>
      </c>
      <c r="X111" s="285">
        <f t="shared" si="58"/>
        <v>0</v>
      </c>
      <c r="Y111" s="285">
        <f t="shared" si="59"/>
        <v>0</v>
      </c>
      <c r="Z111" s="285">
        <f t="shared" si="60"/>
        <v>0</v>
      </c>
      <c r="AA111" s="285">
        <f t="shared" si="61"/>
        <v>0</v>
      </c>
      <c r="AB111" s="285">
        <f t="shared" si="62"/>
        <v>0</v>
      </c>
      <c r="AC111" s="285">
        <f t="shared" si="63"/>
        <v>0</v>
      </c>
      <c r="AD111" s="285">
        <f t="shared" si="64"/>
        <v>0</v>
      </c>
      <c r="AE111" s="285">
        <f t="shared" si="65"/>
        <v>0</v>
      </c>
      <c r="AF111" s="285">
        <f t="shared" si="66"/>
        <v>0</v>
      </c>
      <c r="AG111" s="285">
        <f t="shared" si="67"/>
        <v>0</v>
      </c>
      <c r="AH111" s="285">
        <f t="shared" si="68"/>
        <v>0</v>
      </c>
      <c r="AI111" s="285">
        <f t="shared" si="69"/>
        <v>0</v>
      </c>
      <c r="AJ111" s="285">
        <f t="shared" si="70"/>
        <v>0</v>
      </c>
      <c r="AK111" s="285">
        <f t="shared" si="71"/>
        <v>0</v>
      </c>
      <c r="AL111" s="285">
        <f t="shared" si="72"/>
        <v>0</v>
      </c>
      <c r="AM111" s="285">
        <f t="shared" si="73"/>
        <v>0</v>
      </c>
      <c r="AN111" s="285">
        <f t="shared" si="74"/>
        <v>0</v>
      </c>
      <c r="AO111" s="285">
        <f t="shared" si="75"/>
        <v>0</v>
      </c>
      <c r="AP111" s="285">
        <f t="shared" si="76"/>
        <v>0</v>
      </c>
      <c r="AQ111" s="285">
        <f t="shared" si="77"/>
        <v>0</v>
      </c>
      <c r="AT111" t="s">
        <v>116</v>
      </c>
      <c r="AU111" s="419">
        <v>0</v>
      </c>
      <c r="AV111" s="419">
        <v>0</v>
      </c>
      <c r="AW111" s="419">
        <v>0</v>
      </c>
      <c r="AX111" s="419">
        <v>0</v>
      </c>
      <c r="AY111" s="419">
        <v>0</v>
      </c>
      <c r="AZ111" s="419">
        <v>0.05</v>
      </c>
      <c r="BA111" s="419">
        <v>0.05</v>
      </c>
      <c r="BB111" s="419">
        <v>0.05</v>
      </c>
      <c r="BC111" s="419">
        <v>0.05</v>
      </c>
      <c r="BD111" s="419">
        <v>0.05</v>
      </c>
      <c r="BE111" s="419">
        <v>0.05</v>
      </c>
      <c r="BF111" s="419">
        <v>0.05</v>
      </c>
      <c r="BG111" s="419">
        <v>0.05</v>
      </c>
      <c r="BH111" s="419">
        <v>0.05</v>
      </c>
      <c r="BI111" s="419">
        <v>0.05</v>
      </c>
      <c r="BJ111" s="419">
        <v>0.05</v>
      </c>
      <c r="BK111" s="419">
        <v>0.05</v>
      </c>
      <c r="BL111" s="419">
        <v>0.05</v>
      </c>
      <c r="BM111" s="419">
        <v>0.05</v>
      </c>
      <c r="BN111" s="419">
        <v>0.05</v>
      </c>
      <c r="BO111" s="419">
        <v>0.05</v>
      </c>
      <c r="BP111" s="419">
        <v>0.05</v>
      </c>
      <c r="BQ111" s="419">
        <v>0.05</v>
      </c>
      <c r="BR111" s="419">
        <v>0.05</v>
      </c>
      <c r="BS111" s="419">
        <v>0.05</v>
      </c>
      <c r="BT111" s="419">
        <v>0</v>
      </c>
      <c r="BU111" s="419">
        <v>0</v>
      </c>
      <c r="BV111" s="419">
        <v>0</v>
      </c>
      <c r="BW111" s="419">
        <v>0</v>
      </c>
      <c r="BX111" s="419">
        <v>0</v>
      </c>
      <c r="BY111" s="419">
        <v>0</v>
      </c>
      <c r="BZ111" s="419">
        <v>0</v>
      </c>
      <c r="CA111" s="419">
        <v>0</v>
      </c>
      <c r="CB111" s="419">
        <v>0</v>
      </c>
      <c r="CC111" s="419">
        <v>0</v>
      </c>
    </row>
    <row r="112" spans="6:81">
      <c r="F112" s="49" t="s">
        <v>116</v>
      </c>
      <c r="G112" s="285">
        <f t="shared" si="42"/>
        <v>0</v>
      </c>
      <c r="I112" s="285">
        <f t="shared" si="43"/>
        <v>0</v>
      </c>
      <c r="J112" s="285">
        <f t="shared" si="44"/>
        <v>0</v>
      </c>
      <c r="K112" s="285">
        <f t="shared" si="45"/>
        <v>0</v>
      </c>
      <c r="L112" s="285">
        <f t="shared" si="46"/>
        <v>0</v>
      </c>
      <c r="M112" s="285">
        <f t="shared" si="47"/>
        <v>0</v>
      </c>
      <c r="N112" s="285">
        <f t="shared" si="48"/>
        <v>0</v>
      </c>
      <c r="O112" s="285">
        <f t="shared" si="49"/>
        <v>0</v>
      </c>
      <c r="P112" s="285">
        <f t="shared" si="50"/>
        <v>0</v>
      </c>
      <c r="Q112" s="285">
        <f t="shared" si="51"/>
        <v>0</v>
      </c>
      <c r="R112" s="285">
        <f t="shared" si="52"/>
        <v>0</v>
      </c>
      <c r="S112" s="285">
        <f t="shared" si="53"/>
        <v>0</v>
      </c>
      <c r="T112" s="285">
        <f t="shared" si="54"/>
        <v>0</v>
      </c>
      <c r="U112" s="285">
        <f t="shared" si="55"/>
        <v>0</v>
      </c>
      <c r="V112" s="285">
        <f t="shared" si="56"/>
        <v>0</v>
      </c>
      <c r="W112" s="285">
        <f t="shared" si="57"/>
        <v>0</v>
      </c>
      <c r="X112" s="285">
        <f t="shared" si="58"/>
        <v>0</v>
      </c>
      <c r="Y112" s="285">
        <f t="shared" si="59"/>
        <v>0</v>
      </c>
      <c r="Z112" s="285">
        <f t="shared" si="60"/>
        <v>0</v>
      </c>
      <c r="AA112" s="285">
        <f t="shared" si="61"/>
        <v>0</v>
      </c>
      <c r="AB112" s="285">
        <f t="shared" si="62"/>
        <v>0</v>
      </c>
      <c r="AC112" s="285">
        <f t="shared" si="63"/>
        <v>0</v>
      </c>
      <c r="AD112" s="285">
        <f t="shared" si="64"/>
        <v>0</v>
      </c>
      <c r="AE112" s="285">
        <f t="shared" si="65"/>
        <v>0</v>
      </c>
      <c r="AF112" s="285">
        <f t="shared" si="66"/>
        <v>0</v>
      </c>
      <c r="AG112" s="285">
        <f t="shared" si="67"/>
        <v>0</v>
      </c>
      <c r="AH112" s="285">
        <f t="shared" si="68"/>
        <v>0</v>
      </c>
      <c r="AI112" s="285">
        <f t="shared" si="69"/>
        <v>0</v>
      </c>
      <c r="AJ112" s="285">
        <f t="shared" si="70"/>
        <v>0</v>
      </c>
      <c r="AK112" s="285">
        <f t="shared" si="71"/>
        <v>0</v>
      </c>
      <c r="AL112" s="285">
        <f t="shared" si="72"/>
        <v>0</v>
      </c>
      <c r="AM112" s="285">
        <f t="shared" si="73"/>
        <v>0</v>
      </c>
      <c r="AN112" s="285">
        <f t="shared" si="74"/>
        <v>0</v>
      </c>
      <c r="AO112" s="285">
        <f t="shared" si="75"/>
        <v>0</v>
      </c>
      <c r="AP112" s="285">
        <f t="shared" si="76"/>
        <v>0</v>
      </c>
      <c r="AQ112" s="285">
        <f t="shared" si="77"/>
        <v>0</v>
      </c>
      <c r="AT112" t="s">
        <v>117</v>
      </c>
      <c r="AU112" s="419">
        <v>0</v>
      </c>
      <c r="AV112" s="419">
        <v>0</v>
      </c>
      <c r="AW112" s="419">
        <v>0</v>
      </c>
      <c r="AX112" s="419">
        <v>0</v>
      </c>
      <c r="AY112" s="419">
        <v>0</v>
      </c>
      <c r="AZ112" s="419">
        <v>0</v>
      </c>
      <c r="BA112" s="419">
        <v>0.05</v>
      </c>
      <c r="BB112" s="419">
        <v>0.05</v>
      </c>
      <c r="BC112" s="419">
        <v>0.05</v>
      </c>
      <c r="BD112" s="419">
        <v>0.05</v>
      </c>
      <c r="BE112" s="419">
        <v>0.05</v>
      </c>
      <c r="BF112" s="419">
        <v>0.05</v>
      </c>
      <c r="BG112" s="419">
        <v>0.05</v>
      </c>
      <c r="BH112" s="419">
        <v>0.05</v>
      </c>
      <c r="BI112" s="419">
        <v>0.05</v>
      </c>
      <c r="BJ112" s="419">
        <v>0.05</v>
      </c>
      <c r="BK112" s="419">
        <v>0.05</v>
      </c>
      <c r="BL112" s="419">
        <v>0.05</v>
      </c>
      <c r="BM112" s="419">
        <v>0.05</v>
      </c>
      <c r="BN112" s="419">
        <v>0.05</v>
      </c>
      <c r="BO112" s="419">
        <v>0.05</v>
      </c>
      <c r="BP112" s="419">
        <v>0.05</v>
      </c>
      <c r="BQ112" s="419">
        <v>0.05</v>
      </c>
      <c r="BR112" s="419">
        <v>0.05</v>
      </c>
      <c r="BS112" s="419">
        <v>0.05</v>
      </c>
      <c r="BT112" s="419">
        <v>0.05</v>
      </c>
      <c r="BU112" s="419">
        <v>0</v>
      </c>
      <c r="BV112" s="419">
        <v>0</v>
      </c>
      <c r="BW112" s="419">
        <v>0</v>
      </c>
      <c r="BX112" s="419">
        <v>0</v>
      </c>
      <c r="BY112" s="419">
        <v>0</v>
      </c>
      <c r="BZ112" s="419">
        <v>0</v>
      </c>
      <c r="CA112" s="419">
        <v>0</v>
      </c>
      <c r="CB112" s="419">
        <v>0</v>
      </c>
      <c r="CC112" s="419">
        <v>0</v>
      </c>
    </row>
    <row r="113" spans="6:81">
      <c r="F113" s="49" t="s">
        <v>117</v>
      </c>
      <c r="G113" s="285">
        <f t="shared" si="42"/>
        <v>0</v>
      </c>
      <c r="I113" s="285">
        <f t="shared" si="43"/>
        <v>0</v>
      </c>
      <c r="J113" s="285">
        <f t="shared" si="44"/>
        <v>0</v>
      </c>
      <c r="K113" s="285">
        <f t="shared" si="45"/>
        <v>0</v>
      </c>
      <c r="L113" s="285">
        <f t="shared" si="46"/>
        <v>0</v>
      </c>
      <c r="M113" s="285">
        <f t="shared" si="47"/>
        <v>0</v>
      </c>
      <c r="N113" s="285">
        <f t="shared" si="48"/>
        <v>0</v>
      </c>
      <c r="O113" s="285">
        <f t="shared" si="49"/>
        <v>0</v>
      </c>
      <c r="P113" s="285">
        <f t="shared" si="50"/>
        <v>0</v>
      </c>
      <c r="Q113" s="285">
        <f t="shared" si="51"/>
        <v>0</v>
      </c>
      <c r="R113" s="285">
        <f t="shared" si="52"/>
        <v>0</v>
      </c>
      <c r="S113" s="285">
        <f t="shared" si="53"/>
        <v>0</v>
      </c>
      <c r="T113" s="285">
        <f t="shared" si="54"/>
        <v>0</v>
      </c>
      <c r="U113" s="285">
        <f t="shared" si="55"/>
        <v>0</v>
      </c>
      <c r="V113" s="285">
        <f t="shared" si="56"/>
        <v>0</v>
      </c>
      <c r="W113" s="285">
        <f t="shared" si="57"/>
        <v>0</v>
      </c>
      <c r="X113" s="285">
        <f t="shared" si="58"/>
        <v>0</v>
      </c>
      <c r="Y113" s="285">
        <f t="shared" si="59"/>
        <v>0</v>
      </c>
      <c r="Z113" s="285">
        <f t="shared" si="60"/>
        <v>0</v>
      </c>
      <c r="AA113" s="285">
        <f t="shared" si="61"/>
        <v>0</v>
      </c>
      <c r="AB113" s="285">
        <f t="shared" si="62"/>
        <v>0</v>
      </c>
      <c r="AC113" s="285">
        <f t="shared" si="63"/>
        <v>0</v>
      </c>
      <c r="AD113" s="285">
        <f t="shared" si="64"/>
        <v>0</v>
      </c>
      <c r="AE113" s="285">
        <f t="shared" si="65"/>
        <v>0</v>
      </c>
      <c r="AF113" s="285">
        <f t="shared" si="66"/>
        <v>0</v>
      </c>
      <c r="AG113" s="285">
        <f t="shared" si="67"/>
        <v>0</v>
      </c>
      <c r="AH113" s="285">
        <f t="shared" si="68"/>
        <v>0</v>
      </c>
      <c r="AI113" s="285">
        <f t="shared" si="69"/>
        <v>0</v>
      </c>
      <c r="AJ113" s="285">
        <f t="shared" si="70"/>
        <v>0</v>
      </c>
      <c r="AK113" s="285">
        <f t="shared" si="71"/>
        <v>0</v>
      </c>
      <c r="AL113" s="285">
        <f t="shared" si="72"/>
        <v>0</v>
      </c>
      <c r="AM113" s="285">
        <f t="shared" si="73"/>
        <v>0</v>
      </c>
      <c r="AN113" s="285">
        <f t="shared" si="74"/>
        <v>0</v>
      </c>
      <c r="AO113" s="285">
        <f t="shared" si="75"/>
        <v>0</v>
      </c>
      <c r="AP113" s="285">
        <f t="shared" si="76"/>
        <v>0</v>
      </c>
      <c r="AQ113" s="285">
        <f t="shared" si="77"/>
        <v>0</v>
      </c>
      <c r="AT113" t="s">
        <v>118</v>
      </c>
      <c r="AU113" s="419">
        <v>0</v>
      </c>
      <c r="AV113" s="419">
        <v>0</v>
      </c>
      <c r="AW113" s="419">
        <v>0</v>
      </c>
      <c r="AX113" s="419">
        <v>0</v>
      </c>
      <c r="AY113" s="419">
        <v>0</v>
      </c>
      <c r="AZ113" s="419">
        <v>0</v>
      </c>
      <c r="BA113" s="419">
        <v>0</v>
      </c>
      <c r="BB113" s="419">
        <v>0.05</v>
      </c>
      <c r="BC113" s="419">
        <v>0.05</v>
      </c>
      <c r="BD113" s="419">
        <v>0.05</v>
      </c>
      <c r="BE113" s="419">
        <v>0.05</v>
      </c>
      <c r="BF113" s="419">
        <v>0.05</v>
      </c>
      <c r="BG113" s="419">
        <v>0.05</v>
      </c>
      <c r="BH113" s="419">
        <v>0.05</v>
      </c>
      <c r="BI113" s="419">
        <v>0.05</v>
      </c>
      <c r="BJ113" s="419">
        <v>0.05</v>
      </c>
      <c r="BK113" s="419">
        <v>0.05</v>
      </c>
      <c r="BL113" s="419">
        <v>0.05</v>
      </c>
      <c r="BM113" s="419">
        <v>0.05</v>
      </c>
      <c r="BN113" s="419">
        <v>0.05</v>
      </c>
      <c r="BO113" s="419">
        <v>0.05</v>
      </c>
      <c r="BP113" s="419">
        <v>0.05</v>
      </c>
      <c r="BQ113" s="419">
        <v>0.05</v>
      </c>
      <c r="BR113" s="419">
        <v>0.05</v>
      </c>
      <c r="BS113" s="419">
        <v>0.05</v>
      </c>
      <c r="BT113" s="419">
        <v>0.05</v>
      </c>
      <c r="BU113" s="419">
        <v>0.05</v>
      </c>
      <c r="BV113" s="419">
        <v>0</v>
      </c>
      <c r="BW113" s="419">
        <v>0</v>
      </c>
      <c r="BX113" s="419">
        <v>0</v>
      </c>
      <c r="BY113" s="419">
        <v>0</v>
      </c>
      <c r="BZ113" s="419">
        <v>0</v>
      </c>
      <c r="CA113" s="419">
        <v>0</v>
      </c>
      <c r="CB113" s="419">
        <v>0</v>
      </c>
      <c r="CC113" s="419">
        <v>0</v>
      </c>
    </row>
    <row r="114" spans="6:81">
      <c r="F114" s="49" t="s">
        <v>118</v>
      </c>
      <c r="G114" s="285">
        <f t="shared" si="42"/>
        <v>0</v>
      </c>
      <c r="I114" s="285">
        <f t="shared" si="43"/>
        <v>0</v>
      </c>
      <c r="J114" s="285">
        <f t="shared" si="44"/>
        <v>0</v>
      </c>
      <c r="K114" s="285">
        <f t="shared" si="45"/>
        <v>0</v>
      </c>
      <c r="L114" s="285">
        <f t="shared" si="46"/>
        <v>0</v>
      </c>
      <c r="M114" s="285">
        <f t="shared" si="47"/>
        <v>0</v>
      </c>
      <c r="N114" s="285">
        <f t="shared" si="48"/>
        <v>0</v>
      </c>
      <c r="O114" s="285">
        <f t="shared" si="49"/>
        <v>0</v>
      </c>
      <c r="P114" s="285">
        <f t="shared" si="50"/>
        <v>0</v>
      </c>
      <c r="Q114" s="285">
        <f t="shared" si="51"/>
        <v>0</v>
      </c>
      <c r="R114" s="285">
        <f t="shared" si="52"/>
        <v>0</v>
      </c>
      <c r="S114" s="285">
        <f t="shared" si="53"/>
        <v>0</v>
      </c>
      <c r="T114" s="285">
        <f t="shared" si="54"/>
        <v>0</v>
      </c>
      <c r="U114" s="285">
        <f t="shared" si="55"/>
        <v>0</v>
      </c>
      <c r="V114" s="285">
        <f t="shared" si="56"/>
        <v>0</v>
      </c>
      <c r="W114" s="285">
        <f t="shared" si="57"/>
        <v>0</v>
      </c>
      <c r="X114" s="285">
        <f t="shared" si="58"/>
        <v>0</v>
      </c>
      <c r="Y114" s="285">
        <f t="shared" si="59"/>
        <v>0</v>
      </c>
      <c r="Z114" s="285">
        <f t="shared" si="60"/>
        <v>0</v>
      </c>
      <c r="AA114" s="285">
        <f t="shared" si="61"/>
        <v>0</v>
      </c>
      <c r="AB114" s="285">
        <f t="shared" si="62"/>
        <v>0</v>
      </c>
      <c r="AC114" s="285">
        <f t="shared" si="63"/>
        <v>0</v>
      </c>
      <c r="AD114" s="285">
        <f t="shared" si="64"/>
        <v>0</v>
      </c>
      <c r="AE114" s="285">
        <f t="shared" si="65"/>
        <v>0</v>
      </c>
      <c r="AF114" s="285">
        <f t="shared" si="66"/>
        <v>0</v>
      </c>
      <c r="AG114" s="285">
        <f t="shared" si="67"/>
        <v>0</v>
      </c>
      <c r="AH114" s="285">
        <f t="shared" si="68"/>
        <v>0</v>
      </c>
      <c r="AI114" s="285">
        <f t="shared" si="69"/>
        <v>0</v>
      </c>
      <c r="AJ114" s="285">
        <f t="shared" si="70"/>
        <v>0</v>
      </c>
      <c r="AK114" s="285">
        <f t="shared" si="71"/>
        <v>0</v>
      </c>
      <c r="AL114" s="285">
        <f t="shared" si="72"/>
        <v>0</v>
      </c>
      <c r="AM114" s="285">
        <f t="shared" si="73"/>
        <v>0</v>
      </c>
      <c r="AN114" s="285">
        <f t="shared" si="74"/>
        <v>0</v>
      </c>
      <c r="AO114" s="285">
        <f t="shared" si="75"/>
        <v>0</v>
      </c>
      <c r="AP114" s="285">
        <f t="shared" si="76"/>
        <v>0</v>
      </c>
      <c r="AQ114" s="285">
        <f t="shared" si="77"/>
        <v>0</v>
      </c>
      <c r="AT114" t="s">
        <v>119</v>
      </c>
      <c r="AU114" s="419">
        <v>0</v>
      </c>
      <c r="AV114" s="419">
        <v>0</v>
      </c>
      <c r="AW114" s="419">
        <v>0</v>
      </c>
      <c r="AX114" s="419">
        <v>0</v>
      </c>
      <c r="AY114" s="419">
        <v>0</v>
      </c>
      <c r="AZ114" s="419">
        <v>0</v>
      </c>
      <c r="BA114" s="419">
        <v>0</v>
      </c>
      <c r="BB114" s="419">
        <v>0</v>
      </c>
      <c r="BC114" s="419">
        <v>0.05</v>
      </c>
      <c r="BD114" s="419">
        <v>0.05</v>
      </c>
      <c r="BE114" s="419">
        <v>0.05</v>
      </c>
      <c r="BF114" s="419">
        <v>0.05</v>
      </c>
      <c r="BG114" s="419">
        <v>0.05</v>
      </c>
      <c r="BH114" s="419">
        <v>0.05</v>
      </c>
      <c r="BI114" s="419">
        <v>0.05</v>
      </c>
      <c r="BJ114" s="419">
        <v>0.05</v>
      </c>
      <c r="BK114" s="419">
        <v>0.05</v>
      </c>
      <c r="BL114" s="419">
        <v>0.05</v>
      </c>
      <c r="BM114" s="419">
        <v>0.05</v>
      </c>
      <c r="BN114" s="419">
        <v>0.05</v>
      </c>
      <c r="BO114" s="419">
        <v>0.05</v>
      </c>
      <c r="BP114" s="419">
        <v>0.05</v>
      </c>
      <c r="BQ114" s="419">
        <v>0.05</v>
      </c>
      <c r="BR114" s="419">
        <v>0.05</v>
      </c>
      <c r="BS114" s="419">
        <v>0.05</v>
      </c>
      <c r="BT114" s="419">
        <v>0.05</v>
      </c>
      <c r="BU114" s="419">
        <v>0.05</v>
      </c>
      <c r="BV114" s="419">
        <v>0.05</v>
      </c>
      <c r="BW114" s="419">
        <v>0</v>
      </c>
      <c r="BX114" s="419">
        <v>0</v>
      </c>
      <c r="BY114" s="419">
        <v>0</v>
      </c>
      <c r="BZ114" s="419">
        <v>0</v>
      </c>
      <c r="CA114" s="419">
        <v>0</v>
      </c>
      <c r="CB114" s="419">
        <v>0</v>
      </c>
      <c r="CC114" s="419">
        <v>0</v>
      </c>
    </row>
    <row r="115" spans="6:81">
      <c r="F115" s="49" t="s">
        <v>119</v>
      </c>
      <c r="G115" s="285">
        <f t="shared" si="42"/>
        <v>0</v>
      </c>
      <c r="I115" s="285">
        <f t="shared" si="43"/>
        <v>0</v>
      </c>
      <c r="J115" s="285">
        <f t="shared" si="44"/>
        <v>0</v>
      </c>
      <c r="K115" s="285">
        <f t="shared" si="45"/>
        <v>0</v>
      </c>
      <c r="L115" s="285">
        <f t="shared" si="46"/>
        <v>0</v>
      </c>
      <c r="M115" s="285">
        <f t="shared" si="47"/>
        <v>0</v>
      </c>
      <c r="N115" s="285">
        <f t="shared" si="48"/>
        <v>0</v>
      </c>
      <c r="O115" s="285">
        <f t="shared" si="49"/>
        <v>0</v>
      </c>
      <c r="P115" s="285">
        <f t="shared" si="50"/>
        <v>0</v>
      </c>
      <c r="Q115" s="285">
        <f t="shared" si="51"/>
        <v>0</v>
      </c>
      <c r="R115" s="285">
        <f t="shared" si="52"/>
        <v>0</v>
      </c>
      <c r="S115" s="285">
        <f t="shared" si="53"/>
        <v>0</v>
      </c>
      <c r="T115" s="285">
        <f t="shared" si="54"/>
        <v>0</v>
      </c>
      <c r="U115" s="285">
        <f t="shared" si="55"/>
        <v>0</v>
      </c>
      <c r="V115" s="285">
        <f t="shared" si="56"/>
        <v>0</v>
      </c>
      <c r="W115" s="285">
        <f t="shared" si="57"/>
        <v>0</v>
      </c>
      <c r="X115" s="285">
        <f t="shared" si="58"/>
        <v>0</v>
      </c>
      <c r="Y115" s="285">
        <f t="shared" si="59"/>
        <v>0</v>
      </c>
      <c r="Z115" s="285">
        <f t="shared" si="60"/>
        <v>0</v>
      </c>
      <c r="AA115" s="285">
        <f t="shared" si="61"/>
        <v>0</v>
      </c>
      <c r="AB115" s="285">
        <f t="shared" si="62"/>
        <v>0</v>
      </c>
      <c r="AC115" s="285">
        <f t="shared" si="63"/>
        <v>0</v>
      </c>
      <c r="AD115" s="285">
        <f t="shared" si="64"/>
        <v>0</v>
      </c>
      <c r="AE115" s="285">
        <f t="shared" si="65"/>
        <v>0</v>
      </c>
      <c r="AF115" s="285">
        <f t="shared" si="66"/>
        <v>0</v>
      </c>
      <c r="AG115" s="285">
        <f t="shared" si="67"/>
        <v>0</v>
      </c>
      <c r="AH115" s="285">
        <f t="shared" si="68"/>
        <v>0</v>
      </c>
      <c r="AI115" s="285">
        <f t="shared" si="69"/>
        <v>0</v>
      </c>
      <c r="AJ115" s="285">
        <f t="shared" si="70"/>
        <v>0</v>
      </c>
      <c r="AK115" s="285">
        <f t="shared" si="71"/>
        <v>0</v>
      </c>
      <c r="AL115" s="285">
        <f t="shared" si="72"/>
        <v>0</v>
      </c>
      <c r="AM115" s="285">
        <f t="shared" si="73"/>
        <v>0</v>
      </c>
      <c r="AN115" s="285">
        <f t="shared" si="74"/>
        <v>0</v>
      </c>
      <c r="AO115" s="285">
        <f t="shared" si="75"/>
        <v>0</v>
      </c>
      <c r="AP115" s="285">
        <f t="shared" si="76"/>
        <v>0</v>
      </c>
      <c r="AQ115" s="285">
        <f t="shared" si="77"/>
        <v>0</v>
      </c>
      <c r="AT115" t="s">
        <v>120</v>
      </c>
      <c r="AU115" s="419">
        <v>0</v>
      </c>
      <c r="AV115" s="419">
        <v>0</v>
      </c>
      <c r="AW115" s="419">
        <v>0</v>
      </c>
      <c r="AX115" s="419">
        <v>0</v>
      </c>
      <c r="AY115" s="419">
        <v>0</v>
      </c>
      <c r="AZ115" s="419">
        <v>0</v>
      </c>
      <c r="BA115" s="419">
        <v>0</v>
      </c>
      <c r="BB115" s="419">
        <v>0</v>
      </c>
      <c r="BC115" s="419">
        <v>0</v>
      </c>
      <c r="BD115" s="419">
        <v>0.05</v>
      </c>
      <c r="BE115" s="419">
        <v>0.05</v>
      </c>
      <c r="BF115" s="419">
        <v>0.05</v>
      </c>
      <c r="BG115" s="419">
        <v>0.05</v>
      </c>
      <c r="BH115" s="419">
        <v>0.05</v>
      </c>
      <c r="BI115" s="419">
        <v>0.05</v>
      </c>
      <c r="BJ115" s="419">
        <v>0.05</v>
      </c>
      <c r="BK115" s="419">
        <v>0.05</v>
      </c>
      <c r="BL115" s="419">
        <v>0.05</v>
      </c>
      <c r="BM115" s="419">
        <v>0.05</v>
      </c>
      <c r="BN115" s="419">
        <v>0.05</v>
      </c>
      <c r="BO115" s="419">
        <v>0.05</v>
      </c>
      <c r="BP115" s="419">
        <v>0.05</v>
      </c>
      <c r="BQ115" s="419">
        <v>0.05</v>
      </c>
      <c r="BR115" s="419">
        <v>0.05</v>
      </c>
      <c r="BS115" s="419">
        <v>0.05</v>
      </c>
      <c r="BT115" s="419">
        <v>0.05</v>
      </c>
      <c r="BU115" s="419">
        <v>0.05</v>
      </c>
      <c r="BV115" s="419">
        <v>0.05</v>
      </c>
      <c r="BW115" s="419">
        <v>0.05</v>
      </c>
      <c r="BX115" s="419">
        <v>0</v>
      </c>
      <c r="BY115" s="419">
        <v>0</v>
      </c>
      <c r="BZ115" s="419">
        <v>0</v>
      </c>
      <c r="CA115" s="419">
        <v>0</v>
      </c>
      <c r="CB115" s="419">
        <v>0</v>
      </c>
      <c r="CC115" s="419">
        <v>0</v>
      </c>
    </row>
    <row r="116" spans="6:81">
      <c r="F116" s="49" t="s">
        <v>120</v>
      </c>
      <c r="G116" s="285">
        <f t="shared" si="42"/>
        <v>0</v>
      </c>
      <c r="I116" s="285">
        <f t="shared" si="43"/>
        <v>0</v>
      </c>
      <c r="J116" s="285">
        <f t="shared" si="44"/>
        <v>0</v>
      </c>
      <c r="K116" s="285">
        <f t="shared" si="45"/>
        <v>0</v>
      </c>
      <c r="L116" s="285">
        <f t="shared" si="46"/>
        <v>0</v>
      </c>
      <c r="M116" s="285">
        <f t="shared" si="47"/>
        <v>0</v>
      </c>
      <c r="N116" s="285">
        <f t="shared" si="48"/>
        <v>0</v>
      </c>
      <c r="O116" s="285">
        <f t="shared" si="49"/>
        <v>0</v>
      </c>
      <c r="P116" s="285">
        <f t="shared" si="50"/>
        <v>0</v>
      </c>
      <c r="Q116" s="285">
        <f t="shared" si="51"/>
        <v>0</v>
      </c>
      <c r="R116" s="285">
        <f t="shared" si="52"/>
        <v>0</v>
      </c>
      <c r="S116" s="285">
        <f t="shared" si="53"/>
        <v>0</v>
      </c>
      <c r="T116" s="285">
        <f t="shared" si="54"/>
        <v>0</v>
      </c>
      <c r="U116" s="285">
        <f t="shared" si="55"/>
        <v>0</v>
      </c>
      <c r="V116" s="285">
        <f t="shared" si="56"/>
        <v>0</v>
      </c>
      <c r="W116" s="285">
        <f t="shared" si="57"/>
        <v>0</v>
      </c>
      <c r="X116" s="285">
        <f t="shared" si="58"/>
        <v>0</v>
      </c>
      <c r="Y116" s="285">
        <f t="shared" si="59"/>
        <v>0</v>
      </c>
      <c r="Z116" s="285">
        <f t="shared" si="60"/>
        <v>0</v>
      </c>
      <c r="AA116" s="285">
        <f t="shared" si="61"/>
        <v>0</v>
      </c>
      <c r="AB116" s="285">
        <f t="shared" si="62"/>
        <v>0</v>
      </c>
      <c r="AC116" s="285">
        <f t="shared" si="63"/>
        <v>0</v>
      </c>
      <c r="AD116" s="285">
        <f t="shared" si="64"/>
        <v>0</v>
      </c>
      <c r="AE116" s="285">
        <f t="shared" si="65"/>
        <v>0</v>
      </c>
      <c r="AF116" s="285">
        <f t="shared" si="66"/>
        <v>0</v>
      </c>
      <c r="AG116" s="285">
        <f t="shared" si="67"/>
        <v>0</v>
      </c>
      <c r="AH116" s="285">
        <f t="shared" si="68"/>
        <v>0</v>
      </c>
      <c r="AI116" s="285">
        <f t="shared" si="69"/>
        <v>0</v>
      </c>
      <c r="AJ116" s="285">
        <f t="shared" si="70"/>
        <v>0</v>
      </c>
      <c r="AK116" s="285">
        <f t="shared" si="71"/>
        <v>0</v>
      </c>
      <c r="AL116" s="285">
        <f t="shared" si="72"/>
        <v>0</v>
      </c>
      <c r="AM116" s="285">
        <f t="shared" si="73"/>
        <v>0</v>
      </c>
      <c r="AN116" s="285">
        <f t="shared" si="74"/>
        <v>0</v>
      </c>
      <c r="AO116" s="285">
        <f t="shared" si="75"/>
        <v>0</v>
      </c>
      <c r="AP116" s="285">
        <f t="shared" si="76"/>
        <v>0</v>
      </c>
      <c r="AQ116" s="285">
        <f t="shared" si="77"/>
        <v>0</v>
      </c>
      <c r="AT116" t="s">
        <v>121</v>
      </c>
      <c r="AU116" s="419">
        <v>0</v>
      </c>
      <c r="AV116" s="419">
        <v>0</v>
      </c>
      <c r="AW116" s="419">
        <v>0</v>
      </c>
      <c r="AX116" s="419">
        <v>0</v>
      </c>
      <c r="AY116" s="419">
        <v>0</v>
      </c>
      <c r="AZ116" s="419">
        <v>0</v>
      </c>
      <c r="BA116" s="419">
        <v>0</v>
      </c>
      <c r="BB116" s="419">
        <v>0</v>
      </c>
      <c r="BC116" s="419">
        <v>0</v>
      </c>
      <c r="BD116" s="419">
        <v>0</v>
      </c>
      <c r="BE116" s="419">
        <v>0.05</v>
      </c>
      <c r="BF116" s="419">
        <v>0.05</v>
      </c>
      <c r="BG116" s="419">
        <v>0.05</v>
      </c>
      <c r="BH116" s="419">
        <v>0.05</v>
      </c>
      <c r="BI116" s="419">
        <v>0.05</v>
      </c>
      <c r="BJ116" s="419">
        <v>0.05</v>
      </c>
      <c r="BK116" s="419">
        <v>0.05</v>
      </c>
      <c r="BL116" s="419">
        <v>0.05</v>
      </c>
      <c r="BM116" s="419">
        <v>0.05</v>
      </c>
      <c r="BN116" s="419">
        <v>0.05</v>
      </c>
      <c r="BO116" s="419">
        <v>0.05</v>
      </c>
      <c r="BP116" s="419">
        <v>0.05</v>
      </c>
      <c r="BQ116" s="419">
        <v>0.05</v>
      </c>
      <c r="BR116" s="419">
        <v>0.05</v>
      </c>
      <c r="BS116" s="419">
        <v>0.05</v>
      </c>
      <c r="BT116" s="419">
        <v>0.05</v>
      </c>
      <c r="BU116" s="419">
        <v>0.05</v>
      </c>
      <c r="BV116" s="419">
        <v>0.05</v>
      </c>
      <c r="BW116" s="419">
        <v>0.05</v>
      </c>
      <c r="BX116" s="419">
        <v>0.05</v>
      </c>
      <c r="BY116" s="419">
        <v>0</v>
      </c>
      <c r="BZ116" s="419">
        <v>0</v>
      </c>
      <c r="CA116" s="419">
        <v>0</v>
      </c>
      <c r="CB116" s="419">
        <v>0</v>
      </c>
      <c r="CC116" s="419">
        <v>0</v>
      </c>
    </row>
    <row r="117" spans="6:81">
      <c r="F117" s="49" t="s">
        <v>121</v>
      </c>
      <c r="G117" s="285">
        <f t="shared" si="42"/>
        <v>0</v>
      </c>
      <c r="I117" s="285">
        <f t="shared" si="43"/>
        <v>0</v>
      </c>
      <c r="J117" s="285">
        <f t="shared" si="44"/>
        <v>0</v>
      </c>
      <c r="K117" s="285">
        <f t="shared" si="45"/>
        <v>0</v>
      </c>
      <c r="L117" s="285">
        <f t="shared" si="46"/>
        <v>0</v>
      </c>
      <c r="M117" s="285">
        <f t="shared" si="47"/>
        <v>0</v>
      </c>
      <c r="N117" s="285">
        <f t="shared" si="48"/>
        <v>0</v>
      </c>
      <c r="O117" s="285">
        <f t="shared" si="49"/>
        <v>0</v>
      </c>
      <c r="P117" s="285">
        <f t="shared" si="50"/>
        <v>0</v>
      </c>
      <c r="Q117" s="285">
        <f t="shared" si="51"/>
        <v>0</v>
      </c>
      <c r="R117" s="285">
        <f t="shared" si="52"/>
        <v>0</v>
      </c>
      <c r="S117" s="285">
        <f t="shared" si="53"/>
        <v>0</v>
      </c>
      <c r="T117" s="285">
        <f t="shared" si="54"/>
        <v>0</v>
      </c>
      <c r="U117" s="285">
        <f t="shared" si="55"/>
        <v>0</v>
      </c>
      <c r="V117" s="285">
        <f t="shared" si="56"/>
        <v>0</v>
      </c>
      <c r="W117" s="285">
        <f t="shared" si="57"/>
        <v>0</v>
      </c>
      <c r="X117" s="285">
        <f t="shared" si="58"/>
        <v>0</v>
      </c>
      <c r="Y117" s="285">
        <f t="shared" si="59"/>
        <v>0</v>
      </c>
      <c r="Z117" s="285">
        <f t="shared" si="60"/>
        <v>0</v>
      </c>
      <c r="AA117" s="285">
        <f t="shared" si="61"/>
        <v>0</v>
      </c>
      <c r="AB117" s="285">
        <f t="shared" si="62"/>
        <v>0</v>
      </c>
      <c r="AC117" s="285">
        <f t="shared" si="63"/>
        <v>0</v>
      </c>
      <c r="AD117" s="285">
        <f t="shared" si="64"/>
        <v>0</v>
      </c>
      <c r="AE117" s="285">
        <f t="shared" si="65"/>
        <v>0</v>
      </c>
      <c r="AF117" s="285">
        <f t="shared" si="66"/>
        <v>0</v>
      </c>
      <c r="AG117" s="285">
        <f t="shared" si="67"/>
        <v>0</v>
      </c>
      <c r="AH117" s="285">
        <f t="shared" si="68"/>
        <v>0</v>
      </c>
      <c r="AI117" s="285">
        <f t="shared" si="69"/>
        <v>0</v>
      </c>
      <c r="AJ117" s="285">
        <f t="shared" si="70"/>
        <v>0</v>
      </c>
      <c r="AK117" s="285">
        <f t="shared" si="71"/>
        <v>0</v>
      </c>
      <c r="AL117" s="285">
        <f t="shared" si="72"/>
        <v>0</v>
      </c>
      <c r="AM117" s="285">
        <f t="shared" si="73"/>
        <v>0</v>
      </c>
      <c r="AN117" s="285">
        <f t="shared" si="74"/>
        <v>0</v>
      </c>
      <c r="AO117" s="285">
        <f t="shared" si="75"/>
        <v>0</v>
      </c>
      <c r="AP117" s="285">
        <f t="shared" si="76"/>
        <v>0</v>
      </c>
      <c r="AQ117" s="285">
        <f t="shared" si="77"/>
        <v>0</v>
      </c>
      <c r="AT117" t="s">
        <v>122</v>
      </c>
      <c r="AU117" s="419">
        <v>0</v>
      </c>
      <c r="AV117" s="419">
        <v>0</v>
      </c>
      <c r="AW117" s="419">
        <v>0</v>
      </c>
      <c r="AX117" s="419">
        <v>0</v>
      </c>
      <c r="AY117" s="419">
        <v>0</v>
      </c>
      <c r="AZ117" s="419">
        <v>0</v>
      </c>
      <c r="BA117" s="419">
        <v>0</v>
      </c>
      <c r="BB117" s="419">
        <v>0</v>
      </c>
      <c r="BC117" s="419">
        <v>0</v>
      </c>
      <c r="BD117" s="419">
        <v>0</v>
      </c>
      <c r="BE117" s="419">
        <v>0</v>
      </c>
      <c r="BF117" s="419">
        <v>0.05</v>
      </c>
      <c r="BG117" s="419">
        <v>0.05</v>
      </c>
      <c r="BH117" s="419">
        <v>0.05</v>
      </c>
      <c r="BI117" s="419">
        <v>0.05</v>
      </c>
      <c r="BJ117" s="419">
        <v>0.05</v>
      </c>
      <c r="BK117" s="419">
        <v>0.05</v>
      </c>
      <c r="BL117" s="419">
        <v>0.05</v>
      </c>
      <c r="BM117" s="419">
        <v>0.05</v>
      </c>
      <c r="BN117" s="419">
        <v>0.05</v>
      </c>
      <c r="BO117" s="419">
        <v>0.05</v>
      </c>
      <c r="BP117" s="419">
        <v>0.05</v>
      </c>
      <c r="BQ117" s="419">
        <v>0.05</v>
      </c>
      <c r="BR117" s="419">
        <v>0.05</v>
      </c>
      <c r="BS117" s="419">
        <v>0.05</v>
      </c>
      <c r="BT117" s="419">
        <v>0.05</v>
      </c>
      <c r="BU117" s="419">
        <v>0.05</v>
      </c>
      <c r="BV117" s="419">
        <v>0.05</v>
      </c>
      <c r="BW117" s="419">
        <v>0.05</v>
      </c>
      <c r="BX117" s="419">
        <v>0.05</v>
      </c>
      <c r="BY117" s="419">
        <v>0.05</v>
      </c>
      <c r="BZ117" s="419">
        <v>0</v>
      </c>
      <c r="CA117" s="419">
        <v>0</v>
      </c>
      <c r="CB117" s="419">
        <v>0</v>
      </c>
      <c r="CC117" s="419">
        <v>0</v>
      </c>
    </row>
    <row r="118" spans="6:81">
      <c r="F118" s="49" t="s">
        <v>122</v>
      </c>
      <c r="G118" s="285">
        <f t="shared" si="42"/>
        <v>0</v>
      </c>
      <c r="I118" s="285">
        <f t="shared" si="43"/>
        <v>0</v>
      </c>
      <c r="J118" s="285">
        <f t="shared" si="44"/>
        <v>0</v>
      </c>
      <c r="K118" s="285">
        <f t="shared" si="45"/>
        <v>0</v>
      </c>
      <c r="L118" s="285">
        <f t="shared" si="46"/>
        <v>0</v>
      </c>
      <c r="M118" s="285">
        <f t="shared" si="47"/>
        <v>0</v>
      </c>
      <c r="N118" s="285">
        <f t="shared" si="48"/>
        <v>0</v>
      </c>
      <c r="O118" s="285">
        <f t="shared" si="49"/>
        <v>0</v>
      </c>
      <c r="P118" s="285">
        <f t="shared" si="50"/>
        <v>0</v>
      </c>
      <c r="Q118" s="285">
        <f t="shared" si="51"/>
        <v>0</v>
      </c>
      <c r="R118" s="285">
        <f t="shared" si="52"/>
        <v>0</v>
      </c>
      <c r="S118" s="285">
        <f t="shared" si="53"/>
        <v>0</v>
      </c>
      <c r="T118" s="285">
        <f t="shared" si="54"/>
        <v>0</v>
      </c>
      <c r="U118" s="285">
        <f t="shared" si="55"/>
        <v>0</v>
      </c>
      <c r="V118" s="285">
        <f t="shared" si="56"/>
        <v>0</v>
      </c>
      <c r="W118" s="285">
        <f t="shared" si="57"/>
        <v>0</v>
      </c>
      <c r="X118" s="285">
        <f t="shared" si="58"/>
        <v>0</v>
      </c>
      <c r="Y118" s="285">
        <f t="shared" si="59"/>
        <v>0</v>
      </c>
      <c r="Z118" s="285">
        <f t="shared" si="60"/>
        <v>0</v>
      </c>
      <c r="AA118" s="285">
        <f t="shared" si="61"/>
        <v>0</v>
      </c>
      <c r="AB118" s="285">
        <f t="shared" si="62"/>
        <v>0</v>
      </c>
      <c r="AC118" s="285">
        <f t="shared" si="63"/>
        <v>0</v>
      </c>
      <c r="AD118" s="285">
        <f t="shared" si="64"/>
        <v>0</v>
      </c>
      <c r="AE118" s="285">
        <f t="shared" si="65"/>
        <v>0</v>
      </c>
      <c r="AF118" s="285">
        <f t="shared" si="66"/>
        <v>0</v>
      </c>
      <c r="AG118" s="285">
        <f t="shared" si="67"/>
        <v>0</v>
      </c>
      <c r="AH118" s="285">
        <f t="shared" si="68"/>
        <v>0</v>
      </c>
      <c r="AI118" s="285">
        <f t="shared" si="69"/>
        <v>0</v>
      </c>
      <c r="AJ118" s="285">
        <f t="shared" si="70"/>
        <v>0</v>
      </c>
      <c r="AK118" s="285">
        <f t="shared" si="71"/>
        <v>0</v>
      </c>
      <c r="AL118" s="285">
        <f t="shared" si="72"/>
        <v>0</v>
      </c>
      <c r="AM118" s="285">
        <f t="shared" si="73"/>
        <v>0</v>
      </c>
      <c r="AN118" s="285">
        <f t="shared" si="74"/>
        <v>0</v>
      </c>
      <c r="AO118" s="285">
        <f t="shared" si="75"/>
        <v>0</v>
      </c>
      <c r="AP118" s="285">
        <f t="shared" si="76"/>
        <v>0</v>
      </c>
      <c r="AQ118" s="285">
        <f t="shared" si="77"/>
        <v>0</v>
      </c>
      <c r="AT118" t="s">
        <v>123</v>
      </c>
      <c r="AU118" s="419">
        <v>0</v>
      </c>
      <c r="AV118" s="419">
        <v>0</v>
      </c>
      <c r="AW118" s="419">
        <v>0</v>
      </c>
      <c r="AX118" s="419">
        <v>0</v>
      </c>
      <c r="AY118" s="419">
        <v>0</v>
      </c>
      <c r="AZ118" s="419">
        <v>0</v>
      </c>
      <c r="BA118" s="419">
        <v>0</v>
      </c>
      <c r="BB118" s="419">
        <v>0</v>
      </c>
      <c r="BC118" s="419">
        <v>0</v>
      </c>
      <c r="BD118" s="419">
        <v>0</v>
      </c>
      <c r="BE118" s="419">
        <v>0</v>
      </c>
      <c r="BF118" s="419">
        <v>0</v>
      </c>
      <c r="BG118" s="419">
        <v>0.05</v>
      </c>
      <c r="BH118" s="419">
        <v>0.05</v>
      </c>
      <c r="BI118" s="419">
        <v>0.05</v>
      </c>
      <c r="BJ118" s="419">
        <v>0.05</v>
      </c>
      <c r="BK118" s="419">
        <v>0.05</v>
      </c>
      <c r="BL118" s="419">
        <v>0.05</v>
      </c>
      <c r="BM118" s="419">
        <v>0.05</v>
      </c>
      <c r="BN118" s="419">
        <v>0.05</v>
      </c>
      <c r="BO118" s="419">
        <v>0.05</v>
      </c>
      <c r="BP118" s="419">
        <v>0.05</v>
      </c>
      <c r="BQ118" s="419">
        <v>0.05</v>
      </c>
      <c r="BR118" s="419">
        <v>0.05</v>
      </c>
      <c r="BS118" s="419">
        <v>0.05</v>
      </c>
      <c r="BT118" s="419">
        <v>0.05</v>
      </c>
      <c r="BU118" s="419">
        <v>0.05</v>
      </c>
      <c r="BV118" s="419">
        <v>0.05</v>
      </c>
      <c r="BW118" s="419">
        <v>0.05</v>
      </c>
      <c r="BX118" s="419">
        <v>0.05</v>
      </c>
      <c r="BY118" s="419">
        <v>0.05</v>
      </c>
      <c r="BZ118" s="419">
        <v>0.05</v>
      </c>
      <c r="CA118" s="419">
        <v>0</v>
      </c>
      <c r="CB118" s="419">
        <v>0</v>
      </c>
      <c r="CC118" s="419">
        <v>0</v>
      </c>
    </row>
    <row r="119" spans="6:81">
      <c r="F119" s="49" t="s">
        <v>123</v>
      </c>
      <c r="G119" s="285">
        <f t="shared" si="42"/>
        <v>0</v>
      </c>
      <c r="I119" s="285">
        <f t="shared" si="43"/>
        <v>0</v>
      </c>
      <c r="J119" s="285">
        <f t="shared" si="44"/>
        <v>0</v>
      </c>
      <c r="K119" s="285">
        <f t="shared" si="45"/>
        <v>0</v>
      </c>
      <c r="L119" s="285">
        <f t="shared" si="46"/>
        <v>0</v>
      </c>
      <c r="M119" s="285">
        <f t="shared" si="47"/>
        <v>0</v>
      </c>
      <c r="N119" s="285">
        <f t="shared" si="48"/>
        <v>0</v>
      </c>
      <c r="O119" s="285">
        <f t="shared" si="49"/>
        <v>0</v>
      </c>
      <c r="P119" s="285">
        <f t="shared" si="50"/>
        <v>0</v>
      </c>
      <c r="Q119" s="285">
        <f t="shared" si="51"/>
        <v>0</v>
      </c>
      <c r="R119" s="285">
        <f t="shared" si="52"/>
        <v>0</v>
      </c>
      <c r="S119" s="285">
        <f t="shared" si="53"/>
        <v>0</v>
      </c>
      <c r="T119" s="285">
        <f t="shared" si="54"/>
        <v>0</v>
      </c>
      <c r="U119" s="285">
        <f t="shared" si="55"/>
        <v>0</v>
      </c>
      <c r="V119" s="285">
        <f t="shared" si="56"/>
        <v>0</v>
      </c>
      <c r="W119" s="285">
        <f t="shared" si="57"/>
        <v>0</v>
      </c>
      <c r="X119" s="285">
        <f t="shared" si="58"/>
        <v>0</v>
      </c>
      <c r="Y119" s="285">
        <f t="shared" si="59"/>
        <v>0</v>
      </c>
      <c r="Z119" s="285">
        <f t="shared" si="60"/>
        <v>0</v>
      </c>
      <c r="AA119" s="285">
        <f t="shared" si="61"/>
        <v>0</v>
      </c>
      <c r="AB119" s="285">
        <f t="shared" si="62"/>
        <v>0</v>
      </c>
      <c r="AC119" s="285">
        <f t="shared" si="63"/>
        <v>0</v>
      </c>
      <c r="AD119" s="285">
        <f t="shared" si="64"/>
        <v>0</v>
      </c>
      <c r="AE119" s="285">
        <f t="shared" si="65"/>
        <v>0</v>
      </c>
      <c r="AF119" s="285">
        <f t="shared" si="66"/>
        <v>0</v>
      </c>
      <c r="AG119" s="285">
        <f t="shared" si="67"/>
        <v>0</v>
      </c>
      <c r="AH119" s="285">
        <f t="shared" si="68"/>
        <v>0</v>
      </c>
      <c r="AI119" s="285">
        <f t="shared" si="69"/>
        <v>0</v>
      </c>
      <c r="AJ119" s="285">
        <f t="shared" si="70"/>
        <v>0</v>
      </c>
      <c r="AK119" s="285">
        <f t="shared" si="71"/>
        <v>0</v>
      </c>
      <c r="AL119" s="285">
        <f t="shared" si="72"/>
        <v>0</v>
      </c>
      <c r="AM119" s="285">
        <f t="shared" si="73"/>
        <v>0</v>
      </c>
      <c r="AN119" s="285">
        <f t="shared" si="74"/>
        <v>0</v>
      </c>
      <c r="AO119" s="285">
        <f t="shared" si="75"/>
        <v>0</v>
      </c>
      <c r="AP119" s="285">
        <f t="shared" si="76"/>
        <v>0</v>
      </c>
      <c r="AQ119" s="285">
        <f t="shared" si="77"/>
        <v>0</v>
      </c>
      <c r="AT119" t="s">
        <v>124</v>
      </c>
      <c r="AU119" s="419">
        <v>0</v>
      </c>
      <c r="AV119" s="419">
        <v>0</v>
      </c>
      <c r="AW119" s="419">
        <v>0</v>
      </c>
      <c r="AX119" s="419">
        <v>0</v>
      </c>
      <c r="AY119" s="419">
        <v>0</v>
      </c>
      <c r="AZ119" s="419">
        <v>0</v>
      </c>
      <c r="BA119" s="419">
        <v>0</v>
      </c>
      <c r="BB119" s="419">
        <v>0</v>
      </c>
      <c r="BC119" s="419">
        <v>0</v>
      </c>
      <c r="BD119" s="419">
        <v>0</v>
      </c>
      <c r="BE119" s="419">
        <v>0</v>
      </c>
      <c r="BF119" s="419">
        <v>0</v>
      </c>
      <c r="BG119" s="419">
        <v>0</v>
      </c>
      <c r="BH119" s="419">
        <v>0.05</v>
      </c>
      <c r="BI119" s="419">
        <v>0.05</v>
      </c>
      <c r="BJ119" s="419">
        <v>0.05</v>
      </c>
      <c r="BK119" s="419">
        <v>0.05</v>
      </c>
      <c r="BL119" s="419">
        <v>0.05</v>
      </c>
      <c r="BM119" s="419">
        <v>0.05</v>
      </c>
      <c r="BN119" s="419">
        <v>0.05</v>
      </c>
      <c r="BO119" s="419">
        <v>0.05</v>
      </c>
      <c r="BP119" s="419">
        <v>0.05</v>
      </c>
      <c r="BQ119" s="419">
        <v>0.05</v>
      </c>
      <c r="BR119" s="419">
        <v>0.05</v>
      </c>
      <c r="BS119" s="419">
        <v>0.05</v>
      </c>
      <c r="BT119" s="419">
        <v>0.05</v>
      </c>
      <c r="BU119" s="419">
        <v>0.05</v>
      </c>
      <c r="BV119" s="419">
        <v>0.05</v>
      </c>
      <c r="BW119" s="419">
        <v>0.05</v>
      </c>
      <c r="BX119" s="419">
        <v>0.05</v>
      </c>
      <c r="BY119" s="419">
        <v>0.05</v>
      </c>
      <c r="BZ119" s="419">
        <v>0.05</v>
      </c>
      <c r="CA119" s="419">
        <v>0.05</v>
      </c>
      <c r="CB119" s="419">
        <v>0</v>
      </c>
      <c r="CC119" s="419">
        <v>0</v>
      </c>
    </row>
    <row r="120" spans="6:81">
      <c r="F120" s="49" t="s">
        <v>124</v>
      </c>
      <c r="G120" s="285">
        <f t="shared" si="42"/>
        <v>0</v>
      </c>
      <c r="I120" s="285">
        <f t="shared" si="43"/>
        <v>0</v>
      </c>
      <c r="J120" s="285">
        <f t="shared" si="44"/>
        <v>0</v>
      </c>
      <c r="K120" s="285">
        <f t="shared" si="45"/>
        <v>0</v>
      </c>
      <c r="L120" s="285">
        <f t="shared" si="46"/>
        <v>0</v>
      </c>
      <c r="M120" s="285">
        <f t="shared" si="47"/>
        <v>0</v>
      </c>
      <c r="N120" s="285">
        <f t="shared" si="48"/>
        <v>0</v>
      </c>
      <c r="O120" s="285">
        <f t="shared" si="49"/>
        <v>0</v>
      </c>
      <c r="P120" s="285">
        <f t="shared" si="50"/>
        <v>0</v>
      </c>
      <c r="Q120" s="285">
        <f t="shared" si="51"/>
        <v>0</v>
      </c>
      <c r="R120" s="285">
        <f t="shared" si="52"/>
        <v>0</v>
      </c>
      <c r="S120" s="285">
        <f t="shared" si="53"/>
        <v>0</v>
      </c>
      <c r="T120" s="285">
        <f t="shared" si="54"/>
        <v>0</v>
      </c>
      <c r="U120" s="285">
        <f t="shared" si="55"/>
        <v>0</v>
      </c>
      <c r="V120" s="285">
        <f t="shared" si="56"/>
        <v>0</v>
      </c>
      <c r="W120" s="285">
        <f t="shared" si="57"/>
        <v>0</v>
      </c>
      <c r="X120" s="285">
        <f t="shared" si="58"/>
        <v>0</v>
      </c>
      <c r="Y120" s="285">
        <f t="shared" si="59"/>
        <v>0</v>
      </c>
      <c r="Z120" s="285">
        <f t="shared" si="60"/>
        <v>0</v>
      </c>
      <c r="AA120" s="285">
        <f t="shared" si="61"/>
        <v>0</v>
      </c>
      <c r="AB120" s="285">
        <f t="shared" si="62"/>
        <v>0</v>
      </c>
      <c r="AC120" s="285">
        <f t="shared" si="63"/>
        <v>0</v>
      </c>
      <c r="AD120" s="285">
        <f t="shared" si="64"/>
        <v>0</v>
      </c>
      <c r="AE120" s="285">
        <f t="shared" si="65"/>
        <v>0</v>
      </c>
      <c r="AF120" s="285">
        <f t="shared" si="66"/>
        <v>0</v>
      </c>
      <c r="AG120" s="285">
        <f t="shared" si="67"/>
        <v>0</v>
      </c>
      <c r="AH120" s="285">
        <f t="shared" si="68"/>
        <v>0</v>
      </c>
      <c r="AI120" s="285">
        <f t="shared" si="69"/>
        <v>0</v>
      </c>
      <c r="AJ120" s="285">
        <f t="shared" si="70"/>
        <v>0</v>
      </c>
      <c r="AK120" s="285">
        <f t="shared" si="71"/>
        <v>0</v>
      </c>
      <c r="AL120" s="285">
        <f t="shared" si="72"/>
        <v>0</v>
      </c>
      <c r="AM120" s="285">
        <f t="shared" si="73"/>
        <v>0</v>
      </c>
      <c r="AN120" s="285">
        <f t="shared" si="74"/>
        <v>0</v>
      </c>
      <c r="AO120" s="285">
        <f t="shared" si="75"/>
        <v>0</v>
      </c>
      <c r="AP120" s="285">
        <f t="shared" si="76"/>
        <v>0</v>
      </c>
      <c r="AQ120" s="285">
        <f t="shared" si="77"/>
        <v>0</v>
      </c>
      <c r="AT120" t="s">
        <v>1256</v>
      </c>
      <c r="AU120" s="63">
        <f>SUM(AU85:AU119)</f>
        <v>1.0000000000000002</v>
      </c>
      <c r="AV120" s="63">
        <f t="shared" ref="AV120" si="78">SUM(AV85:AV119)</f>
        <v>1.0000000000000002</v>
      </c>
      <c r="AW120" s="63">
        <f t="shared" ref="AW120" si="79">SUM(AW85:AW119)</f>
        <v>1.0000000000000002</v>
      </c>
      <c r="AX120" s="63">
        <f>SUM(AX85:AX119)</f>
        <v>1.0000000000000002</v>
      </c>
      <c r="AY120" s="63">
        <f t="shared" ref="AY120" si="80">SUM(AY85:AY119)</f>
        <v>1.0000000000000002</v>
      </c>
      <c r="AZ120" s="63">
        <f t="shared" ref="AZ120" si="81">SUM(AZ85:AZ119)</f>
        <v>1.0000000000000002</v>
      </c>
      <c r="BA120" s="63">
        <f t="shared" ref="BA120" si="82">SUM(BA85:BA119)</f>
        <v>1.0000000000000002</v>
      </c>
      <c r="BB120" s="63">
        <f t="shared" ref="BB120" si="83">SUM(BB85:BB119)</f>
        <v>1.0000000000000002</v>
      </c>
      <c r="BC120" s="63">
        <f>SUM(BC85:BC119)</f>
        <v>1.0000000000000002</v>
      </c>
      <c r="BD120" s="63">
        <f t="shared" ref="BD120" si="84">SUM(BD85:BD119)</f>
        <v>1.0000000000000002</v>
      </c>
      <c r="BE120" s="63">
        <f t="shared" ref="BE120" si="85">SUM(BE85:BE119)</f>
        <v>1.0000000000000002</v>
      </c>
      <c r="BF120" s="63">
        <f t="shared" ref="BF120" si="86">SUM(BF85:BF119)</f>
        <v>1.0000000000000002</v>
      </c>
      <c r="BG120" s="63">
        <f>SUM(BG85:BG119)</f>
        <v>1.0000000000000002</v>
      </c>
      <c r="BH120" s="63">
        <f t="shared" ref="BH120" si="87">SUM(BH85:BH119)</f>
        <v>1.0000000000000002</v>
      </c>
      <c r="BI120" s="63">
        <f>SUM(BI85:BI119)</f>
        <v>0.95000000000000029</v>
      </c>
      <c r="BJ120" s="370">
        <f>SUM(BJ85:BJ119)</f>
        <v>0.90000000000000024</v>
      </c>
      <c r="BK120" s="370">
        <f t="shared" ref="BK120" si="88">SUM(BK85:BK119)</f>
        <v>0.8500000000000002</v>
      </c>
      <c r="BL120" s="370">
        <f t="shared" ref="BL120" si="89">SUM(BL85:BL119)</f>
        <v>0.80000000000000016</v>
      </c>
      <c r="BM120" s="370">
        <f t="shared" ref="BM120" si="90">SUM(BM85:BM119)</f>
        <v>0.75000000000000011</v>
      </c>
      <c r="BN120" s="370">
        <f t="shared" ref="BN120" si="91">SUM(BN85:BN119)</f>
        <v>0.70000000000000007</v>
      </c>
      <c r="BO120" s="370">
        <f t="shared" ref="BO120" si="92">SUM(BO85:BO119)</f>
        <v>0.65</v>
      </c>
      <c r="BP120" s="370">
        <f t="shared" ref="BP120" si="93">SUM(BP85:BP119)</f>
        <v>0.6</v>
      </c>
      <c r="BQ120" s="370">
        <f t="shared" ref="BQ120" si="94">SUM(BQ85:BQ119)</f>
        <v>0.54999999999999993</v>
      </c>
      <c r="BR120" s="370">
        <f t="shared" ref="BR120" si="95">SUM(BR85:BR119)</f>
        <v>0.49999999999999994</v>
      </c>
      <c r="BS120" s="370">
        <f t="shared" ref="BS120" si="96">SUM(BS85:BS119)</f>
        <v>0.44999999999999996</v>
      </c>
      <c r="BT120" s="370">
        <f t="shared" ref="BT120" si="97">SUM(BT85:BT119)</f>
        <v>0.39999999999999997</v>
      </c>
      <c r="BU120" s="370">
        <f t="shared" ref="BU120" si="98">SUM(BU85:BU119)</f>
        <v>0.35</v>
      </c>
      <c r="BV120" s="370">
        <f t="shared" ref="BV120" si="99">SUM(BV85:BV119)</f>
        <v>0.3</v>
      </c>
      <c r="BW120" s="370">
        <f t="shared" ref="BW120" si="100">SUM(BW85:BW119)</f>
        <v>0.25</v>
      </c>
      <c r="BX120" s="370">
        <f t="shared" ref="BX120" si="101">SUM(BX85:BX119)</f>
        <v>0.2</v>
      </c>
      <c r="BY120" s="370">
        <f t="shared" ref="BY120" si="102">SUM(BY85:BY119)</f>
        <v>0.15000000000000002</v>
      </c>
      <c r="BZ120" s="370">
        <f t="shared" ref="BZ120" si="103">SUM(BZ85:BZ119)</f>
        <v>0.1</v>
      </c>
      <c r="CA120" s="370">
        <f t="shared" ref="CA120" si="104">SUM(CA85:CA119)</f>
        <v>0.05</v>
      </c>
      <c r="CB120" s="370">
        <f t="shared" ref="CB120" si="105">SUM(CB85:CB119)</f>
        <v>0</v>
      </c>
      <c r="CC120" s="370">
        <f t="shared" ref="CC120" si="106">SUM(CC85:CC119)</f>
        <v>0</v>
      </c>
    </row>
    <row r="123" spans="6:81">
      <c r="F123" s="846" t="s">
        <v>1258</v>
      </c>
      <c r="G123" s="846"/>
    </row>
    <row r="124" spans="6:81" ht="14.45" customHeight="1">
      <c r="F124" s="846"/>
      <c r="G124" s="846"/>
      <c r="I124" s="49" t="s">
        <v>84</v>
      </c>
      <c r="J124" s="49" t="s">
        <v>86</v>
      </c>
      <c r="K124" s="49" t="s">
        <v>92</v>
      </c>
      <c r="L124" s="49" t="s">
        <v>93</v>
      </c>
      <c r="M124" s="49" t="s">
        <v>94</v>
      </c>
      <c r="N124" s="49" t="s">
        <v>95</v>
      </c>
      <c r="O124" s="49" t="s">
        <v>96</v>
      </c>
      <c r="P124" s="49" t="s">
        <v>97</v>
      </c>
      <c r="Q124" s="49" t="s">
        <v>98</v>
      </c>
      <c r="R124" s="49" t="s">
        <v>99</v>
      </c>
      <c r="S124" s="49" t="s">
        <v>100</v>
      </c>
      <c r="T124" s="49" t="s">
        <v>101</v>
      </c>
      <c r="U124" s="49" t="s">
        <v>102</v>
      </c>
      <c r="V124" s="49" t="s">
        <v>103</v>
      </c>
      <c r="W124" s="49" t="s">
        <v>104</v>
      </c>
      <c r="X124" s="49" t="s">
        <v>105</v>
      </c>
      <c r="Y124" s="49" t="s">
        <v>106</v>
      </c>
      <c r="Z124" s="49" t="s">
        <v>107</v>
      </c>
      <c r="AA124" s="49" t="s">
        <v>108</v>
      </c>
      <c r="AB124" s="49" t="s">
        <v>109</v>
      </c>
      <c r="AC124" s="49" t="s">
        <v>110</v>
      </c>
      <c r="AD124" s="49" t="s">
        <v>111</v>
      </c>
      <c r="AE124" s="49" t="s">
        <v>112</v>
      </c>
      <c r="AF124" s="49" t="s">
        <v>113</v>
      </c>
      <c r="AG124" s="49" t="s">
        <v>114</v>
      </c>
      <c r="AH124" s="49" t="s">
        <v>115</v>
      </c>
      <c r="AI124" s="49" t="s">
        <v>116</v>
      </c>
      <c r="AJ124" s="49" t="s">
        <v>117</v>
      </c>
      <c r="AK124" s="49" t="s">
        <v>118</v>
      </c>
      <c r="AL124" s="49" t="s">
        <v>119</v>
      </c>
      <c r="AM124" s="49" t="s">
        <v>120</v>
      </c>
      <c r="AN124" s="49" t="s">
        <v>121</v>
      </c>
      <c r="AO124" s="49" t="s">
        <v>122</v>
      </c>
      <c r="AP124" s="49" t="s">
        <v>123</v>
      </c>
      <c r="AQ124" s="49" t="s">
        <v>124</v>
      </c>
    </row>
    <row r="125" spans="6:81" ht="14.45" customHeight="1">
      <c r="F125" s="846"/>
      <c r="G125" s="846"/>
      <c r="I125" s="313" cm="1">
        <f t="array" ref="I125:AQ125">TRANSPOSE(G127:G161)</f>
        <v>27142.857142450001</v>
      </c>
      <c r="J125" s="313">
        <v>27142.857142450001</v>
      </c>
      <c r="K125" s="313">
        <v>27142.857142450001</v>
      </c>
      <c r="L125" s="313">
        <v>27142.857142450001</v>
      </c>
      <c r="M125" s="313">
        <v>27142.857142450001</v>
      </c>
      <c r="N125" s="313">
        <v>27142.857142450001</v>
      </c>
      <c r="O125" s="313">
        <v>27142.857142450001</v>
      </c>
      <c r="P125" s="313">
        <v>27142.857142450001</v>
      </c>
      <c r="Q125" s="313">
        <v>27142.857142450001</v>
      </c>
      <c r="R125" s="313">
        <v>27142.857142450001</v>
      </c>
      <c r="S125" s="313">
        <v>27142.857142450001</v>
      </c>
      <c r="T125" s="313">
        <v>27142.857142450001</v>
      </c>
      <c r="U125" s="313">
        <v>27142.857142450001</v>
      </c>
      <c r="V125" s="313">
        <v>27142.857142450001</v>
      </c>
      <c r="W125" s="313">
        <v>27142.857142450001</v>
      </c>
      <c r="X125" s="313">
        <v>27142.857142450001</v>
      </c>
      <c r="Y125" s="313">
        <v>27142.857142450001</v>
      </c>
      <c r="Z125" s="313">
        <v>27142.857142450001</v>
      </c>
      <c r="AA125" s="313">
        <v>27142.857142450001</v>
      </c>
      <c r="AB125" s="313">
        <v>27142.857142450001</v>
      </c>
      <c r="AC125" s="313">
        <v>27142.857142450001</v>
      </c>
      <c r="AD125" s="313">
        <v>27142.857142450001</v>
      </c>
      <c r="AE125" s="313">
        <v>27142.857142450001</v>
      </c>
      <c r="AF125" s="313">
        <v>27142.857142450001</v>
      </c>
      <c r="AG125" s="313">
        <v>27142.857142450001</v>
      </c>
      <c r="AH125" s="313">
        <v>27142.857142450001</v>
      </c>
      <c r="AI125" s="313">
        <v>27142.857142450001</v>
      </c>
      <c r="AJ125" s="313">
        <v>27142.857142450001</v>
      </c>
      <c r="AK125" s="313">
        <v>27142.857142450001</v>
      </c>
      <c r="AL125" s="313">
        <v>27142.857142450001</v>
      </c>
      <c r="AM125" s="313">
        <v>27142.857142450001</v>
      </c>
      <c r="AN125" s="313">
        <v>27142.857142450001</v>
      </c>
      <c r="AO125" s="313">
        <v>27142.857142450001</v>
      </c>
      <c r="AP125" s="313">
        <v>27142.857142450001</v>
      </c>
      <c r="AQ125" s="313">
        <v>27142.857142450001</v>
      </c>
      <c r="AU125">
        <v>1</v>
      </c>
      <c r="AV125">
        <v>2</v>
      </c>
      <c r="AW125">
        <v>3</v>
      </c>
      <c r="AX125">
        <v>4</v>
      </c>
      <c r="AY125">
        <v>5</v>
      </c>
      <c r="AZ125">
        <v>6</v>
      </c>
      <c r="BA125">
        <v>7</v>
      </c>
      <c r="BB125">
        <v>8</v>
      </c>
      <c r="BC125">
        <v>9</v>
      </c>
      <c r="BD125">
        <v>10</v>
      </c>
      <c r="BE125">
        <v>11</v>
      </c>
      <c r="BF125">
        <v>12</v>
      </c>
      <c r="BG125">
        <v>13</v>
      </c>
      <c r="BH125">
        <v>14</v>
      </c>
      <c r="BI125">
        <v>15</v>
      </c>
      <c r="BJ125">
        <v>16</v>
      </c>
      <c r="BK125">
        <v>17</v>
      </c>
      <c r="BL125">
        <v>18</v>
      </c>
      <c r="BM125">
        <v>19</v>
      </c>
      <c r="BN125">
        <v>20</v>
      </c>
      <c r="BO125">
        <v>21</v>
      </c>
      <c r="BP125">
        <v>22</v>
      </c>
      <c r="BQ125">
        <v>23</v>
      </c>
      <c r="BR125">
        <v>24</v>
      </c>
      <c r="BS125">
        <v>25</v>
      </c>
      <c r="BT125">
        <v>26</v>
      </c>
      <c r="BU125">
        <v>27</v>
      </c>
      <c r="BV125">
        <v>28</v>
      </c>
      <c r="BW125">
        <v>29</v>
      </c>
      <c r="BX125">
        <v>30</v>
      </c>
      <c r="BY125">
        <v>31</v>
      </c>
      <c r="BZ125">
        <v>32</v>
      </c>
      <c r="CA125">
        <v>33</v>
      </c>
      <c r="CB125">
        <v>34</v>
      </c>
      <c r="CC125">
        <v>35</v>
      </c>
    </row>
    <row r="126" spans="6:81" ht="14.45" customHeight="1">
      <c r="AT126" t="s">
        <v>84</v>
      </c>
      <c r="AU126" s="580">
        <v>2.8571428571E-2</v>
      </c>
      <c r="AV126" s="580">
        <v>0</v>
      </c>
      <c r="AW126" s="580">
        <v>0</v>
      </c>
      <c r="AX126" s="580">
        <v>0</v>
      </c>
      <c r="AY126" s="580">
        <v>0</v>
      </c>
      <c r="AZ126" s="580">
        <v>0</v>
      </c>
      <c r="BA126" s="580">
        <v>0</v>
      </c>
      <c r="BB126" s="580">
        <v>0</v>
      </c>
      <c r="BC126" s="580">
        <v>0</v>
      </c>
      <c r="BD126" s="580">
        <v>0</v>
      </c>
      <c r="BE126" s="580">
        <v>0</v>
      </c>
      <c r="BF126" s="580">
        <v>0</v>
      </c>
      <c r="BG126" s="580">
        <v>0</v>
      </c>
      <c r="BH126" s="580">
        <v>0</v>
      </c>
      <c r="BI126" s="580">
        <v>0</v>
      </c>
      <c r="BJ126" s="580">
        <v>0</v>
      </c>
      <c r="BK126" s="580">
        <v>0</v>
      </c>
      <c r="BL126" s="580">
        <v>0</v>
      </c>
      <c r="BM126" s="580">
        <v>0</v>
      </c>
      <c r="BN126" s="580">
        <v>0</v>
      </c>
      <c r="BO126" s="580">
        <v>0</v>
      </c>
      <c r="BP126" s="580">
        <v>0</v>
      </c>
      <c r="BQ126" s="580">
        <v>0</v>
      </c>
      <c r="BR126" s="580">
        <v>0</v>
      </c>
      <c r="BS126" s="580">
        <v>0</v>
      </c>
      <c r="BT126" s="580">
        <v>0</v>
      </c>
      <c r="BU126" s="580">
        <v>0</v>
      </c>
      <c r="BV126" s="580">
        <v>0</v>
      </c>
      <c r="BW126" s="580">
        <v>0</v>
      </c>
      <c r="BX126" s="580">
        <v>0</v>
      </c>
      <c r="BY126" s="580">
        <v>0</v>
      </c>
      <c r="BZ126" s="580">
        <v>0</v>
      </c>
      <c r="CA126" s="580">
        <v>0</v>
      </c>
      <c r="CB126" s="580">
        <v>0</v>
      </c>
      <c r="CC126" s="580">
        <v>0</v>
      </c>
    </row>
    <row r="127" spans="6:81" ht="14.45" customHeight="1">
      <c r="F127" s="49" t="s">
        <v>84</v>
      </c>
      <c r="G127" s="285">
        <f t="shared" ref="G127:G161" si="107">SUM(I127:AQ127)</f>
        <v>27142.857142450001</v>
      </c>
      <c r="I127" s="285">
        <f t="shared" ref="I127:I161" si="108">I$32*AU126</f>
        <v>27142.857142450001</v>
      </c>
      <c r="J127" s="285">
        <f t="shared" ref="J127:J161" si="109">J$32*AV126</f>
        <v>0</v>
      </c>
      <c r="K127" s="285">
        <f t="shared" ref="K127:K161" si="110">K$32*AW126</f>
        <v>0</v>
      </c>
      <c r="L127" s="285">
        <f t="shared" ref="L127:L161" si="111">L$32*AX126</f>
        <v>0</v>
      </c>
      <c r="M127" s="285">
        <f t="shared" ref="M127:M161" si="112">M$32*AY126</f>
        <v>0</v>
      </c>
      <c r="N127" s="285">
        <f t="shared" ref="N127:N161" si="113">N$32*AZ126</f>
        <v>0</v>
      </c>
      <c r="O127" s="285">
        <f t="shared" ref="O127:O161" si="114">O$32*BA126</f>
        <v>0</v>
      </c>
      <c r="P127" s="285">
        <f t="shared" ref="P127:P161" si="115">P$32*BB126</f>
        <v>0</v>
      </c>
      <c r="Q127" s="285">
        <f t="shared" ref="Q127:Q161" si="116">Q$32*BC126</f>
        <v>0</v>
      </c>
      <c r="R127" s="285">
        <f t="shared" ref="R127:R161" si="117">R$32*BD126</f>
        <v>0</v>
      </c>
      <c r="S127" s="285">
        <f t="shared" ref="S127:S161" si="118">S$32*BE126</f>
        <v>0</v>
      </c>
      <c r="T127" s="285">
        <f t="shared" ref="T127:T161" si="119">T$32*BF126</f>
        <v>0</v>
      </c>
      <c r="U127" s="285">
        <f t="shared" ref="U127:U161" si="120">U$32*BG126</f>
        <v>0</v>
      </c>
      <c r="V127" s="285">
        <f t="shared" ref="V127:V161" si="121">V$32*BH126</f>
        <v>0</v>
      </c>
      <c r="W127" s="285">
        <f t="shared" ref="W127:W161" si="122">W$32*BI126</f>
        <v>0</v>
      </c>
      <c r="X127" s="285">
        <f t="shared" ref="X127:X161" si="123">X$32*BJ126</f>
        <v>0</v>
      </c>
      <c r="Y127" s="285">
        <f t="shared" ref="Y127:Y161" si="124">Y$32*BK126</f>
        <v>0</v>
      </c>
      <c r="Z127" s="285">
        <f t="shared" ref="Z127:Z161" si="125">Z$32*BL126</f>
        <v>0</v>
      </c>
      <c r="AA127" s="285">
        <f t="shared" ref="AA127:AA161" si="126">AA$32*BM126</f>
        <v>0</v>
      </c>
      <c r="AB127" s="285">
        <f t="shared" ref="AB127:AB161" si="127">AB$32*BN126</f>
        <v>0</v>
      </c>
      <c r="AC127" s="285">
        <f t="shared" ref="AC127:AC161" si="128">AC$32*BO126</f>
        <v>0</v>
      </c>
      <c r="AD127" s="285">
        <f t="shared" ref="AD127:AD161" si="129">AD$32*BP126</f>
        <v>0</v>
      </c>
      <c r="AE127" s="285">
        <f t="shared" ref="AE127:AE161" si="130">AE$32*BQ126</f>
        <v>0</v>
      </c>
      <c r="AF127" s="285">
        <f t="shared" ref="AF127:AF161" si="131">AF$32*BR126</f>
        <v>0</v>
      </c>
      <c r="AG127" s="285">
        <f t="shared" ref="AG127:AG161" si="132">AG$32*BS126</f>
        <v>0</v>
      </c>
      <c r="AH127" s="285">
        <f t="shared" ref="AH127:AH161" si="133">AH$32*BT126</f>
        <v>0</v>
      </c>
      <c r="AI127" s="285">
        <f t="shared" ref="AI127:AI161" si="134">AI$32*BU126</f>
        <v>0</v>
      </c>
      <c r="AJ127" s="285">
        <f t="shared" ref="AJ127:AJ161" si="135">AJ$32*BV126</f>
        <v>0</v>
      </c>
      <c r="AK127" s="285">
        <f t="shared" ref="AK127:AK161" si="136">AK$32*BW126</f>
        <v>0</v>
      </c>
      <c r="AL127" s="285">
        <f t="shared" ref="AL127:AL161" si="137">AL$32*BX126</f>
        <v>0</v>
      </c>
      <c r="AM127" s="285">
        <f t="shared" ref="AM127:AM161" si="138">AM$32*BY126</f>
        <v>0</v>
      </c>
      <c r="AN127" s="285">
        <f t="shared" ref="AN127:AN161" si="139">AN$32*BZ126</f>
        <v>0</v>
      </c>
      <c r="AO127" s="285">
        <f t="shared" ref="AO127:AO161" si="140">AO$32*CA126</f>
        <v>0</v>
      </c>
      <c r="AP127" s="285">
        <f t="shared" ref="AP127:AP161" si="141">AP$32*CB126</f>
        <v>0</v>
      </c>
      <c r="AQ127" s="285">
        <f t="shared" ref="AQ127:AQ161" si="142">AQ$32*CC126</f>
        <v>0</v>
      </c>
      <c r="AT127" t="s">
        <v>86</v>
      </c>
      <c r="AU127" s="580">
        <v>2.8571428571E-2</v>
      </c>
      <c r="AV127" s="580">
        <v>2.8571428571E-2</v>
      </c>
      <c r="AW127" s="580">
        <v>0</v>
      </c>
      <c r="AX127" s="580">
        <v>0</v>
      </c>
      <c r="AY127" s="580">
        <v>0</v>
      </c>
      <c r="AZ127" s="580">
        <v>0</v>
      </c>
      <c r="BA127" s="580">
        <v>0</v>
      </c>
      <c r="BB127" s="580">
        <v>0</v>
      </c>
      <c r="BC127" s="580">
        <v>0</v>
      </c>
      <c r="BD127" s="580">
        <v>0</v>
      </c>
      <c r="BE127" s="580">
        <v>0</v>
      </c>
      <c r="BF127" s="580">
        <v>0</v>
      </c>
      <c r="BG127" s="580">
        <v>0</v>
      </c>
      <c r="BH127" s="580">
        <v>0</v>
      </c>
      <c r="BI127" s="580">
        <v>0</v>
      </c>
      <c r="BJ127" s="580">
        <v>0</v>
      </c>
      <c r="BK127" s="580">
        <v>0</v>
      </c>
      <c r="BL127" s="580">
        <v>0</v>
      </c>
      <c r="BM127" s="580">
        <v>0</v>
      </c>
      <c r="BN127" s="580">
        <v>0</v>
      </c>
      <c r="BO127" s="580">
        <v>0</v>
      </c>
      <c r="BP127" s="580">
        <v>0</v>
      </c>
      <c r="BQ127" s="580">
        <v>0</v>
      </c>
      <c r="BR127" s="580">
        <v>0</v>
      </c>
      <c r="BS127" s="580">
        <v>0</v>
      </c>
      <c r="BT127" s="580">
        <v>0</v>
      </c>
      <c r="BU127" s="580">
        <v>0</v>
      </c>
      <c r="BV127" s="580">
        <v>0</v>
      </c>
      <c r="BW127" s="580">
        <v>0</v>
      </c>
      <c r="BX127" s="580">
        <v>0</v>
      </c>
      <c r="BY127" s="580">
        <v>0</v>
      </c>
      <c r="BZ127" s="580">
        <v>0</v>
      </c>
      <c r="CA127" s="580">
        <v>0</v>
      </c>
      <c r="CB127" s="580">
        <v>0</v>
      </c>
      <c r="CC127" s="580">
        <v>0</v>
      </c>
    </row>
    <row r="128" spans="6:81">
      <c r="F128" s="49" t="s">
        <v>86</v>
      </c>
      <c r="G128" s="285">
        <f t="shared" si="107"/>
        <v>27142.857142450001</v>
      </c>
      <c r="I128" s="285">
        <f t="shared" si="108"/>
        <v>27142.857142450001</v>
      </c>
      <c r="J128" s="285">
        <f t="shared" si="109"/>
        <v>0</v>
      </c>
      <c r="K128" s="285">
        <f t="shared" si="110"/>
        <v>0</v>
      </c>
      <c r="L128" s="285">
        <f t="shared" si="111"/>
        <v>0</v>
      </c>
      <c r="M128" s="285">
        <f t="shared" si="112"/>
        <v>0</v>
      </c>
      <c r="N128" s="285">
        <f t="shared" si="113"/>
        <v>0</v>
      </c>
      <c r="O128" s="285">
        <f t="shared" si="114"/>
        <v>0</v>
      </c>
      <c r="P128" s="285">
        <f t="shared" si="115"/>
        <v>0</v>
      </c>
      <c r="Q128" s="285">
        <f t="shared" si="116"/>
        <v>0</v>
      </c>
      <c r="R128" s="285">
        <f t="shared" si="117"/>
        <v>0</v>
      </c>
      <c r="S128" s="285">
        <f t="shared" si="118"/>
        <v>0</v>
      </c>
      <c r="T128" s="285">
        <f t="shared" si="119"/>
        <v>0</v>
      </c>
      <c r="U128" s="285">
        <f t="shared" si="120"/>
        <v>0</v>
      </c>
      <c r="V128" s="285">
        <f t="shared" si="121"/>
        <v>0</v>
      </c>
      <c r="W128" s="285">
        <f t="shared" si="122"/>
        <v>0</v>
      </c>
      <c r="X128" s="285">
        <f t="shared" si="123"/>
        <v>0</v>
      </c>
      <c r="Y128" s="285">
        <f t="shared" si="124"/>
        <v>0</v>
      </c>
      <c r="Z128" s="285">
        <f t="shared" si="125"/>
        <v>0</v>
      </c>
      <c r="AA128" s="285">
        <f t="shared" si="126"/>
        <v>0</v>
      </c>
      <c r="AB128" s="285">
        <f t="shared" si="127"/>
        <v>0</v>
      </c>
      <c r="AC128" s="285">
        <f t="shared" si="128"/>
        <v>0</v>
      </c>
      <c r="AD128" s="285">
        <f t="shared" si="129"/>
        <v>0</v>
      </c>
      <c r="AE128" s="285">
        <f t="shared" si="130"/>
        <v>0</v>
      </c>
      <c r="AF128" s="285">
        <f t="shared" si="131"/>
        <v>0</v>
      </c>
      <c r="AG128" s="285">
        <f t="shared" si="132"/>
        <v>0</v>
      </c>
      <c r="AH128" s="285">
        <f t="shared" si="133"/>
        <v>0</v>
      </c>
      <c r="AI128" s="285">
        <f t="shared" si="134"/>
        <v>0</v>
      </c>
      <c r="AJ128" s="285">
        <f t="shared" si="135"/>
        <v>0</v>
      </c>
      <c r="AK128" s="285">
        <f t="shared" si="136"/>
        <v>0</v>
      </c>
      <c r="AL128" s="285">
        <f t="shared" si="137"/>
        <v>0</v>
      </c>
      <c r="AM128" s="285">
        <f t="shared" si="138"/>
        <v>0</v>
      </c>
      <c r="AN128" s="285">
        <f t="shared" si="139"/>
        <v>0</v>
      </c>
      <c r="AO128" s="285">
        <f t="shared" si="140"/>
        <v>0</v>
      </c>
      <c r="AP128" s="285">
        <f t="shared" si="141"/>
        <v>0</v>
      </c>
      <c r="AQ128" s="285">
        <f t="shared" si="142"/>
        <v>0</v>
      </c>
      <c r="AT128" t="s">
        <v>92</v>
      </c>
      <c r="AU128" s="580">
        <v>2.8571428571E-2</v>
      </c>
      <c r="AV128" s="580">
        <v>2.8571428571E-2</v>
      </c>
      <c r="AW128" s="580">
        <v>2.8571428571E-2</v>
      </c>
      <c r="AX128" s="580">
        <v>0</v>
      </c>
      <c r="AY128" s="580">
        <v>0</v>
      </c>
      <c r="AZ128" s="580">
        <v>0</v>
      </c>
      <c r="BA128" s="580">
        <v>0</v>
      </c>
      <c r="BB128" s="580">
        <v>0</v>
      </c>
      <c r="BC128" s="580">
        <v>0</v>
      </c>
      <c r="BD128" s="580">
        <v>0</v>
      </c>
      <c r="BE128" s="580">
        <v>0</v>
      </c>
      <c r="BF128" s="580">
        <v>0</v>
      </c>
      <c r="BG128" s="580">
        <v>0</v>
      </c>
      <c r="BH128" s="580">
        <v>0</v>
      </c>
      <c r="BI128" s="580">
        <v>0</v>
      </c>
      <c r="BJ128" s="580">
        <v>0</v>
      </c>
      <c r="BK128" s="580">
        <v>0</v>
      </c>
      <c r="BL128" s="580">
        <v>0</v>
      </c>
      <c r="BM128" s="580">
        <v>0</v>
      </c>
      <c r="BN128" s="580">
        <v>0</v>
      </c>
      <c r="BO128" s="580">
        <v>0</v>
      </c>
      <c r="BP128" s="580">
        <v>0</v>
      </c>
      <c r="BQ128" s="580">
        <v>0</v>
      </c>
      <c r="BR128" s="580">
        <v>0</v>
      </c>
      <c r="BS128" s="580">
        <v>0</v>
      </c>
      <c r="BT128" s="580">
        <v>0</v>
      </c>
      <c r="BU128" s="580">
        <v>0</v>
      </c>
      <c r="BV128" s="580">
        <v>0</v>
      </c>
      <c r="BW128" s="580">
        <v>0</v>
      </c>
      <c r="BX128" s="580">
        <v>0</v>
      </c>
      <c r="BY128" s="580">
        <v>0</v>
      </c>
      <c r="BZ128" s="580">
        <v>0</v>
      </c>
      <c r="CA128" s="580">
        <v>0</v>
      </c>
      <c r="CB128" s="580">
        <v>0</v>
      </c>
      <c r="CC128" s="580">
        <v>0</v>
      </c>
    </row>
    <row r="129" spans="6:81">
      <c r="F129" s="49" t="s">
        <v>92</v>
      </c>
      <c r="G129" s="285">
        <f t="shared" si="107"/>
        <v>27142.857142450001</v>
      </c>
      <c r="I129" s="285">
        <f t="shared" si="108"/>
        <v>27142.857142450001</v>
      </c>
      <c r="J129" s="285">
        <f t="shared" si="109"/>
        <v>0</v>
      </c>
      <c r="K129" s="285">
        <f t="shared" si="110"/>
        <v>0</v>
      </c>
      <c r="L129" s="285">
        <f t="shared" si="111"/>
        <v>0</v>
      </c>
      <c r="M129" s="285">
        <f t="shared" si="112"/>
        <v>0</v>
      </c>
      <c r="N129" s="285">
        <f t="shared" si="113"/>
        <v>0</v>
      </c>
      <c r="O129" s="285">
        <f t="shared" si="114"/>
        <v>0</v>
      </c>
      <c r="P129" s="285">
        <f t="shared" si="115"/>
        <v>0</v>
      </c>
      <c r="Q129" s="285">
        <f t="shared" si="116"/>
        <v>0</v>
      </c>
      <c r="R129" s="285">
        <f t="shared" si="117"/>
        <v>0</v>
      </c>
      <c r="S129" s="285">
        <f t="shared" si="118"/>
        <v>0</v>
      </c>
      <c r="T129" s="285">
        <f t="shared" si="119"/>
        <v>0</v>
      </c>
      <c r="U129" s="285">
        <f t="shared" si="120"/>
        <v>0</v>
      </c>
      <c r="V129" s="285">
        <f t="shared" si="121"/>
        <v>0</v>
      </c>
      <c r="W129" s="285">
        <f t="shared" si="122"/>
        <v>0</v>
      </c>
      <c r="X129" s="285">
        <f t="shared" si="123"/>
        <v>0</v>
      </c>
      <c r="Y129" s="285">
        <f t="shared" si="124"/>
        <v>0</v>
      </c>
      <c r="Z129" s="285">
        <f t="shared" si="125"/>
        <v>0</v>
      </c>
      <c r="AA129" s="285">
        <f t="shared" si="126"/>
        <v>0</v>
      </c>
      <c r="AB129" s="285">
        <f t="shared" si="127"/>
        <v>0</v>
      </c>
      <c r="AC129" s="285">
        <f t="shared" si="128"/>
        <v>0</v>
      </c>
      <c r="AD129" s="285">
        <f t="shared" si="129"/>
        <v>0</v>
      </c>
      <c r="AE129" s="285">
        <f t="shared" si="130"/>
        <v>0</v>
      </c>
      <c r="AF129" s="285">
        <f t="shared" si="131"/>
        <v>0</v>
      </c>
      <c r="AG129" s="285">
        <f t="shared" si="132"/>
        <v>0</v>
      </c>
      <c r="AH129" s="285">
        <f t="shared" si="133"/>
        <v>0</v>
      </c>
      <c r="AI129" s="285">
        <f t="shared" si="134"/>
        <v>0</v>
      </c>
      <c r="AJ129" s="285">
        <f t="shared" si="135"/>
        <v>0</v>
      </c>
      <c r="AK129" s="285">
        <f t="shared" si="136"/>
        <v>0</v>
      </c>
      <c r="AL129" s="285">
        <f t="shared" si="137"/>
        <v>0</v>
      </c>
      <c r="AM129" s="285">
        <f t="shared" si="138"/>
        <v>0</v>
      </c>
      <c r="AN129" s="285">
        <f t="shared" si="139"/>
        <v>0</v>
      </c>
      <c r="AO129" s="285">
        <f t="shared" si="140"/>
        <v>0</v>
      </c>
      <c r="AP129" s="285">
        <f t="shared" si="141"/>
        <v>0</v>
      </c>
      <c r="AQ129" s="285">
        <f t="shared" si="142"/>
        <v>0</v>
      </c>
      <c r="AT129" t="s">
        <v>93</v>
      </c>
      <c r="AU129" s="580">
        <v>2.8571428571E-2</v>
      </c>
      <c r="AV129" s="580">
        <v>2.8571428571E-2</v>
      </c>
      <c r="AW129" s="580">
        <v>2.8571428571E-2</v>
      </c>
      <c r="AX129" s="580">
        <v>2.8571428571E-2</v>
      </c>
      <c r="AY129" s="580">
        <v>0</v>
      </c>
      <c r="AZ129" s="580">
        <v>0</v>
      </c>
      <c r="BA129" s="580">
        <v>0</v>
      </c>
      <c r="BB129" s="580">
        <v>0</v>
      </c>
      <c r="BC129" s="580">
        <v>0</v>
      </c>
      <c r="BD129" s="580">
        <v>0</v>
      </c>
      <c r="BE129" s="580">
        <v>0</v>
      </c>
      <c r="BF129" s="580">
        <v>0</v>
      </c>
      <c r="BG129" s="580">
        <v>0</v>
      </c>
      <c r="BH129" s="580">
        <v>0</v>
      </c>
      <c r="BI129" s="580">
        <v>0</v>
      </c>
      <c r="BJ129" s="580">
        <v>0</v>
      </c>
      <c r="BK129" s="580">
        <v>0</v>
      </c>
      <c r="BL129" s="580">
        <v>0</v>
      </c>
      <c r="BM129" s="580">
        <v>0</v>
      </c>
      <c r="BN129" s="580">
        <v>0</v>
      </c>
      <c r="BO129" s="580">
        <v>0</v>
      </c>
      <c r="BP129" s="580">
        <v>0</v>
      </c>
      <c r="BQ129" s="580">
        <v>0</v>
      </c>
      <c r="BR129" s="580">
        <v>0</v>
      </c>
      <c r="BS129" s="580">
        <v>0</v>
      </c>
      <c r="BT129" s="580">
        <v>0</v>
      </c>
      <c r="BU129" s="580">
        <v>0</v>
      </c>
      <c r="BV129" s="580">
        <v>0</v>
      </c>
      <c r="BW129" s="580">
        <v>0</v>
      </c>
      <c r="BX129" s="580">
        <v>0</v>
      </c>
      <c r="BY129" s="580">
        <v>0</v>
      </c>
      <c r="BZ129" s="580">
        <v>0</v>
      </c>
      <c r="CA129" s="580">
        <v>0</v>
      </c>
      <c r="CB129" s="580">
        <v>0</v>
      </c>
      <c r="CC129" s="580">
        <v>0</v>
      </c>
    </row>
    <row r="130" spans="6:81">
      <c r="F130" s="49" t="s">
        <v>93</v>
      </c>
      <c r="G130" s="285">
        <f t="shared" si="107"/>
        <v>27142.857142450001</v>
      </c>
      <c r="I130" s="285">
        <f t="shared" si="108"/>
        <v>27142.857142450001</v>
      </c>
      <c r="J130" s="285">
        <f t="shared" si="109"/>
        <v>0</v>
      </c>
      <c r="K130" s="285">
        <f t="shared" si="110"/>
        <v>0</v>
      </c>
      <c r="L130" s="285">
        <f t="shared" si="111"/>
        <v>0</v>
      </c>
      <c r="M130" s="285">
        <f t="shared" si="112"/>
        <v>0</v>
      </c>
      <c r="N130" s="285">
        <f t="shared" si="113"/>
        <v>0</v>
      </c>
      <c r="O130" s="285">
        <f t="shared" si="114"/>
        <v>0</v>
      </c>
      <c r="P130" s="285">
        <f t="shared" si="115"/>
        <v>0</v>
      </c>
      <c r="Q130" s="285">
        <f t="shared" si="116"/>
        <v>0</v>
      </c>
      <c r="R130" s="285">
        <f t="shared" si="117"/>
        <v>0</v>
      </c>
      <c r="S130" s="285">
        <f t="shared" si="118"/>
        <v>0</v>
      </c>
      <c r="T130" s="285">
        <f t="shared" si="119"/>
        <v>0</v>
      </c>
      <c r="U130" s="285">
        <f t="shared" si="120"/>
        <v>0</v>
      </c>
      <c r="V130" s="285">
        <f t="shared" si="121"/>
        <v>0</v>
      </c>
      <c r="W130" s="285">
        <f t="shared" si="122"/>
        <v>0</v>
      </c>
      <c r="X130" s="285">
        <f t="shared" si="123"/>
        <v>0</v>
      </c>
      <c r="Y130" s="285">
        <f t="shared" si="124"/>
        <v>0</v>
      </c>
      <c r="Z130" s="285">
        <f t="shared" si="125"/>
        <v>0</v>
      </c>
      <c r="AA130" s="285">
        <f t="shared" si="126"/>
        <v>0</v>
      </c>
      <c r="AB130" s="285">
        <f t="shared" si="127"/>
        <v>0</v>
      </c>
      <c r="AC130" s="285">
        <f t="shared" si="128"/>
        <v>0</v>
      </c>
      <c r="AD130" s="285">
        <f t="shared" si="129"/>
        <v>0</v>
      </c>
      <c r="AE130" s="285">
        <f t="shared" si="130"/>
        <v>0</v>
      </c>
      <c r="AF130" s="285">
        <f t="shared" si="131"/>
        <v>0</v>
      </c>
      <c r="AG130" s="285">
        <f t="shared" si="132"/>
        <v>0</v>
      </c>
      <c r="AH130" s="285">
        <f t="shared" si="133"/>
        <v>0</v>
      </c>
      <c r="AI130" s="285">
        <f t="shared" si="134"/>
        <v>0</v>
      </c>
      <c r="AJ130" s="285">
        <f t="shared" si="135"/>
        <v>0</v>
      </c>
      <c r="AK130" s="285">
        <f t="shared" si="136"/>
        <v>0</v>
      </c>
      <c r="AL130" s="285">
        <f t="shared" si="137"/>
        <v>0</v>
      </c>
      <c r="AM130" s="285">
        <f t="shared" si="138"/>
        <v>0</v>
      </c>
      <c r="AN130" s="285">
        <f t="shared" si="139"/>
        <v>0</v>
      </c>
      <c r="AO130" s="285">
        <f t="shared" si="140"/>
        <v>0</v>
      </c>
      <c r="AP130" s="285">
        <f t="shared" si="141"/>
        <v>0</v>
      </c>
      <c r="AQ130" s="285">
        <f t="shared" si="142"/>
        <v>0</v>
      </c>
      <c r="AT130" t="s">
        <v>94</v>
      </c>
      <c r="AU130" s="580">
        <v>2.8571428571E-2</v>
      </c>
      <c r="AV130" s="580">
        <v>2.8571428571E-2</v>
      </c>
      <c r="AW130" s="580">
        <v>2.8571428571E-2</v>
      </c>
      <c r="AX130" s="580">
        <v>2.8571428571E-2</v>
      </c>
      <c r="AY130" s="580">
        <v>2.8571428571E-2</v>
      </c>
      <c r="AZ130" s="580">
        <v>0</v>
      </c>
      <c r="BA130" s="580">
        <v>0</v>
      </c>
      <c r="BB130" s="580">
        <v>0</v>
      </c>
      <c r="BC130" s="580">
        <v>0</v>
      </c>
      <c r="BD130" s="580">
        <v>0</v>
      </c>
      <c r="BE130" s="580">
        <v>0</v>
      </c>
      <c r="BF130" s="580">
        <v>0</v>
      </c>
      <c r="BG130" s="580">
        <v>0</v>
      </c>
      <c r="BH130" s="580">
        <v>0</v>
      </c>
      <c r="BI130" s="580">
        <v>0</v>
      </c>
      <c r="BJ130" s="580">
        <v>0</v>
      </c>
      <c r="BK130" s="580">
        <v>0</v>
      </c>
      <c r="BL130" s="580">
        <v>0</v>
      </c>
      <c r="BM130" s="580">
        <v>0</v>
      </c>
      <c r="BN130" s="580">
        <v>0</v>
      </c>
      <c r="BO130" s="580">
        <v>0</v>
      </c>
      <c r="BP130" s="580">
        <v>0</v>
      </c>
      <c r="BQ130" s="580">
        <v>0</v>
      </c>
      <c r="BR130" s="580">
        <v>0</v>
      </c>
      <c r="BS130" s="580">
        <v>0</v>
      </c>
      <c r="BT130" s="580">
        <v>0</v>
      </c>
      <c r="BU130" s="580">
        <v>0</v>
      </c>
      <c r="BV130" s="580">
        <v>0</v>
      </c>
      <c r="BW130" s="580">
        <v>0</v>
      </c>
      <c r="BX130" s="580">
        <v>0</v>
      </c>
      <c r="BY130" s="580">
        <v>0</v>
      </c>
      <c r="BZ130" s="580">
        <v>0</v>
      </c>
      <c r="CA130" s="580">
        <v>0</v>
      </c>
      <c r="CB130" s="580">
        <v>0</v>
      </c>
      <c r="CC130" s="580">
        <v>0</v>
      </c>
    </row>
    <row r="131" spans="6:81">
      <c r="F131" s="49" t="s">
        <v>94</v>
      </c>
      <c r="G131" s="285">
        <f t="shared" si="107"/>
        <v>27142.857142450001</v>
      </c>
      <c r="I131" s="285">
        <f t="shared" si="108"/>
        <v>27142.857142450001</v>
      </c>
      <c r="J131" s="285">
        <f t="shared" si="109"/>
        <v>0</v>
      </c>
      <c r="K131" s="285">
        <f t="shared" si="110"/>
        <v>0</v>
      </c>
      <c r="L131" s="285">
        <f t="shared" si="111"/>
        <v>0</v>
      </c>
      <c r="M131" s="285">
        <f t="shared" si="112"/>
        <v>0</v>
      </c>
      <c r="N131" s="285">
        <f t="shared" si="113"/>
        <v>0</v>
      </c>
      <c r="O131" s="285">
        <f t="shared" si="114"/>
        <v>0</v>
      </c>
      <c r="P131" s="285">
        <f t="shared" si="115"/>
        <v>0</v>
      </c>
      <c r="Q131" s="285">
        <f t="shared" si="116"/>
        <v>0</v>
      </c>
      <c r="R131" s="285">
        <f t="shared" si="117"/>
        <v>0</v>
      </c>
      <c r="S131" s="285">
        <f t="shared" si="118"/>
        <v>0</v>
      </c>
      <c r="T131" s="285">
        <f t="shared" si="119"/>
        <v>0</v>
      </c>
      <c r="U131" s="285">
        <f t="shared" si="120"/>
        <v>0</v>
      </c>
      <c r="V131" s="285">
        <f t="shared" si="121"/>
        <v>0</v>
      </c>
      <c r="W131" s="285">
        <f t="shared" si="122"/>
        <v>0</v>
      </c>
      <c r="X131" s="285">
        <f t="shared" si="123"/>
        <v>0</v>
      </c>
      <c r="Y131" s="285">
        <f t="shared" si="124"/>
        <v>0</v>
      </c>
      <c r="Z131" s="285">
        <f t="shared" si="125"/>
        <v>0</v>
      </c>
      <c r="AA131" s="285">
        <f t="shared" si="126"/>
        <v>0</v>
      </c>
      <c r="AB131" s="285">
        <f t="shared" si="127"/>
        <v>0</v>
      </c>
      <c r="AC131" s="285">
        <f t="shared" si="128"/>
        <v>0</v>
      </c>
      <c r="AD131" s="285">
        <f t="shared" si="129"/>
        <v>0</v>
      </c>
      <c r="AE131" s="285">
        <f t="shared" si="130"/>
        <v>0</v>
      </c>
      <c r="AF131" s="285">
        <f t="shared" si="131"/>
        <v>0</v>
      </c>
      <c r="AG131" s="285">
        <f t="shared" si="132"/>
        <v>0</v>
      </c>
      <c r="AH131" s="285">
        <f t="shared" si="133"/>
        <v>0</v>
      </c>
      <c r="AI131" s="285">
        <f t="shared" si="134"/>
        <v>0</v>
      </c>
      <c r="AJ131" s="285">
        <f t="shared" si="135"/>
        <v>0</v>
      </c>
      <c r="AK131" s="285">
        <f t="shared" si="136"/>
        <v>0</v>
      </c>
      <c r="AL131" s="285">
        <f t="shared" si="137"/>
        <v>0</v>
      </c>
      <c r="AM131" s="285">
        <f t="shared" si="138"/>
        <v>0</v>
      </c>
      <c r="AN131" s="285">
        <f t="shared" si="139"/>
        <v>0</v>
      </c>
      <c r="AO131" s="285">
        <f t="shared" si="140"/>
        <v>0</v>
      </c>
      <c r="AP131" s="285">
        <f t="shared" si="141"/>
        <v>0</v>
      </c>
      <c r="AQ131" s="285">
        <f t="shared" si="142"/>
        <v>0</v>
      </c>
      <c r="AT131" t="s">
        <v>95</v>
      </c>
      <c r="AU131" s="580">
        <v>2.8571428571E-2</v>
      </c>
      <c r="AV131" s="580">
        <v>2.8571428571E-2</v>
      </c>
      <c r="AW131" s="580">
        <v>2.8571428571E-2</v>
      </c>
      <c r="AX131" s="580">
        <v>2.8571428571E-2</v>
      </c>
      <c r="AY131" s="580">
        <v>2.8571428571E-2</v>
      </c>
      <c r="AZ131" s="580">
        <v>2.8571428571E-2</v>
      </c>
      <c r="BA131" s="580">
        <v>0</v>
      </c>
      <c r="BB131" s="580">
        <v>0</v>
      </c>
      <c r="BC131" s="580">
        <v>0</v>
      </c>
      <c r="BD131" s="580">
        <v>0</v>
      </c>
      <c r="BE131" s="580">
        <v>0</v>
      </c>
      <c r="BF131" s="580">
        <v>0</v>
      </c>
      <c r="BG131" s="580">
        <v>0</v>
      </c>
      <c r="BH131" s="580">
        <v>0</v>
      </c>
      <c r="BI131" s="580">
        <v>0</v>
      </c>
      <c r="BJ131" s="580">
        <v>0</v>
      </c>
      <c r="BK131" s="580">
        <v>0</v>
      </c>
      <c r="BL131" s="580">
        <v>0</v>
      </c>
      <c r="BM131" s="580">
        <v>0</v>
      </c>
      <c r="BN131" s="580">
        <v>0</v>
      </c>
      <c r="BO131" s="580">
        <v>0</v>
      </c>
      <c r="BP131" s="580">
        <v>0</v>
      </c>
      <c r="BQ131" s="580">
        <v>0</v>
      </c>
      <c r="BR131" s="580">
        <v>0</v>
      </c>
      <c r="BS131" s="580">
        <v>0</v>
      </c>
      <c r="BT131" s="580">
        <v>0</v>
      </c>
      <c r="BU131" s="580">
        <v>0</v>
      </c>
      <c r="BV131" s="580">
        <v>0</v>
      </c>
      <c r="BW131" s="580">
        <v>0</v>
      </c>
      <c r="BX131" s="580">
        <v>0</v>
      </c>
      <c r="BY131" s="580">
        <v>0</v>
      </c>
      <c r="BZ131" s="580">
        <v>0</v>
      </c>
      <c r="CA131" s="580">
        <v>0</v>
      </c>
      <c r="CB131" s="580">
        <v>0</v>
      </c>
      <c r="CC131" s="580">
        <v>0</v>
      </c>
    </row>
    <row r="132" spans="6:81">
      <c r="F132" s="49" t="s">
        <v>95</v>
      </c>
      <c r="G132" s="285">
        <f t="shared" si="107"/>
        <v>27142.857142450001</v>
      </c>
      <c r="I132" s="285">
        <f t="shared" si="108"/>
        <v>27142.857142450001</v>
      </c>
      <c r="J132" s="285">
        <f t="shared" si="109"/>
        <v>0</v>
      </c>
      <c r="K132" s="285">
        <f t="shared" si="110"/>
        <v>0</v>
      </c>
      <c r="L132" s="285">
        <f t="shared" si="111"/>
        <v>0</v>
      </c>
      <c r="M132" s="285">
        <f t="shared" si="112"/>
        <v>0</v>
      </c>
      <c r="N132" s="285">
        <f t="shared" si="113"/>
        <v>0</v>
      </c>
      <c r="O132" s="285">
        <f t="shared" si="114"/>
        <v>0</v>
      </c>
      <c r="P132" s="285">
        <f t="shared" si="115"/>
        <v>0</v>
      </c>
      <c r="Q132" s="285">
        <f t="shared" si="116"/>
        <v>0</v>
      </c>
      <c r="R132" s="285">
        <f t="shared" si="117"/>
        <v>0</v>
      </c>
      <c r="S132" s="285">
        <f t="shared" si="118"/>
        <v>0</v>
      </c>
      <c r="T132" s="285">
        <f t="shared" si="119"/>
        <v>0</v>
      </c>
      <c r="U132" s="285">
        <f t="shared" si="120"/>
        <v>0</v>
      </c>
      <c r="V132" s="285">
        <f t="shared" si="121"/>
        <v>0</v>
      </c>
      <c r="W132" s="285">
        <f t="shared" si="122"/>
        <v>0</v>
      </c>
      <c r="X132" s="285">
        <f t="shared" si="123"/>
        <v>0</v>
      </c>
      <c r="Y132" s="285">
        <f t="shared" si="124"/>
        <v>0</v>
      </c>
      <c r="Z132" s="285">
        <f t="shared" si="125"/>
        <v>0</v>
      </c>
      <c r="AA132" s="285">
        <f t="shared" si="126"/>
        <v>0</v>
      </c>
      <c r="AB132" s="285">
        <f t="shared" si="127"/>
        <v>0</v>
      </c>
      <c r="AC132" s="285">
        <f t="shared" si="128"/>
        <v>0</v>
      </c>
      <c r="AD132" s="285">
        <f t="shared" si="129"/>
        <v>0</v>
      </c>
      <c r="AE132" s="285">
        <f t="shared" si="130"/>
        <v>0</v>
      </c>
      <c r="AF132" s="285">
        <f t="shared" si="131"/>
        <v>0</v>
      </c>
      <c r="AG132" s="285">
        <f t="shared" si="132"/>
        <v>0</v>
      </c>
      <c r="AH132" s="285">
        <f t="shared" si="133"/>
        <v>0</v>
      </c>
      <c r="AI132" s="285">
        <f t="shared" si="134"/>
        <v>0</v>
      </c>
      <c r="AJ132" s="285">
        <f t="shared" si="135"/>
        <v>0</v>
      </c>
      <c r="AK132" s="285">
        <f t="shared" si="136"/>
        <v>0</v>
      </c>
      <c r="AL132" s="285">
        <f t="shared" si="137"/>
        <v>0</v>
      </c>
      <c r="AM132" s="285">
        <f t="shared" si="138"/>
        <v>0</v>
      </c>
      <c r="AN132" s="285">
        <f t="shared" si="139"/>
        <v>0</v>
      </c>
      <c r="AO132" s="285">
        <f t="shared" si="140"/>
        <v>0</v>
      </c>
      <c r="AP132" s="285">
        <f t="shared" si="141"/>
        <v>0</v>
      </c>
      <c r="AQ132" s="285">
        <f t="shared" si="142"/>
        <v>0</v>
      </c>
      <c r="AT132" t="s">
        <v>96</v>
      </c>
      <c r="AU132" s="580">
        <v>2.8571428571E-2</v>
      </c>
      <c r="AV132" s="580">
        <v>2.8571428571E-2</v>
      </c>
      <c r="AW132" s="580">
        <v>2.8571428571E-2</v>
      </c>
      <c r="AX132" s="580">
        <v>2.8571428571E-2</v>
      </c>
      <c r="AY132" s="580">
        <v>2.8571428571E-2</v>
      </c>
      <c r="AZ132" s="580">
        <v>2.8571428571E-2</v>
      </c>
      <c r="BA132" s="580">
        <v>2.8571428571E-2</v>
      </c>
      <c r="BB132" s="580">
        <v>0</v>
      </c>
      <c r="BC132" s="580">
        <v>0</v>
      </c>
      <c r="BD132" s="580">
        <v>0</v>
      </c>
      <c r="BE132" s="580">
        <v>0</v>
      </c>
      <c r="BF132" s="580">
        <v>0</v>
      </c>
      <c r="BG132" s="580">
        <v>0</v>
      </c>
      <c r="BH132" s="580">
        <v>0</v>
      </c>
      <c r="BI132" s="580">
        <v>0</v>
      </c>
      <c r="BJ132" s="580">
        <v>0</v>
      </c>
      <c r="BK132" s="580">
        <v>0</v>
      </c>
      <c r="BL132" s="580">
        <v>0</v>
      </c>
      <c r="BM132" s="580">
        <v>0</v>
      </c>
      <c r="BN132" s="580">
        <v>0</v>
      </c>
      <c r="BO132" s="580">
        <v>0</v>
      </c>
      <c r="BP132" s="580">
        <v>0</v>
      </c>
      <c r="BQ132" s="580">
        <v>0</v>
      </c>
      <c r="BR132" s="580">
        <v>0</v>
      </c>
      <c r="BS132" s="580">
        <v>0</v>
      </c>
      <c r="BT132" s="580">
        <v>0</v>
      </c>
      <c r="BU132" s="580">
        <v>0</v>
      </c>
      <c r="BV132" s="580">
        <v>0</v>
      </c>
      <c r="BW132" s="580">
        <v>0</v>
      </c>
      <c r="BX132" s="580">
        <v>0</v>
      </c>
      <c r="BY132" s="580">
        <v>0</v>
      </c>
      <c r="BZ132" s="580">
        <v>0</v>
      </c>
      <c r="CA132" s="580">
        <v>0</v>
      </c>
      <c r="CB132" s="580">
        <v>0</v>
      </c>
      <c r="CC132" s="580">
        <v>0</v>
      </c>
    </row>
    <row r="133" spans="6:81">
      <c r="F133" s="49" t="s">
        <v>96</v>
      </c>
      <c r="G133" s="285">
        <f t="shared" si="107"/>
        <v>27142.857142450001</v>
      </c>
      <c r="I133" s="285">
        <f t="shared" si="108"/>
        <v>27142.857142450001</v>
      </c>
      <c r="J133" s="285">
        <f t="shared" si="109"/>
        <v>0</v>
      </c>
      <c r="K133" s="285">
        <f t="shared" si="110"/>
        <v>0</v>
      </c>
      <c r="L133" s="285">
        <f t="shared" si="111"/>
        <v>0</v>
      </c>
      <c r="M133" s="285">
        <f t="shared" si="112"/>
        <v>0</v>
      </c>
      <c r="N133" s="285">
        <f t="shared" si="113"/>
        <v>0</v>
      </c>
      <c r="O133" s="285">
        <f t="shared" si="114"/>
        <v>0</v>
      </c>
      <c r="P133" s="285">
        <f t="shared" si="115"/>
        <v>0</v>
      </c>
      <c r="Q133" s="285">
        <f t="shared" si="116"/>
        <v>0</v>
      </c>
      <c r="R133" s="285">
        <f t="shared" si="117"/>
        <v>0</v>
      </c>
      <c r="S133" s="285">
        <f t="shared" si="118"/>
        <v>0</v>
      </c>
      <c r="T133" s="285">
        <f t="shared" si="119"/>
        <v>0</v>
      </c>
      <c r="U133" s="285">
        <f t="shared" si="120"/>
        <v>0</v>
      </c>
      <c r="V133" s="285">
        <f t="shared" si="121"/>
        <v>0</v>
      </c>
      <c r="W133" s="285">
        <f t="shared" si="122"/>
        <v>0</v>
      </c>
      <c r="X133" s="285">
        <f t="shared" si="123"/>
        <v>0</v>
      </c>
      <c r="Y133" s="285">
        <f t="shared" si="124"/>
        <v>0</v>
      </c>
      <c r="Z133" s="285">
        <f t="shared" si="125"/>
        <v>0</v>
      </c>
      <c r="AA133" s="285">
        <f t="shared" si="126"/>
        <v>0</v>
      </c>
      <c r="AB133" s="285">
        <f t="shared" si="127"/>
        <v>0</v>
      </c>
      <c r="AC133" s="285">
        <f t="shared" si="128"/>
        <v>0</v>
      </c>
      <c r="AD133" s="285">
        <f t="shared" si="129"/>
        <v>0</v>
      </c>
      <c r="AE133" s="285">
        <f t="shared" si="130"/>
        <v>0</v>
      </c>
      <c r="AF133" s="285">
        <f t="shared" si="131"/>
        <v>0</v>
      </c>
      <c r="AG133" s="285">
        <f t="shared" si="132"/>
        <v>0</v>
      </c>
      <c r="AH133" s="285">
        <f t="shared" si="133"/>
        <v>0</v>
      </c>
      <c r="AI133" s="285">
        <f t="shared" si="134"/>
        <v>0</v>
      </c>
      <c r="AJ133" s="285">
        <f t="shared" si="135"/>
        <v>0</v>
      </c>
      <c r="AK133" s="285">
        <f t="shared" si="136"/>
        <v>0</v>
      </c>
      <c r="AL133" s="285">
        <f t="shared" si="137"/>
        <v>0</v>
      </c>
      <c r="AM133" s="285">
        <f t="shared" si="138"/>
        <v>0</v>
      </c>
      <c r="AN133" s="285">
        <f t="shared" si="139"/>
        <v>0</v>
      </c>
      <c r="AO133" s="285">
        <f t="shared" si="140"/>
        <v>0</v>
      </c>
      <c r="AP133" s="285">
        <f t="shared" si="141"/>
        <v>0</v>
      </c>
      <c r="AQ133" s="285">
        <f t="shared" si="142"/>
        <v>0</v>
      </c>
      <c r="AT133" t="s">
        <v>97</v>
      </c>
      <c r="AU133" s="580">
        <v>2.8571428571E-2</v>
      </c>
      <c r="AV133" s="580">
        <v>2.8571428571E-2</v>
      </c>
      <c r="AW133" s="580">
        <v>2.8571428571E-2</v>
      </c>
      <c r="AX133" s="580">
        <v>2.8571428571E-2</v>
      </c>
      <c r="AY133" s="580">
        <v>2.8571428571E-2</v>
      </c>
      <c r="AZ133" s="580">
        <v>2.8571428571E-2</v>
      </c>
      <c r="BA133" s="580">
        <v>2.8571428571E-2</v>
      </c>
      <c r="BB133" s="580">
        <v>2.8571428571E-2</v>
      </c>
      <c r="BC133" s="580">
        <v>0</v>
      </c>
      <c r="BD133" s="580">
        <v>0</v>
      </c>
      <c r="BE133" s="580">
        <v>0</v>
      </c>
      <c r="BF133" s="580">
        <v>0</v>
      </c>
      <c r="BG133" s="580">
        <v>0</v>
      </c>
      <c r="BH133" s="580">
        <v>0</v>
      </c>
      <c r="BI133" s="580">
        <v>0</v>
      </c>
      <c r="BJ133" s="580">
        <v>0</v>
      </c>
      <c r="BK133" s="580">
        <v>0</v>
      </c>
      <c r="BL133" s="580">
        <v>0</v>
      </c>
      <c r="BM133" s="580">
        <v>0</v>
      </c>
      <c r="BN133" s="580">
        <v>0</v>
      </c>
      <c r="BO133" s="580">
        <v>0</v>
      </c>
      <c r="BP133" s="580">
        <v>0</v>
      </c>
      <c r="BQ133" s="580">
        <v>0</v>
      </c>
      <c r="BR133" s="580">
        <v>0</v>
      </c>
      <c r="BS133" s="580">
        <v>0</v>
      </c>
      <c r="BT133" s="580">
        <v>0</v>
      </c>
      <c r="BU133" s="580">
        <v>0</v>
      </c>
      <c r="BV133" s="580">
        <v>0</v>
      </c>
      <c r="BW133" s="580">
        <v>0</v>
      </c>
      <c r="BX133" s="580">
        <v>0</v>
      </c>
      <c r="BY133" s="580">
        <v>0</v>
      </c>
      <c r="BZ133" s="580">
        <v>0</v>
      </c>
      <c r="CA133" s="580">
        <v>0</v>
      </c>
      <c r="CB133" s="580">
        <v>0</v>
      </c>
      <c r="CC133" s="580">
        <v>0</v>
      </c>
    </row>
    <row r="134" spans="6:81">
      <c r="F134" s="49" t="s">
        <v>97</v>
      </c>
      <c r="G134" s="285">
        <f t="shared" si="107"/>
        <v>27142.857142450001</v>
      </c>
      <c r="I134" s="285">
        <f t="shared" si="108"/>
        <v>27142.857142450001</v>
      </c>
      <c r="J134" s="285">
        <f t="shared" si="109"/>
        <v>0</v>
      </c>
      <c r="K134" s="285">
        <f t="shared" si="110"/>
        <v>0</v>
      </c>
      <c r="L134" s="285">
        <f t="shared" si="111"/>
        <v>0</v>
      </c>
      <c r="M134" s="285">
        <f t="shared" si="112"/>
        <v>0</v>
      </c>
      <c r="N134" s="285">
        <f t="shared" si="113"/>
        <v>0</v>
      </c>
      <c r="O134" s="285">
        <f t="shared" si="114"/>
        <v>0</v>
      </c>
      <c r="P134" s="285">
        <f t="shared" si="115"/>
        <v>0</v>
      </c>
      <c r="Q134" s="285">
        <f t="shared" si="116"/>
        <v>0</v>
      </c>
      <c r="R134" s="285">
        <f t="shared" si="117"/>
        <v>0</v>
      </c>
      <c r="S134" s="285">
        <f t="shared" si="118"/>
        <v>0</v>
      </c>
      <c r="T134" s="285">
        <f t="shared" si="119"/>
        <v>0</v>
      </c>
      <c r="U134" s="285">
        <f t="shared" si="120"/>
        <v>0</v>
      </c>
      <c r="V134" s="285">
        <f t="shared" si="121"/>
        <v>0</v>
      </c>
      <c r="W134" s="285">
        <f t="shared" si="122"/>
        <v>0</v>
      </c>
      <c r="X134" s="285">
        <f t="shared" si="123"/>
        <v>0</v>
      </c>
      <c r="Y134" s="285">
        <f t="shared" si="124"/>
        <v>0</v>
      </c>
      <c r="Z134" s="285">
        <f t="shared" si="125"/>
        <v>0</v>
      </c>
      <c r="AA134" s="285">
        <f t="shared" si="126"/>
        <v>0</v>
      </c>
      <c r="AB134" s="285">
        <f t="shared" si="127"/>
        <v>0</v>
      </c>
      <c r="AC134" s="285">
        <f t="shared" si="128"/>
        <v>0</v>
      </c>
      <c r="AD134" s="285">
        <f t="shared" si="129"/>
        <v>0</v>
      </c>
      <c r="AE134" s="285">
        <f t="shared" si="130"/>
        <v>0</v>
      </c>
      <c r="AF134" s="285">
        <f t="shared" si="131"/>
        <v>0</v>
      </c>
      <c r="AG134" s="285">
        <f t="shared" si="132"/>
        <v>0</v>
      </c>
      <c r="AH134" s="285">
        <f t="shared" si="133"/>
        <v>0</v>
      </c>
      <c r="AI134" s="285">
        <f t="shared" si="134"/>
        <v>0</v>
      </c>
      <c r="AJ134" s="285">
        <f t="shared" si="135"/>
        <v>0</v>
      </c>
      <c r="AK134" s="285">
        <f t="shared" si="136"/>
        <v>0</v>
      </c>
      <c r="AL134" s="285">
        <f t="shared" si="137"/>
        <v>0</v>
      </c>
      <c r="AM134" s="285">
        <f t="shared" si="138"/>
        <v>0</v>
      </c>
      <c r="AN134" s="285">
        <f t="shared" si="139"/>
        <v>0</v>
      </c>
      <c r="AO134" s="285">
        <f t="shared" si="140"/>
        <v>0</v>
      </c>
      <c r="AP134" s="285">
        <f t="shared" si="141"/>
        <v>0</v>
      </c>
      <c r="AQ134" s="285">
        <f t="shared" si="142"/>
        <v>0</v>
      </c>
      <c r="AT134" t="s">
        <v>98</v>
      </c>
      <c r="AU134" s="580">
        <v>2.8571428571E-2</v>
      </c>
      <c r="AV134" s="580">
        <v>2.8571428571E-2</v>
      </c>
      <c r="AW134" s="580">
        <v>2.8571428571E-2</v>
      </c>
      <c r="AX134" s="580">
        <v>2.8571428571E-2</v>
      </c>
      <c r="AY134" s="580">
        <v>2.8571428571E-2</v>
      </c>
      <c r="AZ134" s="580">
        <v>2.8571428571E-2</v>
      </c>
      <c r="BA134" s="580">
        <v>2.8571428571E-2</v>
      </c>
      <c r="BB134" s="580">
        <v>2.8571428571E-2</v>
      </c>
      <c r="BC134" s="580">
        <v>2.8571428571E-2</v>
      </c>
      <c r="BD134" s="580">
        <v>0</v>
      </c>
      <c r="BE134" s="580">
        <v>0</v>
      </c>
      <c r="BF134" s="580">
        <v>0</v>
      </c>
      <c r="BG134" s="580">
        <v>0</v>
      </c>
      <c r="BH134" s="580">
        <v>0</v>
      </c>
      <c r="BI134" s="580">
        <v>0</v>
      </c>
      <c r="BJ134" s="580">
        <v>0</v>
      </c>
      <c r="BK134" s="580">
        <v>0</v>
      </c>
      <c r="BL134" s="580">
        <v>0</v>
      </c>
      <c r="BM134" s="580">
        <v>0</v>
      </c>
      <c r="BN134" s="580">
        <v>0</v>
      </c>
      <c r="BO134" s="580">
        <v>0</v>
      </c>
      <c r="BP134" s="580">
        <v>0</v>
      </c>
      <c r="BQ134" s="580">
        <v>0</v>
      </c>
      <c r="BR134" s="580">
        <v>0</v>
      </c>
      <c r="BS134" s="580">
        <v>0</v>
      </c>
      <c r="BT134" s="580">
        <v>0</v>
      </c>
      <c r="BU134" s="580">
        <v>0</v>
      </c>
      <c r="BV134" s="580">
        <v>0</v>
      </c>
      <c r="BW134" s="580">
        <v>0</v>
      </c>
      <c r="BX134" s="580">
        <v>0</v>
      </c>
      <c r="BY134" s="580">
        <v>0</v>
      </c>
      <c r="BZ134" s="580">
        <v>0</v>
      </c>
      <c r="CA134" s="580">
        <v>0</v>
      </c>
      <c r="CB134" s="580">
        <v>0</v>
      </c>
      <c r="CC134" s="580">
        <v>0</v>
      </c>
    </row>
    <row r="135" spans="6:81">
      <c r="F135" s="49" t="s">
        <v>98</v>
      </c>
      <c r="G135" s="285">
        <f t="shared" si="107"/>
        <v>27142.857142450001</v>
      </c>
      <c r="I135" s="285">
        <f t="shared" si="108"/>
        <v>27142.857142450001</v>
      </c>
      <c r="J135" s="285">
        <f t="shared" si="109"/>
        <v>0</v>
      </c>
      <c r="K135" s="285">
        <f t="shared" si="110"/>
        <v>0</v>
      </c>
      <c r="L135" s="285">
        <f t="shared" si="111"/>
        <v>0</v>
      </c>
      <c r="M135" s="285">
        <f t="shared" si="112"/>
        <v>0</v>
      </c>
      <c r="N135" s="285">
        <f t="shared" si="113"/>
        <v>0</v>
      </c>
      <c r="O135" s="285">
        <f t="shared" si="114"/>
        <v>0</v>
      </c>
      <c r="P135" s="285">
        <f t="shared" si="115"/>
        <v>0</v>
      </c>
      <c r="Q135" s="285">
        <f t="shared" si="116"/>
        <v>0</v>
      </c>
      <c r="R135" s="285">
        <f t="shared" si="117"/>
        <v>0</v>
      </c>
      <c r="S135" s="285">
        <f t="shared" si="118"/>
        <v>0</v>
      </c>
      <c r="T135" s="285">
        <f t="shared" si="119"/>
        <v>0</v>
      </c>
      <c r="U135" s="285">
        <f t="shared" si="120"/>
        <v>0</v>
      </c>
      <c r="V135" s="285">
        <f t="shared" si="121"/>
        <v>0</v>
      </c>
      <c r="W135" s="285">
        <f t="shared" si="122"/>
        <v>0</v>
      </c>
      <c r="X135" s="285">
        <f t="shared" si="123"/>
        <v>0</v>
      </c>
      <c r="Y135" s="285">
        <f t="shared" si="124"/>
        <v>0</v>
      </c>
      <c r="Z135" s="285">
        <f t="shared" si="125"/>
        <v>0</v>
      </c>
      <c r="AA135" s="285">
        <f t="shared" si="126"/>
        <v>0</v>
      </c>
      <c r="AB135" s="285">
        <f t="shared" si="127"/>
        <v>0</v>
      </c>
      <c r="AC135" s="285">
        <f t="shared" si="128"/>
        <v>0</v>
      </c>
      <c r="AD135" s="285">
        <f t="shared" si="129"/>
        <v>0</v>
      </c>
      <c r="AE135" s="285">
        <f t="shared" si="130"/>
        <v>0</v>
      </c>
      <c r="AF135" s="285">
        <f t="shared" si="131"/>
        <v>0</v>
      </c>
      <c r="AG135" s="285">
        <f t="shared" si="132"/>
        <v>0</v>
      </c>
      <c r="AH135" s="285">
        <f t="shared" si="133"/>
        <v>0</v>
      </c>
      <c r="AI135" s="285">
        <f t="shared" si="134"/>
        <v>0</v>
      </c>
      <c r="AJ135" s="285">
        <f t="shared" si="135"/>
        <v>0</v>
      </c>
      <c r="AK135" s="285">
        <f t="shared" si="136"/>
        <v>0</v>
      </c>
      <c r="AL135" s="285">
        <f t="shared" si="137"/>
        <v>0</v>
      </c>
      <c r="AM135" s="285">
        <f t="shared" si="138"/>
        <v>0</v>
      </c>
      <c r="AN135" s="285">
        <f t="shared" si="139"/>
        <v>0</v>
      </c>
      <c r="AO135" s="285">
        <f t="shared" si="140"/>
        <v>0</v>
      </c>
      <c r="AP135" s="285">
        <f t="shared" si="141"/>
        <v>0</v>
      </c>
      <c r="AQ135" s="285">
        <f t="shared" si="142"/>
        <v>0</v>
      </c>
      <c r="AT135" t="s">
        <v>99</v>
      </c>
      <c r="AU135" s="580">
        <v>2.8571428571E-2</v>
      </c>
      <c r="AV135" s="580">
        <v>2.8571428571E-2</v>
      </c>
      <c r="AW135" s="580">
        <v>2.8571428571E-2</v>
      </c>
      <c r="AX135" s="580">
        <v>2.8571428571E-2</v>
      </c>
      <c r="AY135" s="580">
        <v>2.8571428571E-2</v>
      </c>
      <c r="AZ135" s="580">
        <v>2.8571428571E-2</v>
      </c>
      <c r="BA135" s="580">
        <v>2.8571428571E-2</v>
      </c>
      <c r="BB135" s="580">
        <v>2.8571428571E-2</v>
      </c>
      <c r="BC135" s="580">
        <v>2.8571428571E-2</v>
      </c>
      <c r="BD135" s="580">
        <v>2.8571428571E-2</v>
      </c>
      <c r="BE135" s="580">
        <v>0</v>
      </c>
      <c r="BF135" s="580">
        <v>0</v>
      </c>
      <c r="BG135" s="580">
        <v>0</v>
      </c>
      <c r="BH135" s="580">
        <v>0</v>
      </c>
      <c r="BI135" s="580">
        <v>0</v>
      </c>
      <c r="BJ135" s="580">
        <v>0</v>
      </c>
      <c r="BK135" s="580">
        <v>0</v>
      </c>
      <c r="BL135" s="580">
        <v>0</v>
      </c>
      <c r="BM135" s="580">
        <v>0</v>
      </c>
      <c r="BN135" s="580">
        <v>0</v>
      </c>
      <c r="BO135" s="580">
        <v>0</v>
      </c>
      <c r="BP135" s="580">
        <v>0</v>
      </c>
      <c r="BQ135" s="580">
        <v>0</v>
      </c>
      <c r="BR135" s="580">
        <v>0</v>
      </c>
      <c r="BS135" s="580">
        <v>0</v>
      </c>
      <c r="BT135" s="580">
        <v>0</v>
      </c>
      <c r="BU135" s="580">
        <v>0</v>
      </c>
      <c r="BV135" s="580">
        <v>0</v>
      </c>
      <c r="BW135" s="580">
        <v>0</v>
      </c>
      <c r="BX135" s="580">
        <v>0</v>
      </c>
      <c r="BY135" s="580">
        <v>0</v>
      </c>
      <c r="BZ135" s="580">
        <v>0</v>
      </c>
      <c r="CA135" s="580">
        <v>0</v>
      </c>
      <c r="CB135" s="580">
        <v>0</v>
      </c>
      <c r="CC135" s="580">
        <v>0</v>
      </c>
    </row>
    <row r="136" spans="6:81">
      <c r="F136" s="49" t="s">
        <v>99</v>
      </c>
      <c r="G136" s="285">
        <f t="shared" si="107"/>
        <v>27142.857142450001</v>
      </c>
      <c r="I136" s="285">
        <f t="shared" si="108"/>
        <v>27142.857142450001</v>
      </c>
      <c r="J136" s="285">
        <f t="shared" si="109"/>
        <v>0</v>
      </c>
      <c r="K136" s="285">
        <f t="shared" si="110"/>
        <v>0</v>
      </c>
      <c r="L136" s="285">
        <f t="shared" si="111"/>
        <v>0</v>
      </c>
      <c r="M136" s="285">
        <f t="shared" si="112"/>
        <v>0</v>
      </c>
      <c r="N136" s="285">
        <f t="shared" si="113"/>
        <v>0</v>
      </c>
      <c r="O136" s="285">
        <f t="shared" si="114"/>
        <v>0</v>
      </c>
      <c r="P136" s="285">
        <f t="shared" si="115"/>
        <v>0</v>
      </c>
      <c r="Q136" s="285">
        <f t="shared" si="116"/>
        <v>0</v>
      </c>
      <c r="R136" s="285">
        <f t="shared" si="117"/>
        <v>0</v>
      </c>
      <c r="S136" s="285">
        <f t="shared" si="118"/>
        <v>0</v>
      </c>
      <c r="T136" s="285">
        <f t="shared" si="119"/>
        <v>0</v>
      </c>
      <c r="U136" s="285">
        <f t="shared" si="120"/>
        <v>0</v>
      </c>
      <c r="V136" s="285">
        <f t="shared" si="121"/>
        <v>0</v>
      </c>
      <c r="W136" s="285">
        <f t="shared" si="122"/>
        <v>0</v>
      </c>
      <c r="X136" s="285">
        <f t="shared" si="123"/>
        <v>0</v>
      </c>
      <c r="Y136" s="285">
        <f t="shared" si="124"/>
        <v>0</v>
      </c>
      <c r="Z136" s="285">
        <f t="shared" si="125"/>
        <v>0</v>
      </c>
      <c r="AA136" s="285">
        <f t="shared" si="126"/>
        <v>0</v>
      </c>
      <c r="AB136" s="285">
        <f t="shared" si="127"/>
        <v>0</v>
      </c>
      <c r="AC136" s="285">
        <f t="shared" si="128"/>
        <v>0</v>
      </c>
      <c r="AD136" s="285">
        <f t="shared" si="129"/>
        <v>0</v>
      </c>
      <c r="AE136" s="285">
        <f t="shared" si="130"/>
        <v>0</v>
      </c>
      <c r="AF136" s="285">
        <f t="shared" si="131"/>
        <v>0</v>
      </c>
      <c r="AG136" s="285">
        <f t="shared" si="132"/>
        <v>0</v>
      </c>
      <c r="AH136" s="285">
        <f t="shared" si="133"/>
        <v>0</v>
      </c>
      <c r="AI136" s="285">
        <f t="shared" si="134"/>
        <v>0</v>
      </c>
      <c r="AJ136" s="285">
        <f t="shared" si="135"/>
        <v>0</v>
      </c>
      <c r="AK136" s="285">
        <f t="shared" si="136"/>
        <v>0</v>
      </c>
      <c r="AL136" s="285">
        <f t="shared" si="137"/>
        <v>0</v>
      </c>
      <c r="AM136" s="285">
        <f t="shared" si="138"/>
        <v>0</v>
      </c>
      <c r="AN136" s="285">
        <f t="shared" si="139"/>
        <v>0</v>
      </c>
      <c r="AO136" s="285">
        <f t="shared" si="140"/>
        <v>0</v>
      </c>
      <c r="AP136" s="285">
        <f t="shared" si="141"/>
        <v>0</v>
      </c>
      <c r="AQ136" s="285">
        <f t="shared" si="142"/>
        <v>0</v>
      </c>
      <c r="AT136" t="s">
        <v>100</v>
      </c>
      <c r="AU136" s="580">
        <v>2.8571428571E-2</v>
      </c>
      <c r="AV136" s="580">
        <v>2.8571428571E-2</v>
      </c>
      <c r="AW136" s="580">
        <v>2.8571428571E-2</v>
      </c>
      <c r="AX136" s="580">
        <v>2.8571428571E-2</v>
      </c>
      <c r="AY136" s="580">
        <v>2.8571428571E-2</v>
      </c>
      <c r="AZ136" s="580">
        <v>2.8571428571E-2</v>
      </c>
      <c r="BA136" s="580">
        <v>2.8571428571E-2</v>
      </c>
      <c r="BB136" s="580">
        <v>2.8571428571E-2</v>
      </c>
      <c r="BC136" s="580">
        <v>2.8571428571E-2</v>
      </c>
      <c r="BD136" s="580">
        <v>2.8571428571E-2</v>
      </c>
      <c r="BE136" s="580">
        <v>2.8571428571E-2</v>
      </c>
      <c r="BF136" s="580">
        <v>0</v>
      </c>
      <c r="BG136" s="580">
        <v>0</v>
      </c>
      <c r="BH136" s="580">
        <v>0</v>
      </c>
      <c r="BI136" s="580">
        <v>0</v>
      </c>
      <c r="BJ136" s="580">
        <v>0</v>
      </c>
      <c r="BK136" s="580">
        <v>0</v>
      </c>
      <c r="BL136" s="580">
        <v>0</v>
      </c>
      <c r="BM136" s="580">
        <v>0</v>
      </c>
      <c r="BN136" s="580">
        <v>0</v>
      </c>
      <c r="BO136" s="580">
        <v>0</v>
      </c>
      <c r="BP136" s="580">
        <v>0</v>
      </c>
      <c r="BQ136" s="580">
        <v>0</v>
      </c>
      <c r="BR136" s="580">
        <v>0</v>
      </c>
      <c r="BS136" s="580">
        <v>0</v>
      </c>
      <c r="BT136" s="580">
        <v>0</v>
      </c>
      <c r="BU136" s="580">
        <v>0</v>
      </c>
      <c r="BV136" s="580">
        <v>0</v>
      </c>
      <c r="BW136" s="580">
        <v>0</v>
      </c>
      <c r="BX136" s="580">
        <v>0</v>
      </c>
      <c r="BY136" s="580">
        <v>0</v>
      </c>
      <c r="BZ136" s="580">
        <v>0</v>
      </c>
      <c r="CA136" s="580">
        <v>0</v>
      </c>
      <c r="CB136" s="580">
        <v>0</v>
      </c>
      <c r="CC136" s="580">
        <v>0</v>
      </c>
    </row>
    <row r="137" spans="6:81">
      <c r="F137" s="49" t="s">
        <v>100</v>
      </c>
      <c r="G137" s="285">
        <f t="shared" si="107"/>
        <v>27142.857142450001</v>
      </c>
      <c r="I137" s="285">
        <f t="shared" si="108"/>
        <v>27142.857142450001</v>
      </c>
      <c r="J137" s="285">
        <f t="shared" si="109"/>
        <v>0</v>
      </c>
      <c r="K137" s="285">
        <f t="shared" si="110"/>
        <v>0</v>
      </c>
      <c r="L137" s="285">
        <f t="shared" si="111"/>
        <v>0</v>
      </c>
      <c r="M137" s="285">
        <f t="shared" si="112"/>
        <v>0</v>
      </c>
      <c r="N137" s="285">
        <f t="shared" si="113"/>
        <v>0</v>
      </c>
      <c r="O137" s="285">
        <f t="shared" si="114"/>
        <v>0</v>
      </c>
      <c r="P137" s="285">
        <f t="shared" si="115"/>
        <v>0</v>
      </c>
      <c r="Q137" s="285">
        <f t="shared" si="116"/>
        <v>0</v>
      </c>
      <c r="R137" s="285">
        <f t="shared" si="117"/>
        <v>0</v>
      </c>
      <c r="S137" s="285">
        <f t="shared" si="118"/>
        <v>0</v>
      </c>
      <c r="T137" s="285">
        <f t="shared" si="119"/>
        <v>0</v>
      </c>
      <c r="U137" s="285">
        <f t="shared" si="120"/>
        <v>0</v>
      </c>
      <c r="V137" s="285">
        <f t="shared" si="121"/>
        <v>0</v>
      </c>
      <c r="W137" s="285">
        <f t="shared" si="122"/>
        <v>0</v>
      </c>
      <c r="X137" s="285">
        <f t="shared" si="123"/>
        <v>0</v>
      </c>
      <c r="Y137" s="285">
        <f t="shared" si="124"/>
        <v>0</v>
      </c>
      <c r="Z137" s="285">
        <f t="shared" si="125"/>
        <v>0</v>
      </c>
      <c r="AA137" s="285">
        <f t="shared" si="126"/>
        <v>0</v>
      </c>
      <c r="AB137" s="285">
        <f t="shared" si="127"/>
        <v>0</v>
      </c>
      <c r="AC137" s="285">
        <f t="shared" si="128"/>
        <v>0</v>
      </c>
      <c r="AD137" s="285">
        <f t="shared" si="129"/>
        <v>0</v>
      </c>
      <c r="AE137" s="285">
        <f t="shared" si="130"/>
        <v>0</v>
      </c>
      <c r="AF137" s="285">
        <f t="shared" si="131"/>
        <v>0</v>
      </c>
      <c r="AG137" s="285">
        <f t="shared" si="132"/>
        <v>0</v>
      </c>
      <c r="AH137" s="285">
        <f t="shared" si="133"/>
        <v>0</v>
      </c>
      <c r="AI137" s="285">
        <f t="shared" si="134"/>
        <v>0</v>
      </c>
      <c r="AJ137" s="285">
        <f t="shared" si="135"/>
        <v>0</v>
      </c>
      <c r="AK137" s="285">
        <f t="shared" si="136"/>
        <v>0</v>
      </c>
      <c r="AL137" s="285">
        <f t="shared" si="137"/>
        <v>0</v>
      </c>
      <c r="AM137" s="285">
        <f t="shared" si="138"/>
        <v>0</v>
      </c>
      <c r="AN137" s="285">
        <f t="shared" si="139"/>
        <v>0</v>
      </c>
      <c r="AO137" s="285">
        <f t="shared" si="140"/>
        <v>0</v>
      </c>
      <c r="AP137" s="285">
        <f t="shared" si="141"/>
        <v>0</v>
      </c>
      <c r="AQ137" s="285">
        <f t="shared" si="142"/>
        <v>0</v>
      </c>
      <c r="AT137" t="s">
        <v>101</v>
      </c>
      <c r="AU137" s="580">
        <v>2.8571428571E-2</v>
      </c>
      <c r="AV137" s="580">
        <v>2.8571428571E-2</v>
      </c>
      <c r="AW137" s="580">
        <v>2.8571428571E-2</v>
      </c>
      <c r="AX137" s="580">
        <v>2.8571428571E-2</v>
      </c>
      <c r="AY137" s="580">
        <v>2.8571428571E-2</v>
      </c>
      <c r="AZ137" s="580">
        <v>2.8571428571E-2</v>
      </c>
      <c r="BA137" s="580">
        <v>2.8571428571E-2</v>
      </c>
      <c r="BB137" s="580">
        <v>2.8571428571E-2</v>
      </c>
      <c r="BC137" s="580">
        <v>2.8571428571E-2</v>
      </c>
      <c r="BD137" s="580">
        <v>2.8571428571E-2</v>
      </c>
      <c r="BE137" s="580">
        <v>2.8571428571E-2</v>
      </c>
      <c r="BF137" s="580">
        <v>2.8571428571E-2</v>
      </c>
      <c r="BG137" s="580">
        <v>0</v>
      </c>
      <c r="BH137" s="580">
        <v>0</v>
      </c>
      <c r="BI137" s="580">
        <v>0</v>
      </c>
      <c r="BJ137" s="580">
        <v>0</v>
      </c>
      <c r="BK137" s="580">
        <v>0</v>
      </c>
      <c r="BL137" s="580">
        <v>0</v>
      </c>
      <c r="BM137" s="580">
        <v>0</v>
      </c>
      <c r="BN137" s="580">
        <v>0</v>
      </c>
      <c r="BO137" s="580">
        <v>0</v>
      </c>
      <c r="BP137" s="580">
        <v>0</v>
      </c>
      <c r="BQ137" s="580">
        <v>0</v>
      </c>
      <c r="BR137" s="580">
        <v>0</v>
      </c>
      <c r="BS137" s="580">
        <v>0</v>
      </c>
      <c r="BT137" s="580">
        <v>0</v>
      </c>
      <c r="BU137" s="580">
        <v>0</v>
      </c>
      <c r="BV137" s="580">
        <v>0</v>
      </c>
      <c r="BW137" s="580">
        <v>0</v>
      </c>
      <c r="BX137" s="580">
        <v>0</v>
      </c>
      <c r="BY137" s="580">
        <v>0</v>
      </c>
      <c r="BZ137" s="580">
        <v>0</v>
      </c>
      <c r="CA137" s="580">
        <v>0</v>
      </c>
      <c r="CB137" s="580">
        <v>0</v>
      </c>
      <c r="CC137" s="580">
        <v>0</v>
      </c>
    </row>
    <row r="138" spans="6:81">
      <c r="F138" s="49" t="s">
        <v>101</v>
      </c>
      <c r="G138" s="285">
        <f t="shared" si="107"/>
        <v>27142.857142450001</v>
      </c>
      <c r="I138" s="285">
        <f t="shared" si="108"/>
        <v>27142.857142450001</v>
      </c>
      <c r="J138" s="285">
        <f t="shared" si="109"/>
        <v>0</v>
      </c>
      <c r="K138" s="285">
        <f t="shared" si="110"/>
        <v>0</v>
      </c>
      <c r="L138" s="285">
        <f t="shared" si="111"/>
        <v>0</v>
      </c>
      <c r="M138" s="285">
        <f t="shared" si="112"/>
        <v>0</v>
      </c>
      <c r="N138" s="285">
        <f t="shared" si="113"/>
        <v>0</v>
      </c>
      <c r="O138" s="285">
        <f t="shared" si="114"/>
        <v>0</v>
      </c>
      <c r="P138" s="285">
        <f t="shared" si="115"/>
        <v>0</v>
      </c>
      <c r="Q138" s="285">
        <f t="shared" si="116"/>
        <v>0</v>
      </c>
      <c r="R138" s="285">
        <f t="shared" si="117"/>
        <v>0</v>
      </c>
      <c r="S138" s="285">
        <f t="shared" si="118"/>
        <v>0</v>
      </c>
      <c r="T138" s="285">
        <f t="shared" si="119"/>
        <v>0</v>
      </c>
      <c r="U138" s="285">
        <f t="shared" si="120"/>
        <v>0</v>
      </c>
      <c r="V138" s="285">
        <f t="shared" si="121"/>
        <v>0</v>
      </c>
      <c r="W138" s="285">
        <f t="shared" si="122"/>
        <v>0</v>
      </c>
      <c r="X138" s="285">
        <f t="shared" si="123"/>
        <v>0</v>
      </c>
      <c r="Y138" s="285">
        <f t="shared" si="124"/>
        <v>0</v>
      </c>
      <c r="Z138" s="285">
        <f t="shared" si="125"/>
        <v>0</v>
      </c>
      <c r="AA138" s="285">
        <f t="shared" si="126"/>
        <v>0</v>
      </c>
      <c r="AB138" s="285">
        <f t="shared" si="127"/>
        <v>0</v>
      </c>
      <c r="AC138" s="285">
        <f t="shared" si="128"/>
        <v>0</v>
      </c>
      <c r="AD138" s="285">
        <f t="shared" si="129"/>
        <v>0</v>
      </c>
      <c r="AE138" s="285">
        <f t="shared" si="130"/>
        <v>0</v>
      </c>
      <c r="AF138" s="285">
        <f t="shared" si="131"/>
        <v>0</v>
      </c>
      <c r="AG138" s="285">
        <f t="shared" si="132"/>
        <v>0</v>
      </c>
      <c r="AH138" s="285">
        <f t="shared" si="133"/>
        <v>0</v>
      </c>
      <c r="AI138" s="285">
        <f t="shared" si="134"/>
        <v>0</v>
      </c>
      <c r="AJ138" s="285">
        <f t="shared" si="135"/>
        <v>0</v>
      </c>
      <c r="AK138" s="285">
        <f t="shared" si="136"/>
        <v>0</v>
      </c>
      <c r="AL138" s="285">
        <f t="shared" si="137"/>
        <v>0</v>
      </c>
      <c r="AM138" s="285">
        <f t="shared" si="138"/>
        <v>0</v>
      </c>
      <c r="AN138" s="285">
        <f t="shared" si="139"/>
        <v>0</v>
      </c>
      <c r="AO138" s="285">
        <f t="shared" si="140"/>
        <v>0</v>
      </c>
      <c r="AP138" s="285">
        <f t="shared" si="141"/>
        <v>0</v>
      </c>
      <c r="AQ138" s="285">
        <f t="shared" si="142"/>
        <v>0</v>
      </c>
      <c r="AT138" t="s">
        <v>102</v>
      </c>
      <c r="AU138" s="580">
        <v>2.8571428571E-2</v>
      </c>
      <c r="AV138" s="580">
        <v>2.8571428571E-2</v>
      </c>
      <c r="AW138" s="580">
        <v>2.8571428571E-2</v>
      </c>
      <c r="AX138" s="580">
        <v>2.8571428571E-2</v>
      </c>
      <c r="AY138" s="580">
        <v>2.8571428571E-2</v>
      </c>
      <c r="AZ138" s="580">
        <v>2.8571428571E-2</v>
      </c>
      <c r="BA138" s="580">
        <v>2.8571428571E-2</v>
      </c>
      <c r="BB138" s="580">
        <v>2.8571428571E-2</v>
      </c>
      <c r="BC138" s="580">
        <v>2.8571428571E-2</v>
      </c>
      <c r="BD138" s="580">
        <v>2.8571428571E-2</v>
      </c>
      <c r="BE138" s="580">
        <v>2.8571428571E-2</v>
      </c>
      <c r="BF138" s="580">
        <v>2.8571428571E-2</v>
      </c>
      <c r="BG138" s="580">
        <v>2.8571428571E-2</v>
      </c>
      <c r="BH138" s="580">
        <v>0</v>
      </c>
      <c r="BI138" s="580">
        <v>0</v>
      </c>
      <c r="BJ138" s="580">
        <v>0</v>
      </c>
      <c r="BK138" s="580">
        <v>0</v>
      </c>
      <c r="BL138" s="580">
        <v>0</v>
      </c>
      <c r="BM138" s="580">
        <v>0</v>
      </c>
      <c r="BN138" s="580">
        <v>0</v>
      </c>
      <c r="BO138" s="580">
        <v>0</v>
      </c>
      <c r="BP138" s="580">
        <v>0</v>
      </c>
      <c r="BQ138" s="580">
        <v>0</v>
      </c>
      <c r="BR138" s="580">
        <v>0</v>
      </c>
      <c r="BS138" s="580">
        <v>0</v>
      </c>
      <c r="BT138" s="580">
        <v>0</v>
      </c>
      <c r="BU138" s="580">
        <v>0</v>
      </c>
      <c r="BV138" s="580">
        <v>0</v>
      </c>
      <c r="BW138" s="580">
        <v>0</v>
      </c>
      <c r="BX138" s="580">
        <v>0</v>
      </c>
      <c r="BY138" s="580">
        <v>0</v>
      </c>
      <c r="BZ138" s="580">
        <v>0</v>
      </c>
      <c r="CA138" s="580">
        <v>0</v>
      </c>
      <c r="CB138" s="580">
        <v>0</v>
      </c>
      <c r="CC138" s="580">
        <v>0</v>
      </c>
    </row>
    <row r="139" spans="6:81">
      <c r="F139" s="49" t="s">
        <v>102</v>
      </c>
      <c r="G139" s="285">
        <f t="shared" si="107"/>
        <v>27142.857142450001</v>
      </c>
      <c r="I139" s="285">
        <f t="shared" si="108"/>
        <v>27142.857142450001</v>
      </c>
      <c r="J139" s="285">
        <f t="shared" si="109"/>
        <v>0</v>
      </c>
      <c r="K139" s="285">
        <f t="shared" si="110"/>
        <v>0</v>
      </c>
      <c r="L139" s="285">
        <f t="shared" si="111"/>
        <v>0</v>
      </c>
      <c r="M139" s="285">
        <f t="shared" si="112"/>
        <v>0</v>
      </c>
      <c r="N139" s="285">
        <f t="shared" si="113"/>
        <v>0</v>
      </c>
      <c r="O139" s="285">
        <f t="shared" si="114"/>
        <v>0</v>
      </c>
      <c r="P139" s="285">
        <f t="shared" si="115"/>
        <v>0</v>
      </c>
      <c r="Q139" s="285">
        <f t="shared" si="116"/>
        <v>0</v>
      </c>
      <c r="R139" s="285">
        <f t="shared" si="117"/>
        <v>0</v>
      </c>
      <c r="S139" s="285">
        <f t="shared" si="118"/>
        <v>0</v>
      </c>
      <c r="T139" s="285">
        <f t="shared" si="119"/>
        <v>0</v>
      </c>
      <c r="U139" s="285">
        <f t="shared" si="120"/>
        <v>0</v>
      </c>
      <c r="V139" s="285">
        <f t="shared" si="121"/>
        <v>0</v>
      </c>
      <c r="W139" s="285">
        <f t="shared" si="122"/>
        <v>0</v>
      </c>
      <c r="X139" s="285">
        <f t="shared" si="123"/>
        <v>0</v>
      </c>
      <c r="Y139" s="285">
        <f t="shared" si="124"/>
        <v>0</v>
      </c>
      <c r="Z139" s="285">
        <f t="shared" si="125"/>
        <v>0</v>
      </c>
      <c r="AA139" s="285">
        <f t="shared" si="126"/>
        <v>0</v>
      </c>
      <c r="AB139" s="285">
        <f t="shared" si="127"/>
        <v>0</v>
      </c>
      <c r="AC139" s="285">
        <f t="shared" si="128"/>
        <v>0</v>
      </c>
      <c r="AD139" s="285">
        <f t="shared" si="129"/>
        <v>0</v>
      </c>
      <c r="AE139" s="285">
        <f t="shared" si="130"/>
        <v>0</v>
      </c>
      <c r="AF139" s="285">
        <f t="shared" si="131"/>
        <v>0</v>
      </c>
      <c r="AG139" s="285">
        <f t="shared" si="132"/>
        <v>0</v>
      </c>
      <c r="AH139" s="285">
        <f t="shared" si="133"/>
        <v>0</v>
      </c>
      <c r="AI139" s="285">
        <f t="shared" si="134"/>
        <v>0</v>
      </c>
      <c r="AJ139" s="285">
        <f t="shared" si="135"/>
        <v>0</v>
      </c>
      <c r="AK139" s="285">
        <f t="shared" si="136"/>
        <v>0</v>
      </c>
      <c r="AL139" s="285">
        <f t="shared" si="137"/>
        <v>0</v>
      </c>
      <c r="AM139" s="285">
        <f t="shared" si="138"/>
        <v>0</v>
      </c>
      <c r="AN139" s="285">
        <f t="shared" si="139"/>
        <v>0</v>
      </c>
      <c r="AO139" s="285">
        <f t="shared" si="140"/>
        <v>0</v>
      </c>
      <c r="AP139" s="285">
        <f t="shared" si="141"/>
        <v>0</v>
      </c>
      <c r="AQ139" s="285">
        <f t="shared" si="142"/>
        <v>0</v>
      </c>
      <c r="AT139" t="s">
        <v>103</v>
      </c>
      <c r="AU139" s="580">
        <v>2.8571428571E-2</v>
      </c>
      <c r="AV139" s="580">
        <v>2.8571428571E-2</v>
      </c>
      <c r="AW139" s="580">
        <v>2.8571428571E-2</v>
      </c>
      <c r="AX139" s="580">
        <v>2.8571428571E-2</v>
      </c>
      <c r="AY139" s="580">
        <v>2.8571428571E-2</v>
      </c>
      <c r="AZ139" s="580">
        <v>2.8571428571E-2</v>
      </c>
      <c r="BA139" s="580">
        <v>2.8571428571E-2</v>
      </c>
      <c r="BB139" s="580">
        <v>2.8571428571E-2</v>
      </c>
      <c r="BC139" s="580">
        <v>2.8571428571E-2</v>
      </c>
      <c r="BD139" s="580">
        <v>2.8571428571E-2</v>
      </c>
      <c r="BE139" s="580">
        <v>2.8571428571E-2</v>
      </c>
      <c r="BF139" s="580">
        <v>2.8571428571E-2</v>
      </c>
      <c r="BG139" s="580">
        <v>2.8571428571E-2</v>
      </c>
      <c r="BH139" s="580">
        <v>2.8571428571E-2</v>
      </c>
      <c r="BI139" s="580">
        <v>0</v>
      </c>
      <c r="BJ139" s="580">
        <v>0</v>
      </c>
      <c r="BK139" s="580">
        <v>0</v>
      </c>
      <c r="BL139" s="580">
        <v>0</v>
      </c>
      <c r="BM139" s="580">
        <v>0</v>
      </c>
      <c r="BN139" s="580">
        <v>0</v>
      </c>
      <c r="BO139" s="580">
        <v>0</v>
      </c>
      <c r="BP139" s="580">
        <v>0</v>
      </c>
      <c r="BQ139" s="580">
        <v>0</v>
      </c>
      <c r="BR139" s="580">
        <v>0</v>
      </c>
      <c r="BS139" s="580">
        <v>0</v>
      </c>
      <c r="BT139" s="580">
        <v>0</v>
      </c>
      <c r="BU139" s="580">
        <v>0</v>
      </c>
      <c r="BV139" s="580">
        <v>0</v>
      </c>
      <c r="BW139" s="580">
        <v>0</v>
      </c>
      <c r="BX139" s="580">
        <v>0</v>
      </c>
      <c r="BY139" s="580">
        <v>0</v>
      </c>
      <c r="BZ139" s="580">
        <v>0</v>
      </c>
      <c r="CA139" s="580">
        <v>0</v>
      </c>
      <c r="CB139" s="580">
        <v>0</v>
      </c>
      <c r="CC139" s="580">
        <v>0</v>
      </c>
    </row>
    <row r="140" spans="6:81">
      <c r="F140" s="49" t="s">
        <v>103</v>
      </c>
      <c r="G140" s="285">
        <f t="shared" si="107"/>
        <v>27142.857142450001</v>
      </c>
      <c r="I140" s="285">
        <f t="shared" si="108"/>
        <v>27142.857142450001</v>
      </c>
      <c r="J140" s="285">
        <f t="shared" si="109"/>
        <v>0</v>
      </c>
      <c r="K140" s="285">
        <f t="shared" si="110"/>
        <v>0</v>
      </c>
      <c r="L140" s="285">
        <f t="shared" si="111"/>
        <v>0</v>
      </c>
      <c r="M140" s="285">
        <f t="shared" si="112"/>
        <v>0</v>
      </c>
      <c r="N140" s="285">
        <f t="shared" si="113"/>
        <v>0</v>
      </c>
      <c r="O140" s="285">
        <f t="shared" si="114"/>
        <v>0</v>
      </c>
      <c r="P140" s="285">
        <f t="shared" si="115"/>
        <v>0</v>
      </c>
      <c r="Q140" s="285">
        <f t="shared" si="116"/>
        <v>0</v>
      </c>
      <c r="R140" s="285">
        <f t="shared" si="117"/>
        <v>0</v>
      </c>
      <c r="S140" s="285">
        <f t="shared" si="118"/>
        <v>0</v>
      </c>
      <c r="T140" s="285">
        <f t="shared" si="119"/>
        <v>0</v>
      </c>
      <c r="U140" s="285">
        <f t="shared" si="120"/>
        <v>0</v>
      </c>
      <c r="V140" s="285">
        <f t="shared" si="121"/>
        <v>0</v>
      </c>
      <c r="W140" s="285">
        <f t="shared" si="122"/>
        <v>0</v>
      </c>
      <c r="X140" s="285">
        <f t="shared" si="123"/>
        <v>0</v>
      </c>
      <c r="Y140" s="285">
        <f t="shared" si="124"/>
        <v>0</v>
      </c>
      <c r="Z140" s="285">
        <f t="shared" si="125"/>
        <v>0</v>
      </c>
      <c r="AA140" s="285">
        <f t="shared" si="126"/>
        <v>0</v>
      </c>
      <c r="AB140" s="285">
        <f t="shared" si="127"/>
        <v>0</v>
      </c>
      <c r="AC140" s="285">
        <f t="shared" si="128"/>
        <v>0</v>
      </c>
      <c r="AD140" s="285">
        <f t="shared" si="129"/>
        <v>0</v>
      </c>
      <c r="AE140" s="285">
        <f t="shared" si="130"/>
        <v>0</v>
      </c>
      <c r="AF140" s="285">
        <f t="shared" si="131"/>
        <v>0</v>
      </c>
      <c r="AG140" s="285">
        <f t="shared" si="132"/>
        <v>0</v>
      </c>
      <c r="AH140" s="285">
        <f t="shared" si="133"/>
        <v>0</v>
      </c>
      <c r="AI140" s="285">
        <f t="shared" si="134"/>
        <v>0</v>
      </c>
      <c r="AJ140" s="285">
        <f t="shared" si="135"/>
        <v>0</v>
      </c>
      <c r="AK140" s="285">
        <f t="shared" si="136"/>
        <v>0</v>
      </c>
      <c r="AL140" s="285">
        <f t="shared" si="137"/>
        <v>0</v>
      </c>
      <c r="AM140" s="285">
        <f t="shared" si="138"/>
        <v>0</v>
      </c>
      <c r="AN140" s="285">
        <f t="shared" si="139"/>
        <v>0</v>
      </c>
      <c r="AO140" s="285">
        <f t="shared" si="140"/>
        <v>0</v>
      </c>
      <c r="AP140" s="285">
        <f t="shared" si="141"/>
        <v>0</v>
      </c>
      <c r="AQ140" s="285">
        <f t="shared" si="142"/>
        <v>0</v>
      </c>
      <c r="AT140" t="s">
        <v>104</v>
      </c>
      <c r="AU140" s="580">
        <v>2.8571428571E-2</v>
      </c>
      <c r="AV140" s="580">
        <v>2.8571428571E-2</v>
      </c>
      <c r="AW140" s="580">
        <v>2.8571428571E-2</v>
      </c>
      <c r="AX140" s="580">
        <v>2.8571428571E-2</v>
      </c>
      <c r="AY140" s="580">
        <v>2.8571428571E-2</v>
      </c>
      <c r="AZ140" s="580">
        <v>2.8571428571E-2</v>
      </c>
      <c r="BA140" s="580">
        <v>2.8571428571E-2</v>
      </c>
      <c r="BB140" s="580">
        <v>2.8571428571E-2</v>
      </c>
      <c r="BC140" s="580">
        <v>2.8571428571E-2</v>
      </c>
      <c r="BD140" s="580">
        <v>2.8571428571E-2</v>
      </c>
      <c r="BE140" s="580">
        <v>2.8571428571E-2</v>
      </c>
      <c r="BF140" s="580">
        <v>2.8571428571E-2</v>
      </c>
      <c r="BG140" s="580">
        <v>2.8571428571E-2</v>
      </c>
      <c r="BH140" s="580">
        <v>2.8571428571E-2</v>
      </c>
      <c r="BI140" s="580">
        <v>2.8571428571E-2</v>
      </c>
      <c r="BJ140" s="580">
        <v>0</v>
      </c>
      <c r="BK140" s="580">
        <v>0</v>
      </c>
      <c r="BL140" s="580">
        <v>0</v>
      </c>
      <c r="BM140" s="580">
        <v>0</v>
      </c>
      <c r="BN140" s="580">
        <v>0</v>
      </c>
      <c r="BO140" s="580">
        <v>0</v>
      </c>
      <c r="BP140" s="580">
        <v>0</v>
      </c>
      <c r="BQ140" s="580">
        <v>0</v>
      </c>
      <c r="BR140" s="580">
        <v>0</v>
      </c>
      <c r="BS140" s="580">
        <v>0</v>
      </c>
      <c r="BT140" s="580">
        <v>0</v>
      </c>
      <c r="BU140" s="580">
        <v>0</v>
      </c>
      <c r="BV140" s="580">
        <v>0</v>
      </c>
      <c r="BW140" s="580">
        <v>0</v>
      </c>
      <c r="BX140" s="580">
        <v>0</v>
      </c>
      <c r="BY140" s="580">
        <v>0</v>
      </c>
      <c r="BZ140" s="580">
        <v>0</v>
      </c>
      <c r="CA140" s="580">
        <v>0</v>
      </c>
      <c r="CB140" s="580">
        <v>0</v>
      </c>
      <c r="CC140" s="580">
        <v>0</v>
      </c>
    </row>
    <row r="141" spans="6:81">
      <c r="F141" s="49" t="s">
        <v>104</v>
      </c>
      <c r="G141" s="285">
        <f t="shared" si="107"/>
        <v>27142.857142450001</v>
      </c>
      <c r="I141" s="285">
        <f t="shared" si="108"/>
        <v>27142.857142450001</v>
      </c>
      <c r="J141" s="285">
        <f t="shared" si="109"/>
        <v>0</v>
      </c>
      <c r="K141" s="285">
        <f t="shared" si="110"/>
        <v>0</v>
      </c>
      <c r="L141" s="285">
        <f t="shared" si="111"/>
        <v>0</v>
      </c>
      <c r="M141" s="285">
        <f t="shared" si="112"/>
        <v>0</v>
      </c>
      <c r="N141" s="285">
        <f t="shared" si="113"/>
        <v>0</v>
      </c>
      <c r="O141" s="285">
        <f t="shared" si="114"/>
        <v>0</v>
      </c>
      <c r="P141" s="285">
        <f t="shared" si="115"/>
        <v>0</v>
      </c>
      <c r="Q141" s="285">
        <f t="shared" si="116"/>
        <v>0</v>
      </c>
      <c r="R141" s="285">
        <f t="shared" si="117"/>
        <v>0</v>
      </c>
      <c r="S141" s="285">
        <f t="shared" si="118"/>
        <v>0</v>
      </c>
      <c r="T141" s="285">
        <f t="shared" si="119"/>
        <v>0</v>
      </c>
      <c r="U141" s="285">
        <f t="shared" si="120"/>
        <v>0</v>
      </c>
      <c r="V141" s="285">
        <f t="shared" si="121"/>
        <v>0</v>
      </c>
      <c r="W141" s="285">
        <f t="shared" si="122"/>
        <v>0</v>
      </c>
      <c r="X141" s="285">
        <f t="shared" si="123"/>
        <v>0</v>
      </c>
      <c r="Y141" s="285">
        <f t="shared" si="124"/>
        <v>0</v>
      </c>
      <c r="Z141" s="285">
        <f t="shared" si="125"/>
        <v>0</v>
      </c>
      <c r="AA141" s="285">
        <f t="shared" si="126"/>
        <v>0</v>
      </c>
      <c r="AB141" s="285">
        <f t="shared" si="127"/>
        <v>0</v>
      </c>
      <c r="AC141" s="285">
        <f t="shared" si="128"/>
        <v>0</v>
      </c>
      <c r="AD141" s="285">
        <f t="shared" si="129"/>
        <v>0</v>
      </c>
      <c r="AE141" s="285">
        <f t="shared" si="130"/>
        <v>0</v>
      </c>
      <c r="AF141" s="285">
        <f t="shared" si="131"/>
        <v>0</v>
      </c>
      <c r="AG141" s="285">
        <f t="shared" si="132"/>
        <v>0</v>
      </c>
      <c r="AH141" s="285">
        <f t="shared" si="133"/>
        <v>0</v>
      </c>
      <c r="AI141" s="285">
        <f t="shared" si="134"/>
        <v>0</v>
      </c>
      <c r="AJ141" s="285">
        <f t="shared" si="135"/>
        <v>0</v>
      </c>
      <c r="AK141" s="285">
        <f t="shared" si="136"/>
        <v>0</v>
      </c>
      <c r="AL141" s="285">
        <f t="shared" si="137"/>
        <v>0</v>
      </c>
      <c r="AM141" s="285">
        <f t="shared" si="138"/>
        <v>0</v>
      </c>
      <c r="AN141" s="285">
        <f t="shared" si="139"/>
        <v>0</v>
      </c>
      <c r="AO141" s="285">
        <f t="shared" si="140"/>
        <v>0</v>
      </c>
      <c r="AP141" s="285">
        <f t="shared" si="141"/>
        <v>0</v>
      </c>
      <c r="AQ141" s="285">
        <f t="shared" si="142"/>
        <v>0</v>
      </c>
      <c r="AT141" t="s">
        <v>105</v>
      </c>
      <c r="AU141" s="580">
        <v>2.8571428571E-2</v>
      </c>
      <c r="AV141" s="580">
        <v>2.8571428571E-2</v>
      </c>
      <c r="AW141" s="580">
        <v>2.8571428571E-2</v>
      </c>
      <c r="AX141" s="580">
        <v>2.8571428571E-2</v>
      </c>
      <c r="AY141" s="580">
        <v>2.8571428571E-2</v>
      </c>
      <c r="AZ141" s="580">
        <v>2.8571428571E-2</v>
      </c>
      <c r="BA141" s="580">
        <v>2.8571428571E-2</v>
      </c>
      <c r="BB141" s="580">
        <v>2.8571428571E-2</v>
      </c>
      <c r="BC141" s="580">
        <v>2.8571428571E-2</v>
      </c>
      <c r="BD141" s="580">
        <v>2.8571428571E-2</v>
      </c>
      <c r="BE141" s="580">
        <v>2.8571428571E-2</v>
      </c>
      <c r="BF141" s="580">
        <v>2.8571428571E-2</v>
      </c>
      <c r="BG141" s="580">
        <v>2.8571428571E-2</v>
      </c>
      <c r="BH141" s="580">
        <v>2.8571428571E-2</v>
      </c>
      <c r="BI141" s="580">
        <v>2.8571428571E-2</v>
      </c>
      <c r="BJ141" s="580">
        <v>2.8571428571E-2</v>
      </c>
      <c r="BK141" s="580">
        <v>0</v>
      </c>
      <c r="BL141" s="580">
        <v>0</v>
      </c>
      <c r="BM141" s="580">
        <v>0</v>
      </c>
      <c r="BN141" s="580">
        <v>0</v>
      </c>
      <c r="BO141" s="580">
        <v>0</v>
      </c>
      <c r="BP141" s="580">
        <v>0</v>
      </c>
      <c r="BQ141" s="580">
        <v>0</v>
      </c>
      <c r="BR141" s="580">
        <v>0</v>
      </c>
      <c r="BS141" s="580">
        <v>0</v>
      </c>
      <c r="BT141" s="580">
        <v>0</v>
      </c>
      <c r="BU141" s="580">
        <v>0</v>
      </c>
      <c r="BV141" s="580">
        <v>0</v>
      </c>
      <c r="BW141" s="580">
        <v>0</v>
      </c>
      <c r="BX141" s="580">
        <v>0</v>
      </c>
      <c r="BY141" s="580">
        <v>0</v>
      </c>
      <c r="BZ141" s="580">
        <v>0</v>
      </c>
      <c r="CA141" s="580">
        <v>0</v>
      </c>
      <c r="CB141" s="580">
        <v>0</v>
      </c>
      <c r="CC141" s="580">
        <v>0</v>
      </c>
    </row>
    <row r="142" spans="6:81">
      <c r="F142" s="49" t="s">
        <v>105</v>
      </c>
      <c r="G142" s="285">
        <f t="shared" si="107"/>
        <v>27142.857142450001</v>
      </c>
      <c r="I142" s="285">
        <f t="shared" si="108"/>
        <v>27142.857142450001</v>
      </c>
      <c r="J142" s="285">
        <f t="shared" si="109"/>
        <v>0</v>
      </c>
      <c r="K142" s="285">
        <f t="shared" si="110"/>
        <v>0</v>
      </c>
      <c r="L142" s="285">
        <f t="shared" si="111"/>
        <v>0</v>
      </c>
      <c r="M142" s="285">
        <f t="shared" si="112"/>
        <v>0</v>
      </c>
      <c r="N142" s="285">
        <f t="shared" si="113"/>
        <v>0</v>
      </c>
      <c r="O142" s="285">
        <f t="shared" si="114"/>
        <v>0</v>
      </c>
      <c r="P142" s="285">
        <f t="shared" si="115"/>
        <v>0</v>
      </c>
      <c r="Q142" s="285">
        <f t="shared" si="116"/>
        <v>0</v>
      </c>
      <c r="R142" s="285">
        <f t="shared" si="117"/>
        <v>0</v>
      </c>
      <c r="S142" s="285">
        <f t="shared" si="118"/>
        <v>0</v>
      </c>
      <c r="T142" s="285">
        <f t="shared" si="119"/>
        <v>0</v>
      </c>
      <c r="U142" s="285">
        <f t="shared" si="120"/>
        <v>0</v>
      </c>
      <c r="V142" s="285">
        <f t="shared" si="121"/>
        <v>0</v>
      </c>
      <c r="W142" s="285">
        <f t="shared" si="122"/>
        <v>0</v>
      </c>
      <c r="X142" s="285">
        <f t="shared" si="123"/>
        <v>0</v>
      </c>
      <c r="Y142" s="285">
        <f t="shared" si="124"/>
        <v>0</v>
      </c>
      <c r="Z142" s="285">
        <f t="shared" si="125"/>
        <v>0</v>
      </c>
      <c r="AA142" s="285">
        <f t="shared" si="126"/>
        <v>0</v>
      </c>
      <c r="AB142" s="285">
        <f t="shared" si="127"/>
        <v>0</v>
      </c>
      <c r="AC142" s="285">
        <f t="shared" si="128"/>
        <v>0</v>
      </c>
      <c r="AD142" s="285">
        <f t="shared" si="129"/>
        <v>0</v>
      </c>
      <c r="AE142" s="285">
        <f t="shared" si="130"/>
        <v>0</v>
      </c>
      <c r="AF142" s="285">
        <f t="shared" si="131"/>
        <v>0</v>
      </c>
      <c r="AG142" s="285">
        <f t="shared" si="132"/>
        <v>0</v>
      </c>
      <c r="AH142" s="285">
        <f t="shared" si="133"/>
        <v>0</v>
      </c>
      <c r="AI142" s="285">
        <f t="shared" si="134"/>
        <v>0</v>
      </c>
      <c r="AJ142" s="285">
        <f t="shared" si="135"/>
        <v>0</v>
      </c>
      <c r="AK142" s="285">
        <f t="shared" si="136"/>
        <v>0</v>
      </c>
      <c r="AL142" s="285">
        <f t="shared" si="137"/>
        <v>0</v>
      </c>
      <c r="AM142" s="285">
        <f t="shared" si="138"/>
        <v>0</v>
      </c>
      <c r="AN142" s="285">
        <f t="shared" si="139"/>
        <v>0</v>
      </c>
      <c r="AO142" s="285">
        <f t="shared" si="140"/>
        <v>0</v>
      </c>
      <c r="AP142" s="285">
        <f t="shared" si="141"/>
        <v>0</v>
      </c>
      <c r="AQ142" s="285">
        <f t="shared" si="142"/>
        <v>0</v>
      </c>
      <c r="AT142" t="s">
        <v>106</v>
      </c>
      <c r="AU142" s="580">
        <v>2.8571428571E-2</v>
      </c>
      <c r="AV142" s="580">
        <v>2.8571428571E-2</v>
      </c>
      <c r="AW142" s="580">
        <v>2.8571428571E-2</v>
      </c>
      <c r="AX142" s="580">
        <v>2.8571428571E-2</v>
      </c>
      <c r="AY142" s="580">
        <v>2.8571428571E-2</v>
      </c>
      <c r="AZ142" s="580">
        <v>2.8571428571E-2</v>
      </c>
      <c r="BA142" s="580">
        <v>2.8571428571E-2</v>
      </c>
      <c r="BB142" s="580">
        <v>2.8571428571E-2</v>
      </c>
      <c r="BC142" s="580">
        <v>2.8571428571E-2</v>
      </c>
      <c r="BD142" s="580">
        <v>2.8571428571E-2</v>
      </c>
      <c r="BE142" s="580">
        <v>2.8571428571E-2</v>
      </c>
      <c r="BF142" s="580">
        <v>2.8571428571E-2</v>
      </c>
      <c r="BG142" s="580">
        <v>2.8571428571E-2</v>
      </c>
      <c r="BH142" s="580">
        <v>2.8571428571E-2</v>
      </c>
      <c r="BI142" s="580">
        <v>2.8571428571E-2</v>
      </c>
      <c r="BJ142" s="580">
        <v>2.8571428571E-2</v>
      </c>
      <c r="BK142" s="580">
        <v>2.8571428571E-2</v>
      </c>
      <c r="BL142" s="580">
        <v>0</v>
      </c>
      <c r="BM142" s="580">
        <v>0</v>
      </c>
      <c r="BN142" s="580">
        <v>0</v>
      </c>
      <c r="BO142" s="580">
        <v>0</v>
      </c>
      <c r="BP142" s="580">
        <v>0</v>
      </c>
      <c r="BQ142" s="580">
        <v>0</v>
      </c>
      <c r="BR142" s="580">
        <v>0</v>
      </c>
      <c r="BS142" s="580">
        <v>0</v>
      </c>
      <c r="BT142" s="580">
        <v>0</v>
      </c>
      <c r="BU142" s="580">
        <v>0</v>
      </c>
      <c r="BV142" s="580">
        <v>0</v>
      </c>
      <c r="BW142" s="580">
        <v>0</v>
      </c>
      <c r="BX142" s="580">
        <v>0</v>
      </c>
      <c r="BY142" s="580">
        <v>0</v>
      </c>
      <c r="BZ142" s="580">
        <v>0</v>
      </c>
      <c r="CA142" s="580">
        <v>0</v>
      </c>
      <c r="CB142" s="580">
        <v>0</v>
      </c>
      <c r="CC142" s="580">
        <v>0</v>
      </c>
    </row>
    <row r="143" spans="6:81">
      <c r="F143" s="49" t="s">
        <v>106</v>
      </c>
      <c r="G143" s="285">
        <f t="shared" si="107"/>
        <v>27142.857142450001</v>
      </c>
      <c r="I143" s="285">
        <f t="shared" si="108"/>
        <v>27142.857142450001</v>
      </c>
      <c r="J143" s="285">
        <f t="shared" si="109"/>
        <v>0</v>
      </c>
      <c r="K143" s="285">
        <f t="shared" si="110"/>
        <v>0</v>
      </c>
      <c r="L143" s="285">
        <f t="shared" si="111"/>
        <v>0</v>
      </c>
      <c r="M143" s="285">
        <f t="shared" si="112"/>
        <v>0</v>
      </c>
      <c r="N143" s="285">
        <f t="shared" si="113"/>
        <v>0</v>
      </c>
      <c r="O143" s="285">
        <f t="shared" si="114"/>
        <v>0</v>
      </c>
      <c r="P143" s="285">
        <f t="shared" si="115"/>
        <v>0</v>
      </c>
      <c r="Q143" s="285">
        <f t="shared" si="116"/>
        <v>0</v>
      </c>
      <c r="R143" s="285">
        <f t="shared" si="117"/>
        <v>0</v>
      </c>
      <c r="S143" s="285">
        <f t="shared" si="118"/>
        <v>0</v>
      </c>
      <c r="T143" s="285">
        <f t="shared" si="119"/>
        <v>0</v>
      </c>
      <c r="U143" s="285">
        <f t="shared" si="120"/>
        <v>0</v>
      </c>
      <c r="V143" s="285">
        <f t="shared" si="121"/>
        <v>0</v>
      </c>
      <c r="W143" s="285">
        <f t="shared" si="122"/>
        <v>0</v>
      </c>
      <c r="X143" s="285">
        <f t="shared" si="123"/>
        <v>0</v>
      </c>
      <c r="Y143" s="285">
        <f t="shared" si="124"/>
        <v>0</v>
      </c>
      <c r="Z143" s="285">
        <f t="shared" si="125"/>
        <v>0</v>
      </c>
      <c r="AA143" s="285">
        <f t="shared" si="126"/>
        <v>0</v>
      </c>
      <c r="AB143" s="285">
        <f t="shared" si="127"/>
        <v>0</v>
      </c>
      <c r="AC143" s="285">
        <f t="shared" si="128"/>
        <v>0</v>
      </c>
      <c r="AD143" s="285">
        <f t="shared" si="129"/>
        <v>0</v>
      </c>
      <c r="AE143" s="285">
        <f t="shared" si="130"/>
        <v>0</v>
      </c>
      <c r="AF143" s="285">
        <f t="shared" si="131"/>
        <v>0</v>
      </c>
      <c r="AG143" s="285">
        <f t="shared" si="132"/>
        <v>0</v>
      </c>
      <c r="AH143" s="285">
        <f t="shared" si="133"/>
        <v>0</v>
      </c>
      <c r="AI143" s="285">
        <f t="shared" si="134"/>
        <v>0</v>
      </c>
      <c r="AJ143" s="285">
        <f t="shared" si="135"/>
        <v>0</v>
      </c>
      <c r="AK143" s="285">
        <f t="shared" si="136"/>
        <v>0</v>
      </c>
      <c r="AL143" s="285">
        <f t="shared" si="137"/>
        <v>0</v>
      </c>
      <c r="AM143" s="285">
        <f t="shared" si="138"/>
        <v>0</v>
      </c>
      <c r="AN143" s="285">
        <f t="shared" si="139"/>
        <v>0</v>
      </c>
      <c r="AO143" s="285">
        <f t="shared" si="140"/>
        <v>0</v>
      </c>
      <c r="AP143" s="285">
        <f t="shared" si="141"/>
        <v>0</v>
      </c>
      <c r="AQ143" s="285">
        <f t="shared" si="142"/>
        <v>0</v>
      </c>
      <c r="AT143" t="s">
        <v>107</v>
      </c>
      <c r="AU143" s="580">
        <v>2.8571428571E-2</v>
      </c>
      <c r="AV143" s="580">
        <v>2.8571428571E-2</v>
      </c>
      <c r="AW143" s="580">
        <v>2.8571428571E-2</v>
      </c>
      <c r="AX143" s="580">
        <v>2.8571428571E-2</v>
      </c>
      <c r="AY143" s="580">
        <v>2.8571428571E-2</v>
      </c>
      <c r="AZ143" s="580">
        <v>2.8571428571E-2</v>
      </c>
      <c r="BA143" s="580">
        <v>2.8571428571E-2</v>
      </c>
      <c r="BB143" s="580">
        <v>2.8571428571E-2</v>
      </c>
      <c r="BC143" s="580">
        <v>2.8571428571E-2</v>
      </c>
      <c r="BD143" s="580">
        <v>2.8571428571E-2</v>
      </c>
      <c r="BE143" s="580">
        <v>2.8571428571E-2</v>
      </c>
      <c r="BF143" s="580">
        <v>2.8571428571E-2</v>
      </c>
      <c r="BG143" s="580">
        <v>2.8571428571E-2</v>
      </c>
      <c r="BH143" s="580">
        <v>2.8571428571E-2</v>
      </c>
      <c r="BI143" s="580">
        <v>2.8571428571E-2</v>
      </c>
      <c r="BJ143" s="580">
        <v>2.8571428571E-2</v>
      </c>
      <c r="BK143" s="580">
        <v>2.8571428571E-2</v>
      </c>
      <c r="BL143" s="580">
        <v>2.8571428571E-2</v>
      </c>
      <c r="BM143" s="580">
        <v>0</v>
      </c>
      <c r="BN143" s="580">
        <v>0</v>
      </c>
      <c r="BO143" s="580">
        <v>0</v>
      </c>
      <c r="BP143" s="580">
        <v>0</v>
      </c>
      <c r="BQ143" s="580">
        <v>0</v>
      </c>
      <c r="BR143" s="580">
        <v>0</v>
      </c>
      <c r="BS143" s="580">
        <v>0</v>
      </c>
      <c r="BT143" s="580">
        <v>0</v>
      </c>
      <c r="BU143" s="580">
        <v>0</v>
      </c>
      <c r="BV143" s="580">
        <v>0</v>
      </c>
      <c r="BW143" s="580">
        <v>0</v>
      </c>
      <c r="BX143" s="580">
        <v>0</v>
      </c>
      <c r="BY143" s="580">
        <v>0</v>
      </c>
      <c r="BZ143" s="580">
        <v>0</v>
      </c>
      <c r="CA143" s="580">
        <v>0</v>
      </c>
      <c r="CB143" s="580">
        <v>0</v>
      </c>
      <c r="CC143" s="580">
        <v>0</v>
      </c>
    </row>
    <row r="144" spans="6:81">
      <c r="F144" s="49" t="s">
        <v>107</v>
      </c>
      <c r="G144" s="285">
        <f t="shared" si="107"/>
        <v>27142.857142450001</v>
      </c>
      <c r="I144" s="285">
        <f t="shared" si="108"/>
        <v>27142.857142450001</v>
      </c>
      <c r="J144" s="285">
        <f t="shared" si="109"/>
        <v>0</v>
      </c>
      <c r="K144" s="285">
        <f t="shared" si="110"/>
        <v>0</v>
      </c>
      <c r="L144" s="285">
        <f t="shared" si="111"/>
        <v>0</v>
      </c>
      <c r="M144" s="285">
        <f t="shared" si="112"/>
        <v>0</v>
      </c>
      <c r="N144" s="285">
        <f t="shared" si="113"/>
        <v>0</v>
      </c>
      <c r="O144" s="285">
        <f t="shared" si="114"/>
        <v>0</v>
      </c>
      <c r="P144" s="285">
        <f t="shared" si="115"/>
        <v>0</v>
      </c>
      <c r="Q144" s="285">
        <f t="shared" si="116"/>
        <v>0</v>
      </c>
      <c r="R144" s="285">
        <f t="shared" si="117"/>
        <v>0</v>
      </c>
      <c r="S144" s="285">
        <f t="shared" si="118"/>
        <v>0</v>
      </c>
      <c r="T144" s="285">
        <f t="shared" si="119"/>
        <v>0</v>
      </c>
      <c r="U144" s="285">
        <f t="shared" si="120"/>
        <v>0</v>
      </c>
      <c r="V144" s="285">
        <f t="shared" si="121"/>
        <v>0</v>
      </c>
      <c r="W144" s="285">
        <f t="shared" si="122"/>
        <v>0</v>
      </c>
      <c r="X144" s="285">
        <f t="shared" si="123"/>
        <v>0</v>
      </c>
      <c r="Y144" s="285">
        <f t="shared" si="124"/>
        <v>0</v>
      </c>
      <c r="Z144" s="285">
        <f t="shared" si="125"/>
        <v>0</v>
      </c>
      <c r="AA144" s="285">
        <f t="shared" si="126"/>
        <v>0</v>
      </c>
      <c r="AB144" s="285">
        <f t="shared" si="127"/>
        <v>0</v>
      </c>
      <c r="AC144" s="285">
        <f t="shared" si="128"/>
        <v>0</v>
      </c>
      <c r="AD144" s="285">
        <f t="shared" si="129"/>
        <v>0</v>
      </c>
      <c r="AE144" s="285">
        <f t="shared" si="130"/>
        <v>0</v>
      </c>
      <c r="AF144" s="285">
        <f t="shared" si="131"/>
        <v>0</v>
      </c>
      <c r="AG144" s="285">
        <f t="shared" si="132"/>
        <v>0</v>
      </c>
      <c r="AH144" s="285">
        <f t="shared" si="133"/>
        <v>0</v>
      </c>
      <c r="AI144" s="285">
        <f t="shared" si="134"/>
        <v>0</v>
      </c>
      <c r="AJ144" s="285">
        <f t="shared" si="135"/>
        <v>0</v>
      </c>
      <c r="AK144" s="285">
        <f t="shared" si="136"/>
        <v>0</v>
      </c>
      <c r="AL144" s="285">
        <f t="shared" si="137"/>
        <v>0</v>
      </c>
      <c r="AM144" s="285">
        <f t="shared" si="138"/>
        <v>0</v>
      </c>
      <c r="AN144" s="285">
        <f t="shared" si="139"/>
        <v>0</v>
      </c>
      <c r="AO144" s="285">
        <f t="shared" si="140"/>
        <v>0</v>
      </c>
      <c r="AP144" s="285">
        <f t="shared" si="141"/>
        <v>0</v>
      </c>
      <c r="AQ144" s="285">
        <f t="shared" si="142"/>
        <v>0</v>
      </c>
      <c r="AT144" t="s">
        <v>108</v>
      </c>
      <c r="AU144" s="580">
        <v>2.8571428571E-2</v>
      </c>
      <c r="AV144" s="580">
        <v>2.8571428571E-2</v>
      </c>
      <c r="AW144" s="580">
        <v>2.8571428571E-2</v>
      </c>
      <c r="AX144" s="580">
        <v>2.8571428571E-2</v>
      </c>
      <c r="AY144" s="580">
        <v>2.8571428571E-2</v>
      </c>
      <c r="AZ144" s="580">
        <v>2.8571428571E-2</v>
      </c>
      <c r="BA144" s="580">
        <v>2.8571428571E-2</v>
      </c>
      <c r="BB144" s="580">
        <v>2.8571428571E-2</v>
      </c>
      <c r="BC144" s="580">
        <v>2.8571428571E-2</v>
      </c>
      <c r="BD144" s="580">
        <v>2.8571428571E-2</v>
      </c>
      <c r="BE144" s="580">
        <v>2.8571428571E-2</v>
      </c>
      <c r="BF144" s="580">
        <v>2.8571428571E-2</v>
      </c>
      <c r="BG144" s="580">
        <v>2.8571428571E-2</v>
      </c>
      <c r="BH144" s="580">
        <v>2.8571428571E-2</v>
      </c>
      <c r="BI144" s="580">
        <v>2.8571428571E-2</v>
      </c>
      <c r="BJ144" s="580">
        <v>2.8571428571E-2</v>
      </c>
      <c r="BK144" s="580">
        <v>2.8571428571E-2</v>
      </c>
      <c r="BL144" s="580">
        <v>2.8571428571E-2</v>
      </c>
      <c r="BM144" s="580">
        <v>2.8571428571E-2</v>
      </c>
      <c r="BN144" s="580">
        <v>0</v>
      </c>
      <c r="BO144" s="580">
        <v>0</v>
      </c>
      <c r="BP144" s="580">
        <v>0</v>
      </c>
      <c r="BQ144" s="580">
        <v>0</v>
      </c>
      <c r="BR144" s="580">
        <v>0</v>
      </c>
      <c r="BS144" s="580">
        <v>0</v>
      </c>
      <c r="BT144" s="580">
        <v>0</v>
      </c>
      <c r="BU144" s="580">
        <v>0</v>
      </c>
      <c r="BV144" s="580">
        <v>0</v>
      </c>
      <c r="BW144" s="580">
        <v>0</v>
      </c>
      <c r="BX144" s="580">
        <v>0</v>
      </c>
      <c r="BY144" s="580">
        <v>0</v>
      </c>
      <c r="BZ144" s="580">
        <v>0</v>
      </c>
      <c r="CA144" s="580">
        <v>0</v>
      </c>
      <c r="CB144" s="580">
        <v>0</v>
      </c>
      <c r="CC144" s="580">
        <v>0</v>
      </c>
    </row>
    <row r="145" spans="6:81">
      <c r="F145" s="49" t="s">
        <v>108</v>
      </c>
      <c r="G145" s="285">
        <f t="shared" si="107"/>
        <v>27142.857142450001</v>
      </c>
      <c r="I145" s="285">
        <f t="shared" si="108"/>
        <v>27142.857142450001</v>
      </c>
      <c r="J145" s="285">
        <f t="shared" si="109"/>
        <v>0</v>
      </c>
      <c r="K145" s="285">
        <f t="shared" si="110"/>
        <v>0</v>
      </c>
      <c r="L145" s="285">
        <f t="shared" si="111"/>
        <v>0</v>
      </c>
      <c r="M145" s="285">
        <f t="shared" si="112"/>
        <v>0</v>
      </c>
      <c r="N145" s="285">
        <f t="shared" si="113"/>
        <v>0</v>
      </c>
      <c r="O145" s="285">
        <f t="shared" si="114"/>
        <v>0</v>
      </c>
      <c r="P145" s="285">
        <f t="shared" si="115"/>
        <v>0</v>
      </c>
      <c r="Q145" s="285">
        <f t="shared" si="116"/>
        <v>0</v>
      </c>
      <c r="R145" s="285">
        <f t="shared" si="117"/>
        <v>0</v>
      </c>
      <c r="S145" s="285">
        <f t="shared" si="118"/>
        <v>0</v>
      </c>
      <c r="T145" s="285">
        <f t="shared" si="119"/>
        <v>0</v>
      </c>
      <c r="U145" s="285">
        <f t="shared" si="120"/>
        <v>0</v>
      </c>
      <c r="V145" s="285">
        <f t="shared" si="121"/>
        <v>0</v>
      </c>
      <c r="W145" s="285">
        <f t="shared" si="122"/>
        <v>0</v>
      </c>
      <c r="X145" s="285">
        <f t="shared" si="123"/>
        <v>0</v>
      </c>
      <c r="Y145" s="285">
        <f t="shared" si="124"/>
        <v>0</v>
      </c>
      <c r="Z145" s="285">
        <f t="shared" si="125"/>
        <v>0</v>
      </c>
      <c r="AA145" s="285">
        <f t="shared" si="126"/>
        <v>0</v>
      </c>
      <c r="AB145" s="285">
        <f t="shared" si="127"/>
        <v>0</v>
      </c>
      <c r="AC145" s="285">
        <f t="shared" si="128"/>
        <v>0</v>
      </c>
      <c r="AD145" s="285">
        <f t="shared" si="129"/>
        <v>0</v>
      </c>
      <c r="AE145" s="285">
        <f t="shared" si="130"/>
        <v>0</v>
      </c>
      <c r="AF145" s="285">
        <f t="shared" si="131"/>
        <v>0</v>
      </c>
      <c r="AG145" s="285">
        <f t="shared" si="132"/>
        <v>0</v>
      </c>
      <c r="AH145" s="285">
        <f t="shared" si="133"/>
        <v>0</v>
      </c>
      <c r="AI145" s="285">
        <f t="shared" si="134"/>
        <v>0</v>
      </c>
      <c r="AJ145" s="285">
        <f t="shared" si="135"/>
        <v>0</v>
      </c>
      <c r="AK145" s="285">
        <f t="shared" si="136"/>
        <v>0</v>
      </c>
      <c r="AL145" s="285">
        <f t="shared" si="137"/>
        <v>0</v>
      </c>
      <c r="AM145" s="285">
        <f t="shared" si="138"/>
        <v>0</v>
      </c>
      <c r="AN145" s="285">
        <f t="shared" si="139"/>
        <v>0</v>
      </c>
      <c r="AO145" s="285">
        <f t="shared" si="140"/>
        <v>0</v>
      </c>
      <c r="AP145" s="285">
        <f t="shared" si="141"/>
        <v>0</v>
      </c>
      <c r="AQ145" s="285">
        <f t="shared" si="142"/>
        <v>0</v>
      </c>
      <c r="AT145" t="s">
        <v>109</v>
      </c>
      <c r="AU145" s="580">
        <v>2.8571428571E-2</v>
      </c>
      <c r="AV145" s="580">
        <v>2.8571428571E-2</v>
      </c>
      <c r="AW145" s="580">
        <v>2.8571428571E-2</v>
      </c>
      <c r="AX145" s="580">
        <v>2.8571428571E-2</v>
      </c>
      <c r="AY145" s="580">
        <v>2.8571428571E-2</v>
      </c>
      <c r="AZ145" s="580">
        <v>2.8571428571E-2</v>
      </c>
      <c r="BA145" s="580">
        <v>2.8571428571E-2</v>
      </c>
      <c r="BB145" s="580">
        <v>2.8571428571E-2</v>
      </c>
      <c r="BC145" s="580">
        <v>2.8571428571E-2</v>
      </c>
      <c r="BD145" s="580">
        <v>2.8571428571E-2</v>
      </c>
      <c r="BE145" s="580">
        <v>2.8571428571E-2</v>
      </c>
      <c r="BF145" s="580">
        <v>2.8571428571E-2</v>
      </c>
      <c r="BG145" s="580">
        <v>2.8571428571E-2</v>
      </c>
      <c r="BH145" s="580">
        <v>2.8571428571E-2</v>
      </c>
      <c r="BI145" s="580">
        <v>2.8571428571E-2</v>
      </c>
      <c r="BJ145" s="580">
        <v>2.8571428571E-2</v>
      </c>
      <c r="BK145" s="580">
        <v>2.8571428571E-2</v>
      </c>
      <c r="BL145" s="580">
        <v>2.8571428571E-2</v>
      </c>
      <c r="BM145" s="580">
        <v>2.8571428571E-2</v>
      </c>
      <c r="BN145" s="580">
        <v>2.8571428571E-2</v>
      </c>
      <c r="BO145" s="580">
        <v>0</v>
      </c>
      <c r="BP145" s="580">
        <v>0</v>
      </c>
      <c r="BQ145" s="580">
        <v>0</v>
      </c>
      <c r="BR145" s="580">
        <v>0</v>
      </c>
      <c r="BS145" s="580">
        <v>0</v>
      </c>
      <c r="BT145" s="580">
        <v>0</v>
      </c>
      <c r="BU145" s="580">
        <v>0</v>
      </c>
      <c r="BV145" s="580">
        <v>0</v>
      </c>
      <c r="BW145" s="580">
        <v>0</v>
      </c>
      <c r="BX145" s="580">
        <v>0</v>
      </c>
      <c r="BY145" s="580">
        <v>0</v>
      </c>
      <c r="BZ145" s="580">
        <v>0</v>
      </c>
      <c r="CA145" s="580">
        <v>0</v>
      </c>
      <c r="CB145" s="580">
        <v>0</v>
      </c>
      <c r="CC145" s="580">
        <v>0</v>
      </c>
    </row>
    <row r="146" spans="6:81">
      <c r="F146" s="49" t="s">
        <v>109</v>
      </c>
      <c r="G146" s="285">
        <f t="shared" si="107"/>
        <v>27142.857142450001</v>
      </c>
      <c r="I146" s="285">
        <f t="shared" si="108"/>
        <v>27142.857142450001</v>
      </c>
      <c r="J146" s="285">
        <f t="shared" si="109"/>
        <v>0</v>
      </c>
      <c r="K146" s="285">
        <f t="shared" si="110"/>
        <v>0</v>
      </c>
      <c r="L146" s="285">
        <f t="shared" si="111"/>
        <v>0</v>
      </c>
      <c r="M146" s="285">
        <f t="shared" si="112"/>
        <v>0</v>
      </c>
      <c r="N146" s="285">
        <f t="shared" si="113"/>
        <v>0</v>
      </c>
      <c r="O146" s="285">
        <f t="shared" si="114"/>
        <v>0</v>
      </c>
      <c r="P146" s="285">
        <f t="shared" si="115"/>
        <v>0</v>
      </c>
      <c r="Q146" s="285">
        <f t="shared" si="116"/>
        <v>0</v>
      </c>
      <c r="R146" s="285">
        <f t="shared" si="117"/>
        <v>0</v>
      </c>
      <c r="S146" s="285">
        <f t="shared" si="118"/>
        <v>0</v>
      </c>
      <c r="T146" s="285">
        <f t="shared" si="119"/>
        <v>0</v>
      </c>
      <c r="U146" s="285">
        <f t="shared" si="120"/>
        <v>0</v>
      </c>
      <c r="V146" s="285">
        <f t="shared" si="121"/>
        <v>0</v>
      </c>
      <c r="W146" s="285">
        <f t="shared" si="122"/>
        <v>0</v>
      </c>
      <c r="X146" s="285">
        <f t="shared" si="123"/>
        <v>0</v>
      </c>
      <c r="Y146" s="285">
        <f t="shared" si="124"/>
        <v>0</v>
      </c>
      <c r="Z146" s="285">
        <f t="shared" si="125"/>
        <v>0</v>
      </c>
      <c r="AA146" s="285">
        <f t="shared" si="126"/>
        <v>0</v>
      </c>
      <c r="AB146" s="285">
        <f t="shared" si="127"/>
        <v>0</v>
      </c>
      <c r="AC146" s="285">
        <f t="shared" si="128"/>
        <v>0</v>
      </c>
      <c r="AD146" s="285">
        <f t="shared" si="129"/>
        <v>0</v>
      </c>
      <c r="AE146" s="285">
        <f t="shared" si="130"/>
        <v>0</v>
      </c>
      <c r="AF146" s="285">
        <f t="shared" si="131"/>
        <v>0</v>
      </c>
      <c r="AG146" s="285">
        <f t="shared" si="132"/>
        <v>0</v>
      </c>
      <c r="AH146" s="285">
        <f t="shared" si="133"/>
        <v>0</v>
      </c>
      <c r="AI146" s="285">
        <f t="shared" si="134"/>
        <v>0</v>
      </c>
      <c r="AJ146" s="285">
        <f t="shared" si="135"/>
        <v>0</v>
      </c>
      <c r="AK146" s="285">
        <f t="shared" si="136"/>
        <v>0</v>
      </c>
      <c r="AL146" s="285">
        <f t="shared" si="137"/>
        <v>0</v>
      </c>
      <c r="AM146" s="285">
        <f t="shared" si="138"/>
        <v>0</v>
      </c>
      <c r="AN146" s="285">
        <f t="shared" si="139"/>
        <v>0</v>
      </c>
      <c r="AO146" s="285">
        <f t="shared" si="140"/>
        <v>0</v>
      </c>
      <c r="AP146" s="285">
        <f t="shared" si="141"/>
        <v>0</v>
      </c>
      <c r="AQ146" s="285">
        <f t="shared" si="142"/>
        <v>0</v>
      </c>
      <c r="AT146" t="s">
        <v>110</v>
      </c>
      <c r="AU146" s="580">
        <v>2.8571428571E-2</v>
      </c>
      <c r="AV146" s="580">
        <v>2.8571428571E-2</v>
      </c>
      <c r="AW146" s="580">
        <v>2.8571428571E-2</v>
      </c>
      <c r="AX146" s="580">
        <v>2.8571428571E-2</v>
      </c>
      <c r="AY146" s="580">
        <v>2.8571428571E-2</v>
      </c>
      <c r="AZ146" s="580">
        <v>2.8571428571E-2</v>
      </c>
      <c r="BA146" s="580">
        <v>2.8571428571E-2</v>
      </c>
      <c r="BB146" s="580">
        <v>2.8571428571E-2</v>
      </c>
      <c r="BC146" s="580">
        <v>2.8571428571E-2</v>
      </c>
      <c r="BD146" s="580">
        <v>2.8571428571E-2</v>
      </c>
      <c r="BE146" s="580">
        <v>2.8571428571E-2</v>
      </c>
      <c r="BF146" s="580">
        <v>2.8571428571E-2</v>
      </c>
      <c r="BG146" s="580">
        <v>2.8571428571E-2</v>
      </c>
      <c r="BH146" s="580">
        <v>2.8571428571E-2</v>
      </c>
      <c r="BI146" s="580">
        <v>2.8571428571E-2</v>
      </c>
      <c r="BJ146" s="580">
        <v>2.8571428571E-2</v>
      </c>
      <c r="BK146" s="580">
        <v>2.8571428571E-2</v>
      </c>
      <c r="BL146" s="580">
        <v>2.8571428571E-2</v>
      </c>
      <c r="BM146" s="580">
        <v>2.8571428571E-2</v>
      </c>
      <c r="BN146" s="580">
        <v>2.8571428571E-2</v>
      </c>
      <c r="BO146" s="580">
        <v>2.8571428571E-2</v>
      </c>
      <c r="BP146" s="580">
        <v>0</v>
      </c>
      <c r="BQ146" s="580">
        <v>0</v>
      </c>
      <c r="BR146" s="580">
        <v>0</v>
      </c>
      <c r="BS146" s="580">
        <v>0</v>
      </c>
      <c r="BT146" s="580">
        <v>0</v>
      </c>
      <c r="BU146" s="580">
        <v>0</v>
      </c>
      <c r="BV146" s="580">
        <v>0</v>
      </c>
      <c r="BW146" s="580">
        <v>0</v>
      </c>
      <c r="BX146" s="580">
        <v>0</v>
      </c>
      <c r="BY146" s="580">
        <v>0</v>
      </c>
      <c r="BZ146" s="580">
        <v>0</v>
      </c>
      <c r="CA146" s="580">
        <v>0</v>
      </c>
      <c r="CB146" s="580">
        <v>0</v>
      </c>
      <c r="CC146" s="580">
        <v>0</v>
      </c>
    </row>
    <row r="147" spans="6:81">
      <c r="F147" s="49" t="s">
        <v>110</v>
      </c>
      <c r="G147" s="285">
        <f t="shared" si="107"/>
        <v>27142.857142450001</v>
      </c>
      <c r="I147" s="285">
        <f t="shared" si="108"/>
        <v>27142.857142450001</v>
      </c>
      <c r="J147" s="285">
        <f t="shared" si="109"/>
        <v>0</v>
      </c>
      <c r="K147" s="285">
        <f t="shared" si="110"/>
        <v>0</v>
      </c>
      <c r="L147" s="285">
        <f t="shared" si="111"/>
        <v>0</v>
      </c>
      <c r="M147" s="285">
        <f t="shared" si="112"/>
        <v>0</v>
      </c>
      <c r="N147" s="285">
        <f t="shared" si="113"/>
        <v>0</v>
      </c>
      <c r="O147" s="285">
        <f t="shared" si="114"/>
        <v>0</v>
      </c>
      <c r="P147" s="285">
        <f t="shared" si="115"/>
        <v>0</v>
      </c>
      <c r="Q147" s="285">
        <f t="shared" si="116"/>
        <v>0</v>
      </c>
      <c r="R147" s="285">
        <f t="shared" si="117"/>
        <v>0</v>
      </c>
      <c r="S147" s="285">
        <f t="shared" si="118"/>
        <v>0</v>
      </c>
      <c r="T147" s="285">
        <f t="shared" si="119"/>
        <v>0</v>
      </c>
      <c r="U147" s="285">
        <f t="shared" si="120"/>
        <v>0</v>
      </c>
      <c r="V147" s="285">
        <f t="shared" si="121"/>
        <v>0</v>
      </c>
      <c r="W147" s="285">
        <f t="shared" si="122"/>
        <v>0</v>
      </c>
      <c r="X147" s="285">
        <f t="shared" si="123"/>
        <v>0</v>
      </c>
      <c r="Y147" s="285">
        <f t="shared" si="124"/>
        <v>0</v>
      </c>
      <c r="Z147" s="285">
        <f t="shared" si="125"/>
        <v>0</v>
      </c>
      <c r="AA147" s="285">
        <f t="shared" si="126"/>
        <v>0</v>
      </c>
      <c r="AB147" s="285">
        <f t="shared" si="127"/>
        <v>0</v>
      </c>
      <c r="AC147" s="285">
        <f t="shared" si="128"/>
        <v>0</v>
      </c>
      <c r="AD147" s="285">
        <f t="shared" si="129"/>
        <v>0</v>
      </c>
      <c r="AE147" s="285">
        <f t="shared" si="130"/>
        <v>0</v>
      </c>
      <c r="AF147" s="285">
        <f t="shared" si="131"/>
        <v>0</v>
      </c>
      <c r="AG147" s="285">
        <f t="shared" si="132"/>
        <v>0</v>
      </c>
      <c r="AH147" s="285">
        <f t="shared" si="133"/>
        <v>0</v>
      </c>
      <c r="AI147" s="285">
        <f t="shared" si="134"/>
        <v>0</v>
      </c>
      <c r="AJ147" s="285">
        <f t="shared" si="135"/>
        <v>0</v>
      </c>
      <c r="AK147" s="285">
        <f t="shared" si="136"/>
        <v>0</v>
      </c>
      <c r="AL147" s="285">
        <f t="shared" si="137"/>
        <v>0</v>
      </c>
      <c r="AM147" s="285">
        <f t="shared" si="138"/>
        <v>0</v>
      </c>
      <c r="AN147" s="285">
        <f t="shared" si="139"/>
        <v>0</v>
      </c>
      <c r="AO147" s="285">
        <f t="shared" si="140"/>
        <v>0</v>
      </c>
      <c r="AP147" s="285">
        <f t="shared" si="141"/>
        <v>0</v>
      </c>
      <c r="AQ147" s="285">
        <f t="shared" si="142"/>
        <v>0</v>
      </c>
      <c r="AT147" t="s">
        <v>111</v>
      </c>
      <c r="AU147" s="580">
        <v>2.8571428571E-2</v>
      </c>
      <c r="AV147" s="580">
        <v>2.8571428571E-2</v>
      </c>
      <c r="AW147" s="580">
        <v>2.8571428571E-2</v>
      </c>
      <c r="AX147" s="580">
        <v>2.8571428571E-2</v>
      </c>
      <c r="AY147" s="580">
        <v>2.8571428571E-2</v>
      </c>
      <c r="AZ147" s="580">
        <v>2.8571428571E-2</v>
      </c>
      <c r="BA147" s="580">
        <v>2.8571428571E-2</v>
      </c>
      <c r="BB147" s="580">
        <v>2.8571428571E-2</v>
      </c>
      <c r="BC147" s="580">
        <v>2.8571428571E-2</v>
      </c>
      <c r="BD147" s="580">
        <v>2.8571428571E-2</v>
      </c>
      <c r="BE147" s="580">
        <v>2.8571428571E-2</v>
      </c>
      <c r="BF147" s="580">
        <v>2.8571428571E-2</v>
      </c>
      <c r="BG147" s="580">
        <v>2.8571428571E-2</v>
      </c>
      <c r="BH147" s="580">
        <v>2.8571428571E-2</v>
      </c>
      <c r="BI147" s="580">
        <v>2.8571428571E-2</v>
      </c>
      <c r="BJ147" s="580">
        <v>2.8571428571E-2</v>
      </c>
      <c r="BK147" s="580">
        <v>2.8571428571E-2</v>
      </c>
      <c r="BL147" s="580">
        <v>2.8571428571E-2</v>
      </c>
      <c r="BM147" s="580">
        <v>2.8571428571E-2</v>
      </c>
      <c r="BN147" s="580">
        <v>2.8571428571E-2</v>
      </c>
      <c r="BO147" s="580">
        <v>2.8571428571E-2</v>
      </c>
      <c r="BP147" s="580">
        <v>2.8571428571E-2</v>
      </c>
      <c r="BQ147" s="580">
        <v>0</v>
      </c>
      <c r="BR147" s="580">
        <v>0</v>
      </c>
      <c r="BS147" s="580">
        <v>0</v>
      </c>
      <c r="BT147" s="580">
        <v>0</v>
      </c>
      <c r="BU147" s="580">
        <v>0</v>
      </c>
      <c r="BV147" s="580">
        <v>0</v>
      </c>
      <c r="BW147" s="580">
        <v>0</v>
      </c>
      <c r="BX147" s="580">
        <v>0</v>
      </c>
      <c r="BY147" s="580">
        <v>0</v>
      </c>
      <c r="BZ147" s="580">
        <v>0</v>
      </c>
      <c r="CA147" s="580">
        <v>0</v>
      </c>
      <c r="CB147" s="580">
        <v>0</v>
      </c>
      <c r="CC147" s="580">
        <v>0</v>
      </c>
    </row>
    <row r="148" spans="6:81">
      <c r="F148" s="49" t="s">
        <v>111</v>
      </c>
      <c r="G148" s="285">
        <f t="shared" si="107"/>
        <v>27142.857142450001</v>
      </c>
      <c r="I148" s="285">
        <f t="shared" si="108"/>
        <v>27142.857142450001</v>
      </c>
      <c r="J148" s="285">
        <f t="shared" si="109"/>
        <v>0</v>
      </c>
      <c r="K148" s="285">
        <f t="shared" si="110"/>
        <v>0</v>
      </c>
      <c r="L148" s="285">
        <f t="shared" si="111"/>
        <v>0</v>
      </c>
      <c r="M148" s="285">
        <f t="shared" si="112"/>
        <v>0</v>
      </c>
      <c r="N148" s="285">
        <f t="shared" si="113"/>
        <v>0</v>
      </c>
      <c r="O148" s="285">
        <f t="shared" si="114"/>
        <v>0</v>
      </c>
      <c r="P148" s="285">
        <f t="shared" si="115"/>
        <v>0</v>
      </c>
      <c r="Q148" s="285">
        <f t="shared" si="116"/>
        <v>0</v>
      </c>
      <c r="R148" s="285">
        <f t="shared" si="117"/>
        <v>0</v>
      </c>
      <c r="S148" s="285">
        <f t="shared" si="118"/>
        <v>0</v>
      </c>
      <c r="T148" s="285">
        <f t="shared" si="119"/>
        <v>0</v>
      </c>
      <c r="U148" s="285">
        <f t="shared" si="120"/>
        <v>0</v>
      </c>
      <c r="V148" s="285">
        <f t="shared" si="121"/>
        <v>0</v>
      </c>
      <c r="W148" s="285">
        <f t="shared" si="122"/>
        <v>0</v>
      </c>
      <c r="X148" s="285">
        <f t="shared" si="123"/>
        <v>0</v>
      </c>
      <c r="Y148" s="285">
        <f t="shared" si="124"/>
        <v>0</v>
      </c>
      <c r="Z148" s="285">
        <f t="shared" si="125"/>
        <v>0</v>
      </c>
      <c r="AA148" s="285">
        <f t="shared" si="126"/>
        <v>0</v>
      </c>
      <c r="AB148" s="285">
        <f t="shared" si="127"/>
        <v>0</v>
      </c>
      <c r="AC148" s="285">
        <f t="shared" si="128"/>
        <v>0</v>
      </c>
      <c r="AD148" s="285">
        <f t="shared" si="129"/>
        <v>0</v>
      </c>
      <c r="AE148" s="285">
        <f t="shared" si="130"/>
        <v>0</v>
      </c>
      <c r="AF148" s="285">
        <f t="shared" si="131"/>
        <v>0</v>
      </c>
      <c r="AG148" s="285">
        <f t="shared" si="132"/>
        <v>0</v>
      </c>
      <c r="AH148" s="285">
        <f t="shared" si="133"/>
        <v>0</v>
      </c>
      <c r="AI148" s="285">
        <f t="shared" si="134"/>
        <v>0</v>
      </c>
      <c r="AJ148" s="285">
        <f t="shared" si="135"/>
        <v>0</v>
      </c>
      <c r="AK148" s="285">
        <f t="shared" si="136"/>
        <v>0</v>
      </c>
      <c r="AL148" s="285">
        <f t="shared" si="137"/>
        <v>0</v>
      </c>
      <c r="AM148" s="285">
        <f t="shared" si="138"/>
        <v>0</v>
      </c>
      <c r="AN148" s="285">
        <f t="shared" si="139"/>
        <v>0</v>
      </c>
      <c r="AO148" s="285">
        <f t="shared" si="140"/>
        <v>0</v>
      </c>
      <c r="AP148" s="285">
        <f t="shared" si="141"/>
        <v>0</v>
      </c>
      <c r="AQ148" s="285">
        <f t="shared" si="142"/>
        <v>0</v>
      </c>
      <c r="AT148" t="s">
        <v>112</v>
      </c>
      <c r="AU148" s="580">
        <v>2.8571428571E-2</v>
      </c>
      <c r="AV148" s="580">
        <v>2.8571428571E-2</v>
      </c>
      <c r="AW148" s="580">
        <v>2.8571428571E-2</v>
      </c>
      <c r="AX148" s="580">
        <v>2.8571428571E-2</v>
      </c>
      <c r="AY148" s="580">
        <v>2.8571428571E-2</v>
      </c>
      <c r="AZ148" s="580">
        <v>2.8571428571E-2</v>
      </c>
      <c r="BA148" s="580">
        <v>2.8571428571E-2</v>
      </c>
      <c r="BB148" s="580">
        <v>2.8571428571E-2</v>
      </c>
      <c r="BC148" s="580">
        <v>2.8571428571E-2</v>
      </c>
      <c r="BD148" s="580">
        <v>2.8571428571E-2</v>
      </c>
      <c r="BE148" s="580">
        <v>2.8571428571E-2</v>
      </c>
      <c r="BF148" s="580">
        <v>2.8571428571E-2</v>
      </c>
      <c r="BG148" s="580">
        <v>2.8571428571E-2</v>
      </c>
      <c r="BH148" s="580">
        <v>2.8571428571E-2</v>
      </c>
      <c r="BI148" s="580">
        <v>2.8571428571E-2</v>
      </c>
      <c r="BJ148" s="580">
        <v>2.8571428571E-2</v>
      </c>
      <c r="BK148" s="580">
        <v>2.8571428571E-2</v>
      </c>
      <c r="BL148" s="580">
        <v>2.8571428571E-2</v>
      </c>
      <c r="BM148" s="580">
        <v>2.8571428571E-2</v>
      </c>
      <c r="BN148" s="580">
        <v>2.8571428571E-2</v>
      </c>
      <c r="BO148" s="580">
        <v>2.8571428571E-2</v>
      </c>
      <c r="BP148" s="580">
        <v>2.8571428571E-2</v>
      </c>
      <c r="BQ148" s="580">
        <v>2.8571428571E-2</v>
      </c>
      <c r="BR148" s="580">
        <v>0</v>
      </c>
      <c r="BS148" s="580">
        <v>0</v>
      </c>
      <c r="BT148" s="580">
        <v>0</v>
      </c>
      <c r="BU148" s="580">
        <v>0</v>
      </c>
      <c r="BV148" s="580">
        <v>0</v>
      </c>
      <c r="BW148" s="580">
        <v>0</v>
      </c>
      <c r="BX148" s="580">
        <v>0</v>
      </c>
      <c r="BY148" s="580">
        <v>0</v>
      </c>
      <c r="BZ148" s="580">
        <v>0</v>
      </c>
      <c r="CA148" s="580">
        <v>0</v>
      </c>
      <c r="CB148" s="580">
        <v>0</v>
      </c>
      <c r="CC148" s="580">
        <v>0</v>
      </c>
    </row>
    <row r="149" spans="6:81">
      <c r="F149" s="49" t="s">
        <v>112</v>
      </c>
      <c r="G149" s="285">
        <f t="shared" si="107"/>
        <v>27142.857142450001</v>
      </c>
      <c r="I149" s="285">
        <f t="shared" si="108"/>
        <v>27142.857142450001</v>
      </c>
      <c r="J149" s="285">
        <f t="shared" si="109"/>
        <v>0</v>
      </c>
      <c r="K149" s="285">
        <f t="shared" si="110"/>
        <v>0</v>
      </c>
      <c r="L149" s="285">
        <f t="shared" si="111"/>
        <v>0</v>
      </c>
      <c r="M149" s="285">
        <f t="shared" si="112"/>
        <v>0</v>
      </c>
      <c r="N149" s="285">
        <f t="shared" si="113"/>
        <v>0</v>
      </c>
      <c r="O149" s="285">
        <f t="shared" si="114"/>
        <v>0</v>
      </c>
      <c r="P149" s="285">
        <f t="shared" si="115"/>
        <v>0</v>
      </c>
      <c r="Q149" s="285">
        <f t="shared" si="116"/>
        <v>0</v>
      </c>
      <c r="R149" s="285">
        <f t="shared" si="117"/>
        <v>0</v>
      </c>
      <c r="S149" s="285">
        <f t="shared" si="118"/>
        <v>0</v>
      </c>
      <c r="T149" s="285">
        <f t="shared" si="119"/>
        <v>0</v>
      </c>
      <c r="U149" s="285">
        <f t="shared" si="120"/>
        <v>0</v>
      </c>
      <c r="V149" s="285">
        <f t="shared" si="121"/>
        <v>0</v>
      </c>
      <c r="W149" s="285">
        <f t="shared" si="122"/>
        <v>0</v>
      </c>
      <c r="X149" s="285">
        <f t="shared" si="123"/>
        <v>0</v>
      </c>
      <c r="Y149" s="285">
        <f t="shared" si="124"/>
        <v>0</v>
      </c>
      <c r="Z149" s="285">
        <f t="shared" si="125"/>
        <v>0</v>
      </c>
      <c r="AA149" s="285">
        <f t="shared" si="126"/>
        <v>0</v>
      </c>
      <c r="AB149" s="285">
        <f t="shared" si="127"/>
        <v>0</v>
      </c>
      <c r="AC149" s="285">
        <f t="shared" si="128"/>
        <v>0</v>
      </c>
      <c r="AD149" s="285">
        <f t="shared" si="129"/>
        <v>0</v>
      </c>
      <c r="AE149" s="285">
        <f t="shared" si="130"/>
        <v>0</v>
      </c>
      <c r="AF149" s="285">
        <f t="shared" si="131"/>
        <v>0</v>
      </c>
      <c r="AG149" s="285">
        <f t="shared" si="132"/>
        <v>0</v>
      </c>
      <c r="AH149" s="285">
        <f t="shared" si="133"/>
        <v>0</v>
      </c>
      <c r="AI149" s="285">
        <f t="shared" si="134"/>
        <v>0</v>
      </c>
      <c r="AJ149" s="285">
        <f t="shared" si="135"/>
        <v>0</v>
      </c>
      <c r="AK149" s="285">
        <f t="shared" si="136"/>
        <v>0</v>
      </c>
      <c r="AL149" s="285">
        <f t="shared" si="137"/>
        <v>0</v>
      </c>
      <c r="AM149" s="285">
        <f t="shared" si="138"/>
        <v>0</v>
      </c>
      <c r="AN149" s="285">
        <f t="shared" si="139"/>
        <v>0</v>
      </c>
      <c r="AO149" s="285">
        <f t="shared" si="140"/>
        <v>0</v>
      </c>
      <c r="AP149" s="285">
        <f t="shared" si="141"/>
        <v>0</v>
      </c>
      <c r="AQ149" s="285">
        <f t="shared" si="142"/>
        <v>0</v>
      </c>
      <c r="AT149" t="s">
        <v>113</v>
      </c>
      <c r="AU149" s="580">
        <v>2.8571428571E-2</v>
      </c>
      <c r="AV149" s="580">
        <v>2.8571428571E-2</v>
      </c>
      <c r="AW149" s="580">
        <v>2.8571428571E-2</v>
      </c>
      <c r="AX149" s="580">
        <v>2.8571428571E-2</v>
      </c>
      <c r="AY149" s="580">
        <v>2.8571428571E-2</v>
      </c>
      <c r="AZ149" s="580">
        <v>2.8571428571E-2</v>
      </c>
      <c r="BA149" s="580">
        <v>2.8571428571E-2</v>
      </c>
      <c r="BB149" s="580">
        <v>2.8571428571E-2</v>
      </c>
      <c r="BC149" s="580">
        <v>2.8571428571E-2</v>
      </c>
      <c r="BD149" s="580">
        <v>2.8571428571E-2</v>
      </c>
      <c r="BE149" s="580">
        <v>2.8571428571E-2</v>
      </c>
      <c r="BF149" s="580">
        <v>2.8571428571E-2</v>
      </c>
      <c r="BG149" s="580">
        <v>2.8571428571E-2</v>
      </c>
      <c r="BH149" s="580">
        <v>2.8571428571E-2</v>
      </c>
      <c r="BI149" s="580">
        <v>2.8571428571E-2</v>
      </c>
      <c r="BJ149" s="580">
        <v>2.8571428571E-2</v>
      </c>
      <c r="BK149" s="580">
        <v>2.8571428571E-2</v>
      </c>
      <c r="BL149" s="580">
        <v>2.8571428571E-2</v>
      </c>
      <c r="BM149" s="580">
        <v>2.8571428571E-2</v>
      </c>
      <c r="BN149" s="580">
        <v>2.8571428571E-2</v>
      </c>
      <c r="BO149" s="580">
        <v>2.8571428571E-2</v>
      </c>
      <c r="BP149" s="580">
        <v>2.8571428571E-2</v>
      </c>
      <c r="BQ149" s="580">
        <v>2.8571428571E-2</v>
      </c>
      <c r="BR149" s="580">
        <v>2.8571428571E-2</v>
      </c>
      <c r="BS149" s="580">
        <v>0</v>
      </c>
      <c r="BT149" s="580">
        <v>0</v>
      </c>
      <c r="BU149" s="580">
        <v>0</v>
      </c>
      <c r="BV149" s="580">
        <v>0</v>
      </c>
      <c r="BW149" s="580">
        <v>0</v>
      </c>
      <c r="BX149" s="580">
        <v>0</v>
      </c>
      <c r="BY149" s="580">
        <v>0</v>
      </c>
      <c r="BZ149" s="580">
        <v>0</v>
      </c>
      <c r="CA149" s="580">
        <v>0</v>
      </c>
      <c r="CB149" s="580">
        <v>0</v>
      </c>
      <c r="CC149" s="580">
        <v>0</v>
      </c>
    </row>
    <row r="150" spans="6:81">
      <c r="F150" s="49" t="s">
        <v>113</v>
      </c>
      <c r="G150" s="285">
        <f t="shared" si="107"/>
        <v>27142.857142450001</v>
      </c>
      <c r="I150" s="285">
        <f t="shared" si="108"/>
        <v>27142.857142450001</v>
      </c>
      <c r="J150" s="285">
        <f t="shared" si="109"/>
        <v>0</v>
      </c>
      <c r="K150" s="285">
        <f t="shared" si="110"/>
        <v>0</v>
      </c>
      <c r="L150" s="285">
        <f t="shared" si="111"/>
        <v>0</v>
      </c>
      <c r="M150" s="285">
        <f t="shared" si="112"/>
        <v>0</v>
      </c>
      <c r="N150" s="285">
        <f t="shared" si="113"/>
        <v>0</v>
      </c>
      <c r="O150" s="285">
        <f t="shared" si="114"/>
        <v>0</v>
      </c>
      <c r="P150" s="285">
        <f t="shared" si="115"/>
        <v>0</v>
      </c>
      <c r="Q150" s="285">
        <f t="shared" si="116"/>
        <v>0</v>
      </c>
      <c r="R150" s="285">
        <f t="shared" si="117"/>
        <v>0</v>
      </c>
      <c r="S150" s="285">
        <f t="shared" si="118"/>
        <v>0</v>
      </c>
      <c r="T150" s="285">
        <f t="shared" si="119"/>
        <v>0</v>
      </c>
      <c r="U150" s="285">
        <f t="shared" si="120"/>
        <v>0</v>
      </c>
      <c r="V150" s="285">
        <f t="shared" si="121"/>
        <v>0</v>
      </c>
      <c r="W150" s="285">
        <f t="shared" si="122"/>
        <v>0</v>
      </c>
      <c r="X150" s="285">
        <f t="shared" si="123"/>
        <v>0</v>
      </c>
      <c r="Y150" s="285">
        <f t="shared" si="124"/>
        <v>0</v>
      </c>
      <c r="Z150" s="285">
        <f t="shared" si="125"/>
        <v>0</v>
      </c>
      <c r="AA150" s="285">
        <f t="shared" si="126"/>
        <v>0</v>
      </c>
      <c r="AB150" s="285">
        <f t="shared" si="127"/>
        <v>0</v>
      </c>
      <c r="AC150" s="285">
        <f t="shared" si="128"/>
        <v>0</v>
      </c>
      <c r="AD150" s="285">
        <f t="shared" si="129"/>
        <v>0</v>
      </c>
      <c r="AE150" s="285">
        <f t="shared" si="130"/>
        <v>0</v>
      </c>
      <c r="AF150" s="285">
        <f t="shared" si="131"/>
        <v>0</v>
      </c>
      <c r="AG150" s="285">
        <f t="shared" si="132"/>
        <v>0</v>
      </c>
      <c r="AH150" s="285">
        <f t="shared" si="133"/>
        <v>0</v>
      </c>
      <c r="AI150" s="285">
        <f t="shared" si="134"/>
        <v>0</v>
      </c>
      <c r="AJ150" s="285">
        <f t="shared" si="135"/>
        <v>0</v>
      </c>
      <c r="AK150" s="285">
        <f t="shared" si="136"/>
        <v>0</v>
      </c>
      <c r="AL150" s="285">
        <f t="shared" si="137"/>
        <v>0</v>
      </c>
      <c r="AM150" s="285">
        <f t="shared" si="138"/>
        <v>0</v>
      </c>
      <c r="AN150" s="285">
        <f t="shared" si="139"/>
        <v>0</v>
      </c>
      <c r="AO150" s="285">
        <f t="shared" si="140"/>
        <v>0</v>
      </c>
      <c r="AP150" s="285">
        <f t="shared" si="141"/>
        <v>0</v>
      </c>
      <c r="AQ150" s="285">
        <f t="shared" si="142"/>
        <v>0</v>
      </c>
      <c r="AT150" t="s">
        <v>114</v>
      </c>
      <c r="AU150" s="580">
        <v>2.8571428571E-2</v>
      </c>
      <c r="AV150" s="580">
        <v>2.8571428571E-2</v>
      </c>
      <c r="AW150" s="580">
        <v>2.8571428571E-2</v>
      </c>
      <c r="AX150" s="580">
        <v>2.8571428571E-2</v>
      </c>
      <c r="AY150" s="580">
        <v>2.8571428571E-2</v>
      </c>
      <c r="AZ150" s="580">
        <v>2.8571428571E-2</v>
      </c>
      <c r="BA150" s="580">
        <v>2.8571428571E-2</v>
      </c>
      <c r="BB150" s="580">
        <v>2.8571428571E-2</v>
      </c>
      <c r="BC150" s="580">
        <v>2.8571428571E-2</v>
      </c>
      <c r="BD150" s="580">
        <v>2.8571428571E-2</v>
      </c>
      <c r="BE150" s="580">
        <v>2.8571428571E-2</v>
      </c>
      <c r="BF150" s="580">
        <v>2.8571428571E-2</v>
      </c>
      <c r="BG150" s="580">
        <v>2.8571428571E-2</v>
      </c>
      <c r="BH150" s="580">
        <v>2.8571428571E-2</v>
      </c>
      <c r="BI150" s="580">
        <v>2.8571428571E-2</v>
      </c>
      <c r="BJ150" s="580">
        <v>2.8571428571E-2</v>
      </c>
      <c r="BK150" s="580">
        <v>2.8571428571E-2</v>
      </c>
      <c r="BL150" s="580">
        <v>2.8571428571E-2</v>
      </c>
      <c r="BM150" s="580">
        <v>2.8571428571E-2</v>
      </c>
      <c r="BN150" s="580">
        <v>2.8571428571E-2</v>
      </c>
      <c r="BO150" s="580">
        <v>2.8571428571E-2</v>
      </c>
      <c r="BP150" s="580">
        <v>2.8571428571E-2</v>
      </c>
      <c r="BQ150" s="580">
        <v>2.8571428571E-2</v>
      </c>
      <c r="BR150" s="580">
        <v>2.8571428571E-2</v>
      </c>
      <c r="BS150" s="580">
        <v>2.8571428571E-2</v>
      </c>
      <c r="BT150" s="580">
        <v>0</v>
      </c>
      <c r="BU150" s="580">
        <v>0</v>
      </c>
      <c r="BV150" s="580">
        <v>0</v>
      </c>
      <c r="BW150" s="580">
        <v>0</v>
      </c>
      <c r="BX150" s="580">
        <v>0</v>
      </c>
      <c r="BY150" s="580">
        <v>0</v>
      </c>
      <c r="BZ150" s="580">
        <v>0</v>
      </c>
      <c r="CA150" s="580">
        <v>0</v>
      </c>
      <c r="CB150" s="580">
        <v>0</v>
      </c>
      <c r="CC150" s="580">
        <v>0</v>
      </c>
    </row>
    <row r="151" spans="6:81">
      <c r="F151" s="49" t="s">
        <v>114</v>
      </c>
      <c r="G151" s="285">
        <f t="shared" si="107"/>
        <v>27142.857142450001</v>
      </c>
      <c r="I151" s="285">
        <f t="shared" si="108"/>
        <v>27142.857142450001</v>
      </c>
      <c r="J151" s="285">
        <f t="shared" si="109"/>
        <v>0</v>
      </c>
      <c r="K151" s="285">
        <f t="shared" si="110"/>
        <v>0</v>
      </c>
      <c r="L151" s="285">
        <f t="shared" si="111"/>
        <v>0</v>
      </c>
      <c r="M151" s="285">
        <f t="shared" si="112"/>
        <v>0</v>
      </c>
      <c r="N151" s="285">
        <f t="shared" si="113"/>
        <v>0</v>
      </c>
      <c r="O151" s="285">
        <f t="shared" si="114"/>
        <v>0</v>
      </c>
      <c r="P151" s="285">
        <f t="shared" si="115"/>
        <v>0</v>
      </c>
      <c r="Q151" s="285">
        <f t="shared" si="116"/>
        <v>0</v>
      </c>
      <c r="R151" s="285">
        <f t="shared" si="117"/>
        <v>0</v>
      </c>
      <c r="S151" s="285">
        <f t="shared" si="118"/>
        <v>0</v>
      </c>
      <c r="T151" s="285">
        <f t="shared" si="119"/>
        <v>0</v>
      </c>
      <c r="U151" s="285">
        <f t="shared" si="120"/>
        <v>0</v>
      </c>
      <c r="V151" s="285">
        <f t="shared" si="121"/>
        <v>0</v>
      </c>
      <c r="W151" s="285">
        <f t="shared" si="122"/>
        <v>0</v>
      </c>
      <c r="X151" s="285">
        <f t="shared" si="123"/>
        <v>0</v>
      </c>
      <c r="Y151" s="285">
        <f t="shared" si="124"/>
        <v>0</v>
      </c>
      <c r="Z151" s="285">
        <f t="shared" si="125"/>
        <v>0</v>
      </c>
      <c r="AA151" s="285">
        <f t="shared" si="126"/>
        <v>0</v>
      </c>
      <c r="AB151" s="285">
        <f t="shared" si="127"/>
        <v>0</v>
      </c>
      <c r="AC151" s="285">
        <f t="shared" si="128"/>
        <v>0</v>
      </c>
      <c r="AD151" s="285">
        <f t="shared" si="129"/>
        <v>0</v>
      </c>
      <c r="AE151" s="285">
        <f t="shared" si="130"/>
        <v>0</v>
      </c>
      <c r="AF151" s="285">
        <f t="shared" si="131"/>
        <v>0</v>
      </c>
      <c r="AG151" s="285">
        <f t="shared" si="132"/>
        <v>0</v>
      </c>
      <c r="AH151" s="285">
        <f t="shared" si="133"/>
        <v>0</v>
      </c>
      <c r="AI151" s="285">
        <f t="shared" si="134"/>
        <v>0</v>
      </c>
      <c r="AJ151" s="285">
        <f t="shared" si="135"/>
        <v>0</v>
      </c>
      <c r="AK151" s="285">
        <f t="shared" si="136"/>
        <v>0</v>
      </c>
      <c r="AL151" s="285">
        <f t="shared" si="137"/>
        <v>0</v>
      </c>
      <c r="AM151" s="285">
        <f t="shared" si="138"/>
        <v>0</v>
      </c>
      <c r="AN151" s="285">
        <f t="shared" si="139"/>
        <v>0</v>
      </c>
      <c r="AO151" s="285">
        <f t="shared" si="140"/>
        <v>0</v>
      </c>
      <c r="AP151" s="285">
        <f t="shared" si="141"/>
        <v>0</v>
      </c>
      <c r="AQ151" s="285">
        <f t="shared" si="142"/>
        <v>0</v>
      </c>
      <c r="AT151" t="s">
        <v>115</v>
      </c>
      <c r="AU151" s="580">
        <v>2.8571428571E-2</v>
      </c>
      <c r="AV151" s="580">
        <v>2.8571428571E-2</v>
      </c>
      <c r="AW151" s="580">
        <v>2.8571428571E-2</v>
      </c>
      <c r="AX151" s="580">
        <v>2.8571428571E-2</v>
      </c>
      <c r="AY151" s="580">
        <v>2.8571428571E-2</v>
      </c>
      <c r="AZ151" s="580">
        <v>2.8571428571E-2</v>
      </c>
      <c r="BA151" s="580">
        <v>2.8571428571E-2</v>
      </c>
      <c r="BB151" s="580">
        <v>2.8571428571E-2</v>
      </c>
      <c r="BC151" s="580">
        <v>2.8571428571E-2</v>
      </c>
      <c r="BD151" s="580">
        <v>2.8571428571E-2</v>
      </c>
      <c r="BE151" s="580">
        <v>2.8571428571E-2</v>
      </c>
      <c r="BF151" s="580">
        <v>2.8571428571E-2</v>
      </c>
      <c r="BG151" s="580">
        <v>2.8571428571E-2</v>
      </c>
      <c r="BH151" s="580">
        <v>2.8571428571E-2</v>
      </c>
      <c r="BI151" s="580">
        <v>2.8571428571E-2</v>
      </c>
      <c r="BJ151" s="580">
        <v>2.8571428571E-2</v>
      </c>
      <c r="BK151" s="580">
        <v>2.8571428571E-2</v>
      </c>
      <c r="BL151" s="580">
        <v>2.8571428571E-2</v>
      </c>
      <c r="BM151" s="580">
        <v>2.8571428571E-2</v>
      </c>
      <c r="BN151" s="580">
        <v>2.8571428571E-2</v>
      </c>
      <c r="BO151" s="580">
        <v>2.8571428571E-2</v>
      </c>
      <c r="BP151" s="580">
        <v>2.8571428571E-2</v>
      </c>
      <c r="BQ151" s="580">
        <v>2.8571428571E-2</v>
      </c>
      <c r="BR151" s="580">
        <v>2.8571428571E-2</v>
      </c>
      <c r="BS151" s="580">
        <v>2.8571428571E-2</v>
      </c>
      <c r="BT151" s="580">
        <v>2.8571428571E-2</v>
      </c>
      <c r="BU151" s="580">
        <v>0</v>
      </c>
      <c r="BV151" s="580">
        <v>0</v>
      </c>
      <c r="BW151" s="580">
        <v>0</v>
      </c>
      <c r="BX151" s="580">
        <v>0</v>
      </c>
      <c r="BY151" s="580">
        <v>0</v>
      </c>
      <c r="BZ151" s="580">
        <v>0</v>
      </c>
      <c r="CA151" s="580">
        <v>0</v>
      </c>
      <c r="CB151" s="580">
        <v>0</v>
      </c>
      <c r="CC151" s="580">
        <v>0</v>
      </c>
    </row>
    <row r="152" spans="6:81">
      <c r="F152" s="49" t="s">
        <v>115</v>
      </c>
      <c r="G152" s="285">
        <f t="shared" si="107"/>
        <v>27142.857142450001</v>
      </c>
      <c r="I152" s="285">
        <f t="shared" si="108"/>
        <v>27142.857142450001</v>
      </c>
      <c r="J152" s="285">
        <f t="shared" si="109"/>
        <v>0</v>
      </c>
      <c r="K152" s="285">
        <f t="shared" si="110"/>
        <v>0</v>
      </c>
      <c r="L152" s="285">
        <f t="shared" si="111"/>
        <v>0</v>
      </c>
      <c r="M152" s="285">
        <f t="shared" si="112"/>
        <v>0</v>
      </c>
      <c r="N152" s="285">
        <f t="shared" si="113"/>
        <v>0</v>
      </c>
      <c r="O152" s="285">
        <f t="shared" si="114"/>
        <v>0</v>
      </c>
      <c r="P152" s="285">
        <f t="shared" si="115"/>
        <v>0</v>
      </c>
      <c r="Q152" s="285">
        <f t="shared" si="116"/>
        <v>0</v>
      </c>
      <c r="R152" s="285">
        <f t="shared" si="117"/>
        <v>0</v>
      </c>
      <c r="S152" s="285">
        <f t="shared" si="118"/>
        <v>0</v>
      </c>
      <c r="T152" s="285">
        <f t="shared" si="119"/>
        <v>0</v>
      </c>
      <c r="U152" s="285">
        <f t="shared" si="120"/>
        <v>0</v>
      </c>
      <c r="V152" s="285">
        <f t="shared" si="121"/>
        <v>0</v>
      </c>
      <c r="W152" s="285">
        <f t="shared" si="122"/>
        <v>0</v>
      </c>
      <c r="X152" s="285">
        <f t="shared" si="123"/>
        <v>0</v>
      </c>
      <c r="Y152" s="285">
        <f t="shared" si="124"/>
        <v>0</v>
      </c>
      <c r="Z152" s="285">
        <f t="shared" si="125"/>
        <v>0</v>
      </c>
      <c r="AA152" s="285">
        <f t="shared" si="126"/>
        <v>0</v>
      </c>
      <c r="AB152" s="285">
        <f t="shared" si="127"/>
        <v>0</v>
      </c>
      <c r="AC152" s="285">
        <f t="shared" si="128"/>
        <v>0</v>
      </c>
      <c r="AD152" s="285">
        <f t="shared" si="129"/>
        <v>0</v>
      </c>
      <c r="AE152" s="285">
        <f t="shared" si="130"/>
        <v>0</v>
      </c>
      <c r="AF152" s="285">
        <f t="shared" si="131"/>
        <v>0</v>
      </c>
      <c r="AG152" s="285">
        <f t="shared" si="132"/>
        <v>0</v>
      </c>
      <c r="AH152" s="285">
        <f t="shared" si="133"/>
        <v>0</v>
      </c>
      <c r="AI152" s="285">
        <f t="shared" si="134"/>
        <v>0</v>
      </c>
      <c r="AJ152" s="285">
        <f t="shared" si="135"/>
        <v>0</v>
      </c>
      <c r="AK152" s="285">
        <f t="shared" si="136"/>
        <v>0</v>
      </c>
      <c r="AL152" s="285">
        <f t="shared" si="137"/>
        <v>0</v>
      </c>
      <c r="AM152" s="285">
        <f t="shared" si="138"/>
        <v>0</v>
      </c>
      <c r="AN152" s="285">
        <f t="shared" si="139"/>
        <v>0</v>
      </c>
      <c r="AO152" s="285">
        <f t="shared" si="140"/>
        <v>0</v>
      </c>
      <c r="AP152" s="285">
        <f t="shared" si="141"/>
        <v>0</v>
      </c>
      <c r="AQ152" s="285">
        <f t="shared" si="142"/>
        <v>0</v>
      </c>
      <c r="AT152" t="s">
        <v>116</v>
      </c>
      <c r="AU152" s="580">
        <v>2.8571428571E-2</v>
      </c>
      <c r="AV152" s="580">
        <v>2.8571428571E-2</v>
      </c>
      <c r="AW152" s="580">
        <v>2.8571428571E-2</v>
      </c>
      <c r="AX152" s="580">
        <v>2.8571428571E-2</v>
      </c>
      <c r="AY152" s="580">
        <v>2.8571428571E-2</v>
      </c>
      <c r="AZ152" s="580">
        <v>2.8571428571E-2</v>
      </c>
      <c r="BA152" s="580">
        <v>2.8571428571E-2</v>
      </c>
      <c r="BB152" s="580">
        <v>2.8571428571E-2</v>
      </c>
      <c r="BC152" s="580">
        <v>2.8571428571E-2</v>
      </c>
      <c r="BD152" s="580">
        <v>2.8571428571E-2</v>
      </c>
      <c r="BE152" s="580">
        <v>2.8571428571E-2</v>
      </c>
      <c r="BF152" s="580">
        <v>2.8571428571E-2</v>
      </c>
      <c r="BG152" s="580">
        <v>2.8571428571E-2</v>
      </c>
      <c r="BH152" s="580">
        <v>2.8571428571E-2</v>
      </c>
      <c r="BI152" s="580">
        <v>2.8571428571E-2</v>
      </c>
      <c r="BJ152" s="580">
        <v>2.8571428571E-2</v>
      </c>
      <c r="BK152" s="580">
        <v>2.8571428571E-2</v>
      </c>
      <c r="BL152" s="580">
        <v>2.8571428571E-2</v>
      </c>
      <c r="BM152" s="580">
        <v>2.8571428571E-2</v>
      </c>
      <c r="BN152" s="580">
        <v>2.8571428571E-2</v>
      </c>
      <c r="BO152" s="580">
        <v>2.8571428571E-2</v>
      </c>
      <c r="BP152" s="580">
        <v>2.8571428571E-2</v>
      </c>
      <c r="BQ152" s="580">
        <v>2.8571428571E-2</v>
      </c>
      <c r="BR152" s="580">
        <v>2.8571428571E-2</v>
      </c>
      <c r="BS152" s="580">
        <v>2.8571428571E-2</v>
      </c>
      <c r="BT152" s="580">
        <v>2.8571428571E-2</v>
      </c>
      <c r="BU152" s="580">
        <v>2.8571428571E-2</v>
      </c>
      <c r="BV152" s="580">
        <v>0</v>
      </c>
      <c r="BW152" s="580">
        <v>0</v>
      </c>
      <c r="BX152" s="580">
        <v>0</v>
      </c>
      <c r="BY152" s="580">
        <v>0</v>
      </c>
      <c r="BZ152" s="580">
        <v>0</v>
      </c>
      <c r="CA152" s="580">
        <v>0</v>
      </c>
      <c r="CB152" s="580">
        <v>0</v>
      </c>
      <c r="CC152" s="580">
        <v>0</v>
      </c>
    </row>
    <row r="153" spans="6:81">
      <c r="F153" s="49" t="s">
        <v>116</v>
      </c>
      <c r="G153" s="285">
        <f t="shared" si="107"/>
        <v>27142.857142450001</v>
      </c>
      <c r="I153" s="285">
        <f t="shared" si="108"/>
        <v>27142.857142450001</v>
      </c>
      <c r="J153" s="285">
        <f t="shared" si="109"/>
        <v>0</v>
      </c>
      <c r="K153" s="285">
        <f t="shared" si="110"/>
        <v>0</v>
      </c>
      <c r="L153" s="285">
        <f t="shared" si="111"/>
        <v>0</v>
      </c>
      <c r="M153" s="285">
        <f t="shared" si="112"/>
        <v>0</v>
      </c>
      <c r="N153" s="285">
        <f t="shared" si="113"/>
        <v>0</v>
      </c>
      <c r="O153" s="285">
        <f t="shared" si="114"/>
        <v>0</v>
      </c>
      <c r="P153" s="285">
        <f t="shared" si="115"/>
        <v>0</v>
      </c>
      <c r="Q153" s="285">
        <f t="shared" si="116"/>
        <v>0</v>
      </c>
      <c r="R153" s="285">
        <f t="shared" si="117"/>
        <v>0</v>
      </c>
      <c r="S153" s="285">
        <f t="shared" si="118"/>
        <v>0</v>
      </c>
      <c r="T153" s="285">
        <f t="shared" si="119"/>
        <v>0</v>
      </c>
      <c r="U153" s="285">
        <f t="shared" si="120"/>
        <v>0</v>
      </c>
      <c r="V153" s="285">
        <f t="shared" si="121"/>
        <v>0</v>
      </c>
      <c r="W153" s="285">
        <f t="shared" si="122"/>
        <v>0</v>
      </c>
      <c r="X153" s="285">
        <f t="shared" si="123"/>
        <v>0</v>
      </c>
      <c r="Y153" s="285">
        <f t="shared" si="124"/>
        <v>0</v>
      </c>
      <c r="Z153" s="285">
        <f t="shared" si="125"/>
        <v>0</v>
      </c>
      <c r="AA153" s="285">
        <f t="shared" si="126"/>
        <v>0</v>
      </c>
      <c r="AB153" s="285">
        <f t="shared" si="127"/>
        <v>0</v>
      </c>
      <c r="AC153" s="285">
        <f t="shared" si="128"/>
        <v>0</v>
      </c>
      <c r="AD153" s="285">
        <f t="shared" si="129"/>
        <v>0</v>
      </c>
      <c r="AE153" s="285">
        <f t="shared" si="130"/>
        <v>0</v>
      </c>
      <c r="AF153" s="285">
        <f t="shared" si="131"/>
        <v>0</v>
      </c>
      <c r="AG153" s="285">
        <f t="shared" si="132"/>
        <v>0</v>
      </c>
      <c r="AH153" s="285">
        <f t="shared" si="133"/>
        <v>0</v>
      </c>
      <c r="AI153" s="285">
        <f t="shared" si="134"/>
        <v>0</v>
      </c>
      <c r="AJ153" s="285">
        <f t="shared" si="135"/>
        <v>0</v>
      </c>
      <c r="AK153" s="285">
        <f t="shared" si="136"/>
        <v>0</v>
      </c>
      <c r="AL153" s="285">
        <f t="shared" si="137"/>
        <v>0</v>
      </c>
      <c r="AM153" s="285">
        <f t="shared" si="138"/>
        <v>0</v>
      </c>
      <c r="AN153" s="285">
        <f t="shared" si="139"/>
        <v>0</v>
      </c>
      <c r="AO153" s="285">
        <f t="shared" si="140"/>
        <v>0</v>
      </c>
      <c r="AP153" s="285">
        <f t="shared" si="141"/>
        <v>0</v>
      </c>
      <c r="AQ153" s="285">
        <f t="shared" si="142"/>
        <v>0</v>
      </c>
      <c r="AT153" t="s">
        <v>117</v>
      </c>
      <c r="AU153" s="580">
        <v>2.8571428571E-2</v>
      </c>
      <c r="AV153" s="580">
        <v>2.8571428571E-2</v>
      </c>
      <c r="AW153" s="580">
        <v>2.8571428571E-2</v>
      </c>
      <c r="AX153" s="580">
        <v>2.8571428571E-2</v>
      </c>
      <c r="AY153" s="580">
        <v>2.8571428571E-2</v>
      </c>
      <c r="AZ153" s="580">
        <v>2.8571428571E-2</v>
      </c>
      <c r="BA153" s="580">
        <v>2.8571428571E-2</v>
      </c>
      <c r="BB153" s="580">
        <v>2.8571428571E-2</v>
      </c>
      <c r="BC153" s="580">
        <v>2.8571428571E-2</v>
      </c>
      <c r="BD153" s="580">
        <v>2.8571428571E-2</v>
      </c>
      <c r="BE153" s="580">
        <v>2.8571428571E-2</v>
      </c>
      <c r="BF153" s="580">
        <v>2.8571428571E-2</v>
      </c>
      <c r="BG153" s="580">
        <v>2.8571428571E-2</v>
      </c>
      <c r="BH153" s="580">
        <v>2.8571428571E-2</v>
      </c>
      <c r="BI153" s="580">
        <v>2.8571428571E-2</v>
      </c>
      <c r="BJ153" s="580">
        <v>2.8571428571E-2</v>
      </c>
      <c r="BK153" s="580">
        <v>2.8571428571E-2</v>
      </c>
      <c r="BL153" s="580">
        <v>2.8571428571E-2</v>
      </c>
      <c r="BM153" s="580">
        <v>2.8571428571E-2</v>
      </c>
      <c r="BN153" s="580">
        <v>2.8571428571E-2</v>
      </c>
      <c r="BO153" s="580">
        <v>2.8571428571E-2</v>
      </c>
      <c r="BP153" s="580">
        <v>2.8571428571E-2</v>
      </c>
      <c r="BQ153" s="580">
        <v>2.8571428571E-2</v>
      </c>
      <c r="BR153" s="580">
        <v>2.8571428571E-2</v>
      </c>
      <c r="BS153" s="580">
        <v>2.8571428571E-2</v>
      </c>
      <c r="BT153" s="580">
        <v>2.8571428571E-2</v>
      </c>
      <c r="BU153" s="580">
        <v>2.8571428571E-2</v>
      </c>
      <c r="BV153" s="580">
        <v>2.8571428571E-2</v>
      </c>
      <c r="BW153" s="580">
        <v>0</v>
      </c>
      <c r="BX153" s="580">
        <v>0</v>
      </c>
      <c r="BY153" s="580">
        <v>0</v>
      </c>
      <c r="BZ153" s="580">
        <v>0</v>
      </c>
      <c r="CA153" s="580">
        <v>0</v>
      </c>
      <c r="CB153" s="580">
        <v>0</v>
      </c>
      <c r="CC153" s="580">
        <v>0</v>
      </c>
    </row>
    <row r="154" spans="6:81">
      <c r="F154" s="49" t="s">
        <v>117</v>
      </c>
      <c r="G154" s="285">
        <f t="shared" si="107"/>
        <v>27142.857142450001</v>
      </c>
      <c r="I154" s="285">
        <f t="shared" si="108"/>
        <v>27142.857142450001</v>
      </c>
      <c r="J154" s="285">
        <f t="shared" si="109"/>
        <v>0</v>
      </c>
      <c r="K154" s="285">
        <f t="shared" si="110"/>
        <v>0</v>
      </c>
      <c r="L154" s="285">
        <f t="shared" si="111"/>
        <v>0</v>
      </c>
      <c r="M154" s="285">
        <f t="shared" si="112"/>
        <v>0</v>
      </c>
      <c r="N154" s="285">
        <f t="shared" si="113"/>
        <v>0</v>
      </c>
      <c r="O154" s="285">
        <f t="shared" si="114"/>
        <v>0</v>
      </c>
      <c r="P154" s="285">
        <f t="shared" si="115"/>
        <v>0</v>
      </c>
      <c r="Q154" s="285">
        <f t="shared" si="116"/>
        <v>0</v>
      </c>
      <c r="R154" s="285">
        <f t="shared" si="117"/>
        <v>0</v>
      </c>
      <c r="S154" s="285">
        <f t="shared" si="118"/>
        <v>0</v>
      </c>
      <c r="T154" s="285">
        <f t="shared" si="119"/>
        <v>0</v>
      </c>
      <c r="U154" s="285">
        <f t="shared" si="120"/>
        <v>0</v>
      </c>
      <c r="V154" s="285">
        <f t="shared" si="121"/>
        <v>0</v>
      </c>
      <c r="W154" s="285">
        <f t="shared" si="122"/>
        <v>0</v>
      </c>
      <c r="X154" s="285">
        <f t="shared" si="123"/>
        <v>0</v>
      </c>
      <c r="Y154" s="285">
        <f t="shared" si="124"/>
        <v>0</v>
      </c>
      <c r="Z154" s="285">
        <f t="shared" si="125"/>
        <v>0</v>
      </c>
      <c r="AA154" s="285">
        <f t="shared" si="126"/>
        <v>0</v>
      </c>
      <c r="AB154" s="285">
        <f t="shared" si="127"/>
        <v>0</v>
      </c>
      <c r="AC154" s="285">
        <f t="shared" si="128"/>
        <v>0</v>
      </c>
      <c r="AD154" s="285">
        <f t="shared" si="129"/>
        <v>0</v>
      </c>
      <c r="AE154" s="285">
        <f t="shared" si="130"/>
        <v>0</v>
      </c>
      <c r="AF154" s="285">
        <f t="shared" si="131"/>
        <v>0</v>
      </c>
      <c r="AG154" s="285">
        <f t="shared" si="132"/>
        <v>0</v>
      </c>
      <c r="AH154" s="285">
        <f t="shared" si="133"/>
        <v>0</v>
      </c>
      <c r="AI154" s="285">
        <f t="shared" si="134"/>
        <v>0</v>
      </c>
      <c r="AJ154" s="285">
        <f t="shared" si="135"/>
        <v>0</v>
      </c>
      <c r="AK154" s="285">
        <f t="shared" si="136"/>
        <v>0</v>
      </c>
      <c r="AL154" s="285">
        <f t="shared" si="137"/>
        <v>0</v>
      </c>
      <c r="AM154" s="285">
        <f t="shared" si="138"/>
        <v>0</v>
      </c>
      <c r="AN154" s="285">
        <f t="shared" si="139"/>
        <v>0</v>
      </c>
      <c r="AO154" s="285">
        <f t="shared" si="140"/>
        <v>0</v>
      </c>
      <c r="AP154" s="285">
        <f t="shared" si="141"/>
        <v>0</v>
      </c>
      <c r="AQ154" s="285">
        <f t="shared" si="142"/>
        <v>0</v>
      </c>
      <c r="AT154" t="s">
        <v>118</v>
      </c>
      <c r="AU154" s="580">
        <v>2.8571428571E-2</v>
      </c>
      <c r="AV154" s="580">
        <v>2.8571428571E-2</v>
      </c>
      <c r="AW154" s="580">
        <v>2.8571428571E-2</v>
      </c>
      <c r="AX154" s="580">
        <v>2.8571428571E-2</v>
      </c>
      <c r="AY154" s="580">
        <v>2.8571428571E-2</v>
      </c>
      <c r="AZ154" s="580">
        <v>2.8571428571E-2</v>
      </c>
      <c r="BA154" s="580">
        <v>2.8571428571E-2</v>
      </c>
      <c r="BB154" s="580">
        <v>2.8571428571E-2</v>
      </c>
      <c r="BC154" s="580">
        <v>2.8571428571E-2</v>
      </c>
      <c r="BD154" s="580">
        <v>2.8571428571E-2</v>
      </c>
      <c r="BE154" s="580">
        <v>2.8571428571E-2</v>
      </c>
      <c r="BF154" s="580">
        <v>2.8571428571E-2</v>
      </c>
      <c r="BG154" s="580">
        <v>2.8571428571E-2</v>
      </c>
      <c r="BH154" s="580">
        <v>2.8571428571E-2</v>
      </c>
      <c r="BI154" s="580">
        <v>2.8571428571E-2</v>
      </c>
      <c r="BJ154" s="580">
        <v>2.8571428571E-2</v>
      </c>
      <c r="BK154" s="580">
        <v>2.8571428571E-2</v>
      </c>
      <c r="BL154" s="580">
        <v>2.8571428571E-2</v>
      </c>
      <c r="BM154" s="580">
        <v>2.8571428571E-2</v>
      </c>
      <c r="BN154" s="580">
        <v>2.8571428571E-2</v>
      </c>
      <c r="BO154" s="580">
        <v>2.8571428571E-2</v>
      </c>
      <c r="BP154" s="580">
        <v>2.8571428571E-2</v>
      </c>
      <c r="BQ154" s="580">
        <v>2.8571428571E-2</v>
      </c>
      <c r="BR154" s="580">
        <v>2.8571428571E-2</v>
      </c>
      <c r="BS154" s="580">
        <v>2.8571428571E-2</v>
      </c>
      <c r="BT154" s="580">
        <v>2.8571428571E-2</v>
      </c>
      <c r="BU154" s="580">
        <v>2.8571428571E-2</v>
      </c>
      <c r="BV154" s="580">
        <v>2.8571428571E-2</v>
      </c>
      <c r="BW154" s="580">
        <v>2.8571428571E-2</v>
      </c>
      <c r="BX154" s="580">
        <v>0</v>
      </c>
      <c r="BY154" s="580">
        <v>0</v>
      </c>
      <c r="BZ154" s="580">
        <v>0</v>
      </c>
      <c r="CA154" s="580">
        <v>0</v>
      </c>
      <c r="CB154" s="580">
        <v>0</v>
      </c>
      <c r="CC154" s="580">
        <v>0</v>
      </c>
    </row>
    <row r="155" spans="6:81">
      <c r="F155" s="49" t="s">
        <v>118</v>
      </c>
      <c r="G155" s="285">
        <f t="shared" si="107"/>
        <v>27142.857142450001</v>
      </c>
      <c r="I155" s="285">
        <f t="shared" si="108"/>
        <v>27142.857142450001</v>
      </c>
      <c r="J155" s="285">
        <f t="shared" si="109"/>
        <v>0</v>
      </c>
      <c r="K155" s="285">
        <f t="shared" si="110"/>
        <v>0</v>
      </c>
      <c r="L155" s="285">
        <f t="shared" si="111"/>
        <v>0</v>
      </c>
      <c r="M155" s="285">
        <f t="shared" si="112"/>
        <v>0</v>
      </c>
      <c r="N155" s="285">
        <f t="shared" si="113"/>
        <v>0</v>
      </c>
      <c r="O155" s="285">
        <f t="shared" si="114"/>
        <v>0</v>
      </c>
      <c r="P155" s="285">
        <f t="shared" si="115"/>
        <v>0</v>
      </c>
      <c r="Q155" s="285">
        <f t="shared" si="116"/>
        <v>0</v>
      </c>
      <c r="R155" s="285">
        <f t="shared" si="117"/>
        <v>0</v>
      </c>
      <c r="S155" s="285">
        <f t="shared" si="118"/>
        <v>0</v>
      </c>
      <c r="T155" s="285">
        <f t="shared" si="119"/>
        <v>0</v>
      </c>
      <c r="U155" s="285">
        <f t="shared" si="120"/>
        <v>0</v>
      </c>
      <c r="V155" s="285">
        <f t="shared" si="121"/>
        <v>0</v>
      </c>
      <c r="W155" s="285">
        <f t="shared" si="122"/>
        <v>0</v>
      </c>
      <c r="X155" s="285">
        <f t="shared" si="123"/>
        <v>0</v>
      </c>
      <c r="Y155" s="285">
        <f t="shared" si="124"/>
        <v>0</v>
      </c>
      <c r="Z155" s="285">
        <f t="shared" si="125"/>
        <v>0</v>
      </c>
      <c r="AA155" s="285">
        <f t="shared" si="126"/>
        <v>0</v>
      </c>
      <c r="AB155" s="285">
        <f t="shared" si="127"/>
        <v>0</v>
      </c>
      <c r="AC155" s="285">
        <f t="shared" si="128"/>
        <v>0</v>
      </c>
      <c r="AD155" s="285">
        <f t="shared" si="129"/>
        <v>0</v>
      </c>
      <c r="AE155" s="285">
        <f t="shared" si="130"/>
        <v>0</v>
      </c>
      <c r="AF155" s="285">
        <f t="shared" si="131"/>
        <v>0</v>
      </c>
      <c r="AG155" s="285">
        <f t="shared" si="132"/>
        <v>0</v>
      </c>
      <c r="AH155" s="285">
        <f t="shared" si="133"/>
        <v>0</v>
      </c>
      <c r="AI155" s="285">
        <f t="shared" si="134"/>
        <v>0</v>
      </c>
      <c r="AJ155" s="285">
        <f t="shared" si="135"/>
        <v>0</v>
      </c>
      <c r="AK155" s="285">
        <f t="shared" si="136"/>
        <v>0</v>
      </c>
      <c r="AL155" s="285">
        <f t="shared" si="137"/>
        <v>0</v>
      </c>
      <c r="AM155" s="285">
        <f t="shared" si="138"/>
        <v>0</v>
      </c>
      <c r="AN155" s="285">
        <f t="shared" si="139"/>
        <v>0</v>
      </c>
      <c r="AO155" s="285">
        <f t="shared" si="140"/>
        <v>0</v>
      </c>
      <c r="AP155" s="285">
        <f t="shared" si="141"/>
        <v>0</v>
      </c>
      <c r="AQ155" s="285">
        <f t="shared" si="142"/>
        <v>0</v>
      </c>
      <c r="AT155" t="s">
        <v>119</v>
      </c>
      <c r="AU155" s="580">
        <v>2.8571428571E-2</v>
      </c>
      <c r="AV155" s="580">
        <v>2.8571428571E-2</v>
      </c>
      <c r="AW155" s="580">
        <v>2.8571428571E-2</v>
      </c>
      <c r="AX155" s="580">
        <v>2.8571428571E-2</v>
      </c>
      <c r="AY155" s="580">
        <v>2.8571428571E-2</v>
      </c>
      <c r="AZ155" s="580">
        <v>2.8571428571E-2</v>
      </c>
      <c r="BA155" s="580">
        <v>2.8571428571E-2</v>
      </c>
      <c r="BB155" s="580">
        <v>2.8571428571E-2</v>
      </c>
      <c r="BC155" s="580">
        <v>2.8571428571E-2</v>
      </c>
      <c r="BD155" s="580">
        <v>2.8571428571E-2</v>
      </c>
      <c r="BE155" s="580">
        <v>2.8571428571E-2</v>
      </c>
      <c r="BF155" s="580">
        <v>2.8571428571E-2</v>
      </c>
      <c r="BG155" s="580">
        <v>2.8571428571E-2</v>
      </c>
      <c r="BH155" s="580">
        <v>2.8571428571E-2</v>
      </c>
      <c r="BI155" s="580">
        <v>2.8571428571E-2</v>
      </c>
      <c r="BJ155" s="580">
        <v>2.8571428571E-2</v>
      </c>
      <c r="BK155" s="580">
        <v>2.8571428571E-2</v>
      </c>
      <c r="BL155" s="580">
        <v>2.8571428571E-2</v>
      </c>
      <c r="BM155" s="580">
        <v>2.8571428571E-2</v>
      </c>
      <c r="BN155" s="580">
        <v>2.8571428571E-2</v>
      </c>
      <c r="BO155" s="580">
        <v>2.8571428571E-2</v>
      </c>
      <c r="BP155" s="580">
        <v>2.8571428571E-2</v>
      </c>
      <c r="BQ155" s="580">
        <v>2.8571428571E-2</v>
      </c>
      <c r="BR155" s="580">
        <v>2.8571428571E-2</v>
      </c>
      <c r="BS155" s="580">
        <v>2.8571428571E-2</v>
      </c>
      <c r="BT155" s="580">
        <v>2.8571428571E-2</v>
      </c>
      <c r="BU155" s="580">
        <v>2.8571428571E-2</v>
      </c>
      <c r="BV155" s="580">
        <v>2.8571428571E-2</v>
      </c>
      <c r="BW155" s="580">
        <v>2.8571428571E-2</v>
      </c>
      <c r="BX155" s="580">
        <v>2.8571428571E-2</v>
      </c>
      <c r="BY155" s="580">
        <v>0</v>
      </c>
      <c r="BZ155" s="580">
        <v>0</v>
      </c>
      <c r="CA155" s="580">
        <v>0</v>
      </c>
      <c r="CB155" s="580">
        <v>0</v>
      </c>
      <c r="CC155" s="580">
        <v>0</v>
      </c>
    </row>
    <row r="156" spans="6:81">
      <c r="F156" s="49" t="s">
        <v>119</v>
      </c>
      <c r="G156" s="285">
        <f t="shared" si="107"/>
        <v>27142.857142450001</v>
      </c>
      <c r="I156" s="285">
        <f t="shared" si="108"/>
        <v>27142.857142450001</v>
      </c>
      <c r="J156" s="285">
        <f t="shared" si="109"/>
        <v>0</v>
      </c>
      <c r="K156" s="285">
        <f t="shared" si="110"/>
        <v>0</v>
      </c>
      <c r="L156" s="285">
        <f t="shared" si="111"/>
        <v>0</v>
      </c>
      <c r="M156" s="285">
        <f t="shared" si="112"/>
        <v>0</v>
      </c>
      <c r="N156" s="285">
        <f t="shared" si="113"/>
        <v>0</v>
      </c>
      <c r="O156" s="285">
        <f t="shared" si="114"/>
        <v>0</v>
      </c>
      <c r="P156" s="285">
        <f t="shared" si="115"/>
        <v>0</v>
      </c>
      <c r="Q156" s="285">
        <f t="shared" si="116"/>
        <v>0</v>
      </c>
      <c r="R156" s="285">
        <f t="shared" si="117"/>
        <v>0</v>
      </c>
      <c r="S156" s="285">
        <f t="shared" si="118"/>
        <v>0</v>
      </c>
      <c r="T156" s="285">
        <f t="shared" si="119"/>
        <v>0</v>
      </c>
      <c r="U156" s="285">
        <f t="shared" si="120"/>
        <v>0</v>
      </c>
      <c r="V156" s="285">
        <f t="shared" si="121"/>
        <v>0</v>
      </c>
      <c r="W156" s="285">
        <f t="shared" si="122"/>
        <v>0</v>
      </c>
      <c r="X156" s="285">
        <f t="shared" si="123"/>
        <v>0</v>
      </c>
      <c r="Y156" s="285">
        <f t="shared" si="124"/>
        <v>0</v>
      </c>
      <c r="Z156" s="285">
        <f t="shared" si="125"/>
        <v>0</v>
      </c>
      <c r="AA156" s="285">
        <f t="shared" si="126"/>
        <v>0</v>
      </c>
      <c r="AB156" s="285">
        <f t="shared" si="127"/>
        <v>0</v>
      </c>
      <c r="AC156" s="285">
        <f t="shared" si="128"/>
        <v>0</v>
      </c>
      <c r="AD156" s="285">
        <f t="shared" si="129"/>
        <v>0</v>
      </c>
      <c r="AE156" s="285">
        <f t="shared" si="130"/>
        <v>0</v>
      </c>
      <c r="AF156" s="285">
        <f t="shared" si="131"/>
        <v>0</v>
      </c>
      <c r="AG156" s="285">
        <f t="shared" si="132"/>
        <v>0</v>
      </c>
      <c r="AH156" s="285">
        <f t="shared" si="133"/>
        <v>0</v>
      </c>
      <c r="AI156" s="285">
        <f t="shared" si="134"/>
        <v>0</v>
      </c>
      <c r="AJ156" s="285">
        <f t="shared" si="135"/>
        <v>0</v>
      </c>
      <c r="AK156" s="285">
        <f t="shared" si="136"/>
        <v>0</v>
      </c>
      <c r="AL156" s="285">
        <f t="shared" si="137"/>
        <v>0</v>
      </c>
      <c r="AM156" s="285">
        <f t="shared" si="138"/>
        <v>0</v>
      </c>
      <c r="AN156" s="285">
        <f t="shared" si="139"/>
        <v>0</v>
      </c>
      <c r="AO156" s="285">
        <f t="shared" si="140"/>
        <v>0</v>
      </c>
      <c r="AP156" s="285">
        <f t="shared" si="141"/>
        <v>0</v>
      </c>
      <c r="AQ156" s="285">
        <f t="shared" si="142"/>
        <v>0</v>
      </c>
      <c r="AT156" t="s">
        <v>120</v>
      </c>
      <c r="AU156" s="580">
        <v>2.8571428571E-2</v>
      </c>
      <c r="AV156" s="580">
        <v>2.8571428571E-2</v>
      </c>
      <c r="AW156" s="580">
        <v>2.8571428571E-2</v>
      </c>
      <c r="AX156" s="580">
        <v>2.8571428571E-2</v>
      </c>
      <c r="AY156" s="580">
        <v>2.8571428571E-2</v>
      </c>
      <c r="AZ156" s="580">
        <v>2.8571428571E-2</v>
      </c>
      <c r="BA156" s="580">
        <v>2.8571428571E-2</v>
      </c>
      <c r="BB156" s="580">
        <v>2.8571428571E-2</v>
      </c>
      <c r="BC156" s="580">
        <v>2.8571428571E-2</v>
      </c>
      <c r="BD156" s="580">
        <v>2.8571428571E-2</v>
      </c>
      <c r="BE156" s="580">
        <v>2.8571428571E-2</v>
      </c>
      <c r="BF156" s="580">
        <v>2.8571428571E-2</v>
      </c>
      <c r="BG156" s="580">
        <v>2.8571428571E-2</v>
      </c>
      <c r="BH156" s="580">
        <v>2.8571428571E-2</v>
      </c>
      <c r="BI156" s="580">
        <v>2.8571428571E-2</v>
      </c>
      <c r="BJ156" s="580">
        <v>2.8571428571E-2</v>
      </c>
      <c r="BK156" s="580">
        <v>2.8571428571E-2</v>
      </c>
      <c r="BL156" s="580">
        <v>2.8571428571E-2</v>
      </c>
      <c r="BM156" s="580">
        <v>2.8571428571E-2</v>
      </c>
      <c r="BN156" s="580">
        <v>2.8571428571E-2</v>
      </c>
      <c r="BO156" s="580">
        <v>2.8571428571E-2</v>
      </c>
      <c r="BP156" s="580">
        <v>2.8571428571E-2</v>
      </c>
      <c r="BQ156" s="580">
        <v>2.8571428571E-2</v>
      </c>
      <c r="BR156" s="580">
        <v>2.8571428571E-2</v>
      </c>
      <c r="BS156" s="580">
        <v>2.8571428571E-2</v>
      </c>
      <c r="BT156" s="580">
        <v>2.8571428571E-2</v>
      </c>
      <c r="BU156" s="580">
        <v>2.8571428571E-2</v>
      </c>
      <c r="BV156" s="580">
        <v>2.8571428571E-2</v>
      </c>
      <c r="BW156" s="580">
        <v>2.8571428571E-2</v>
      </c>
      <c r="BX156" s="580">
        <v>2.8571428571E-2</v>
      </c>
      <c r="BY156" s="580">
        <v>2.8571428571E-2</v>
      </c>
      <c r="BZ156" s="580">
        <v>0</v>
      </c>
      <c r="CA156" s="580">
        <v>0</v>
      </c>
      <c r="CB156" s="580">
        <v>0</v>
      </c>
      <c r="CC156" s="580">
        <v>0</v>
      </c>
    </row>
    <row r="157" spans="6:81">
      <c r="F157" s="49" t="s">
        <v>120</v>
      </c>
      <c r="G157" s="285">
        <f t="shared" si="107"/>
        <v>27142.857142450001</v>
      </c>
      <c r="I157" s="285">
        <f t="shared" si="108"/>
        <v>27142.857142450001</v>
      </c>
      <c r="J157" s="285">
        <f t="shared" si="109"/>
        <v>0</v>
      </c>
      <c r="K157" s="285">
        <f t="shared" si="110"/>
        <v>0</v>
      </c>
      <c r="L157" s="285">
        <f t="shared" si="111"/>
        <v>0</v>
      </c>
      <c r="M157" s="285">
        <f t="shared" si="112"/>
        <v>0</v>
      </c>
      <c r="N157" s="285">
        <f t="shared" si="113"/>
        <v>0</v>
      </c>
      <c r="O157" s="285">
        <f t="shared" si="114"/>
        <v>0</v>
      </c>
      <c r="P157" s="285">
        <f t="shared" si="115"/>
        <v>0</v>
      </c>
      <c r="Q157" s="285">
        <f t="shared" si="116"/>
        <v>0</v>
      </c>
      <c r="R157" s="285">
        <f t="shared" si="117"/>
        <v>0</v>
      </c>
      <c r="S157" s="285">
        <f t="shared" si="118"/>
        <v>0</v>
      </c>
      <c r="T157" s="285">
        <f t="shared" si="119"/>
        <v>0</v>
      </c>
      <c r="U157" s="285">
        <f t="shared" si="120"/>
        <v>0</v>
      </c>
      <c r="V157" s="285">
        <f t="shared" si="121"/>
        <v>0</v>
      </c>
      <c r="W157" s="285">
        <f t="shared" si="122"/>
        <v>0</v>
      </c>
      <c r="X157" s="285">
        <f t="shared" si="123"/>
        <v>0</v>
      </c>
      <c r="Y157" s="285">
        <f t="shared" si="124"/>
        <v>0</v>
      </c>
      <c r="Z157" s="285">
        <f t="shared" si="125"/>
        <v>0</v>
      </c>
      <c r="AA157" s="285">
        <f t="shared" si="126"/>
        <v>0</v>
      </c>
      <c r="AB157" s="285">
        <f t="shared" si="127"/>
        <v>0</v>
      </c>
      <c r="AC157" s="285">
        <f t="shared" si="128"/>
        <v>0</v>
      </c>
      <c r="AD157" s="285">
        <f t="shared" si="129"/>
        <v>0</v>
      </c>
      <c r="AE157" s="285">
        <f t="shared" si="130"/>
        <v>0</v>
      </c>
      <c r="AF157" s="285">
        <f t="shared" si="131"/>
        <v>0</v>
      </c>
      <c r="AG157" s="285">
        <f t="shared" si="132"/>
        <v>0</v>
      </c>
      <c r="AH157" s="285">
        <f t="shared" si="133"/>
        <v>0</v>
      </c>
      <c r="AI157" s="285">
        <f t="shared" si="134"/>
        <v>0</v>
      </c>
      <c r="AJ157" s="285">
        <f t="shared" si="135"/>
        <v>0</v>
      </c>
      <c r="AK157" s="285">
        <f t="shared" si="136"/>
        <v>0</v>
      </c>
      <c r="AL157" s="285">
        <f t="shared" si="137"/>
        <v>0</v>
      </c>
      <c r="AM157" s="285">
        <f t="shared" si="138"/>
        <v>0</v>
      </c>
      <c r="AN157" s="285">
        <f t="shared" si="139"/>
        <v>0</v>
      </c>
      <c r="AO157" s="285">
        <f t="shared" si="140"/>
        <v>0</v>
      </c>
      <c r="AP157" s="285">
        <f t="shared" si="141"/>
        <v>0</v>
      </c>
      <c r="AQ157" s="285">
        <f t="shared" si="142"/>
        <v>0</v>
      </c>
      <c r="AT157" t="s">
        <v>121</v>
      </c>
      <c r="AU157" s="580">
        <v>2.8571428571E-2</v>
      </c>
      <c r="AV157" s="580">
        <v>2.8571428571E-2</v>
      </c>
      <c r="AW157" s="580">
        <v>2.8571428571E-2</v>
      </c>
      <c r="AX157" s="580">
        <v>2.8571428571E-2</v>
      </c>
      <c r="AY157" s="580">
        <v>2.8571428571E-2</v>
      </c>
      <c r="AZ157" s="580">
        <v>2.8571428571E-2</v>
      </c>
      <c r="BA157" s="580">
        <v>2.8571428571E-2</v>
      </c>
      <c r="BB157" s="580">
        <v>2.8571428571E-2</v>
      </c>
      <c r="BC157" s="580">
        <v>2.8571428571E-2</v>
      </c>
      <c r="BD157" s="580">
        <v>2.8571428571E-2</v>
      </c>
      <c r="BE157" s="580">
        <v>2.8571428571E-2</v>
      </c>
      <c r="BF157" s="580">
        <v>2.8571428571E-2</v>
      </c>
      <c r="BG157" s="580">
        <v>2.8571428571E-2</v>
      </c>
      <c r="BH157" s="580">
        <v>2.8571428571E-2</v>
      </c>
      <c r="BI157" s="580">
        <v>2.8571428571E-2</v>
      </c>
      <c r="BJ157" s="580">
        <v>2.8571428571E-2</v>
      </c>
      <c r="BK157" s="580">
        <v>2.8571428571E-2</v>
      </c>
      <c r="BL157" s="580">
        <v>2.8571428571E-2</v>
      </c>
      <c r="BM157" s="580">
        <v>2.8571428571E-2</v>
      </c>
      <c r="BN157" s="580">
        <v>2.8571428571E-2</v>
      </c>
      <c r="BO157" s="580">
        <v>2.8571428571E-2</v>
      </c>
      <c r="BP157" s="580">
        <v>2.8571428571E-2</v>
      </c>
      <c r="BQ157" s="580">
        <v>2.8571428571E-2</v>
      </c>
      <c r="BR157" s="580">
        <v>2.8571428571E-2</v>
      </c>
      <c r="BS157" s="580">
        <v>2.8571428571E-2</v>
      </c>
      <c r="BT157" s="580">
        <v>2.8571428571E-2</v>
      </c>
      <c r="BU157" s="580">
        <v>2.8571428571E-2</v>
      </c>
      <c r="BV157" s="580">
        <v>2.8571428571E-2</v>
      </c>
      <c r="BW157" s="580">
        <v>2.8571428571E-2</v>
      </c>
      <c r="BX157" s="580">
        <v>2.8571428571E-2</v>
      </c>
      <c r="BY157" s="580">
        <v>2.8571428571E-2</v>
      </c>
      <c r="BZ157" s="580">
        <v>2.8571428571E-2</v>
      </c>
      <c r="CA157" s="580">
        <v>0</v>
      </c>
      <c r="CB157" s="580">
        <v>0</v>
      </c>
      <c r="CC157" s="580">
        <v>0</v>
      </c>
    </row>
    <row r="158" spans="6:81">
      <c r="F158" s="49" t="s">
        <v>121</v>
      </c>
      <c r="G158" s="285">
        <f t="shared" si="107"/>
        <v>27142.857142450001</v>
      </c>
      <c r="I158" s="285">
        <f t="shared" si="108"/>
        <v>27142.857142450001</v>
      </c>
      <c r="J158" s="285">
        <f t="shared" si="109"/>
        <v>0</v>
      </c>
      <c r="K158" s="285">
        <f t="shared" si="110"/>
        <v>0</v>
      </c>
      <c r="L158" s="285">
        <f t="shared" si="111"/>
        <v>0</v>
      </c>
      <c r="M158" s="285">
        <f t="shared" si="112"/>
        <v>0</v>
      </c>
      <c r="N158" s="285">
        <f t="shared" si="113"/>
        <v>0</v>
      </c>
      <c r="O158" s="285">
        <f t="shared" si="114"/>
        <v>0</v>
      </c>
      <c r="P158" s="285">
        <f t="shared" si="115"/>
        <v>0</v>
      </c>
      <c r="Q158" s="285">
        <f t="shared" si="116"/>
        <v>0</v>
      </c>
      <c r="R158" s="285">
        <f t="shared" si="117"/>
        <v>0</v>
      </c>
      <c r="S158" s="285">
        <f t="shared" si="118"/>
        <v>0</v>
      </c>
      <c r="T158" s="285">
        <f t="shared" si="119"/>
        <v>0</v>
      </c>
      <c r="U158" s="285">
        <f t="shared" si="120"/>
        <v>0</v>
      </c>
      <c r="V158" s="285">
        <f t="shared" si="121"/>
        <v>0</v>
      </c>
      <c r="W158" s="285">
        <f t="shared" si="122"/>
        <v>0</v>
      </c>
      <c r="X158" s="285">
        <f t="shared" si="123"/>
        <v>0</v>
      </c>
      <c r="Y158" s="285">
        <f t="shared" si="124"/>
        <v>0</v>
      </c>
      <c r="Z158" s="285">
        <f t="shared" si="125"/>
        <v>0</v>
      </c>
      <c r="AA158" s="285">
        <f t="shared" si="126"/>
        <v>0</v>
      </c>
      <c r="AB158" s="285">
        <f t="shared" si="127"/>
        <v>0</v>
      </c>
      <c r="AC158" s="285">
        <f t="shared" si="128"/>
        <v>0</v>
      </c>
      <c r="AD158" s="285">
        <f t="shared" si="129"/>
        <v>0</v>
      </c>
      <c r="AE158" s="285">
        <f t="shared" si="130"/>
        <v>0</v>
      </c>
      <c r="AF158" s="285">
        <f t="shared" si="131"/>
        <v>0</v>
      </c>
      <c r="AG158" s="285">
        <f t="shared" si="132"/>
        <v>0</v>
      </c>
      <c r="AH158" s="285">
        <f t="shared" si="133"/>
        <v>0</v>
      </c>
      <c r="AI158" s="285">
        <f t="shared" si="134"/>
        <v>0</v>
      </c>
      <c r="AJ158" s="285">
        <f t="shared" si="135"/>
        <v>0</v>
      </c>
      <c r="AK158" s="285">
        <f t="shared" si="136"/>
        <v>0</v>
      </c>
      <c r="AL158" s="285">
        <f t="shared" si="137"/>
        <v>0</v>
      </c>
      <c r="AM158" s="285">
        <f t="shared" si="138"/>
        <v>0</v>
      </c>
      <c r="AN158" s="285">
        <f t="shared" si="139"/>
        <v>0</v>
      </c>
      <c r="AO158" s="285">
        <f t="shared" si="140"/>
        <v>0</v>
      </c>
      <c r="AP158" s="285">
        <f t="shared" si="141"/>
        <v>0</v>
      </c>
      <c r="AQ158" s="285">
        <f t="shared" si="142"/>
        <v>0</v>
      </c>
      <c r="AT158" t="s">
        <v>122</v>
      </c>
      <c r="AU158" s="580">
        <v>2.8571428571E-2</v>
      </c>
      <c r="AV158" s="580">
        <v>2.8571428571E-2</v>
      </c>
      <c r="AW158" s="580">
        <v>2.8571428571E-2</v>
      </c>
      <c r="AX158" s="580">
        <v>2.8571428571E-2</v>
      </c>
      <c r="AY158" s="580">
        <v>2.8571428571E-2</v>
      </c>
      <c r="AZ158" s="580">
        <v>2.8571428571E-2</v>
      </c>
      <c r="BA158" s="580">
        <v>2.8571428571E-2</v>
      </c>
      <c r="BB158" s="580">
        <v>2.8571428571E-2</v>
      </c>
      <c r="BC158" s="580">
        <v>2.8571428571E-2</v>
      </c>
      <c r="BD158" s="580">
        <v>2.8571428571E-2</v>
      </c>
      <c r="BE158" s="580">
        <v>2.8571428571E-2</v>
      </c>
      <c r="BF158" s="580">
        <v>2.8571428571E-2</v>
      </c>
      <c r="BG158" s="580">
        <v>2.8571428571E-2</v>
      </c>
      <c r="BH158" s="580">
        <v>2.8571428571E-2</v>
      </c>
      <c r="BI158" s="580">
        <v>2.8571428571E-2</v>
      </c>
      <c r="BJ158" s="580">
        <v>2.8571428571E-2</v>
      </c>
      <c r="BK158" s="580">
        <v>2.8571428571E-2</v>
      </c>
      <c r="BL158" s="580">
        <v>2.8571428571E-2</v>
      </c>
      <c r="BM158" s="580">
        <v>2.8571428571E-2</v>
      </c>
      <c r="BN158" s="580">
        <v>2.8571428571E-2</v>
      </c>
      <c r="BO158" s="580">
        <v>2.8571428571E-2</v>
      </c>
      <c r="BP158" s="580">
        <v>2.8571428571E-2</v>
      </c>
      <c r="BQ158" s="580">
        <v>2.8571428571E-2</v>
      </c>
      <c r="BR158" s="580">
        <v>2.8571428571E-2</v>
      </c>
      <c r="BS158" s="580">
        <v>2.8571428571E-2</v>
      </c>
      <c r="BT158" s="580">
        <v>2.8571428571E-2</v>
      </c>
      <c r="BU158" s="580">
        <v>2.8571428571E-2</v>
      </c>
      <c r="BV158" s="580">
        <v>2.8571428571E-2</v>
      </c>
      <c r="BW158" s="580">
        <v>2.8571428571E-2</v>
      </c>
      <c r="BX158" s="580">
        <v>2.8571428571E-2</v>
      </c>
      <c r="BY158" s="580">
        <v>2.8571428571E-2</v>
      </c>
      <c r="BZ158" s="580">
        <v>2.8571428571E-2</v>
      </c>
      <c r="CA158" s="580">
        <v>2.8571428571E-2</v>
      </c>
      <c r="CB158" s="580">
        <v>0</v>
      </c>
      <c r="CC158" s="580">
        <v>0</v>
      </c>
    </row>
    <row r="159" spans="6:81">
      <c r="F159" s="49" t="s">
        <v>122</v>
      </c>
      <c r="G159" s="285">
        <f t="shared" si="107"/>
        <v>27142.857142450001</v>
      </c>
      <c r="I159" s="285">
        <f t="shared" si="108"/>
        <v>27142.857142450001</v>
      </c>
      <c r="J159" s="285">
        <f t="shared" si="109"/>
        <v>0</v>
      </c>
      <c r="K159" s="285">
        <f t="shared" si="110"/>
        <v>0</v>
      </c>
      <c r="L159" s="285">
        <f t="shared" si="111"/>
        <v>0</v>
      </c>
      <c r="M159" s="285">
        <f t="shared" si="112"/>
        <v>0</v>
      </c>
      <c r="N159" s="285">
        <f t="shared" si="113"/>
        <v>0</v>
      </c>
      <c r="O159" s="285">
        <f t="shared" si="114"/>
        <v>0</v>
      </c>
      <c r="P159" s="285">
        <f t="shared" si="115"/>
        <v>0</v>
      </c>
      <c r="Q159" s="285">
        <f t="shared" si="116"/>
        <v>0</v>
      </c>
      <c r="R159" s="285">
        <f t="shared" si="117"/>
        <v>0</v>
      </c>
      <c r="S159" s="285">
        <f t="shared" si="118"/>
        <v>0</v>
      </c>
      <c r="T159" s="285">
        <f t="shared" si="119"/>
        <v>0</v>
      </c>
      <c r="U159" s="285">
        <f t="shared" si="120"/>
        <v>0</v>
      </c>
      <c r="V159" s="285">
        <f t="shared" si="121"/>
        <v>0</v>
      </c>
      <c r="W159" s="285">
        <f t="shared" si="122"/>
        <v>0</v>
      </c>
      <c r="X159" s="285">
        <f t="shared" si="123"/>
        <v>0</v>
      </c>
      <c r="Y159" s="285">
        <f t="shared" si="124"/>
        <v>0</v>
      </c>
      <c r="Z159" s="285">
        <f t="shared" si="125"/>
        <v>0</v>
      </c>
      <c r="AA159" s="285">
        <f t="shared" si="126"/>
        <v>0</v>
      </c>
      <c r="AB159" s="285">
        <f t="shared" si="127"/>
        <v>0</v>
      </c>
      <c r="AC159" s="285">
        <f t="shared" si="128"/>
        <v>0</v>
      </c>
      <c r="AD159" s="285">
        <f t="shared" si="129"/>
        <v>0</v>
      </c>
      <c r="AE159" s="285">
        <f t="shared" si="130"/>
        <v>0</v>
      </c>
      <c r="AF159" s="285">
        <f t="shared" si="131"/>
        <v>0</v>
      </c>
      <c r="AG159" s="285">
        <f t="shared" si="132"/>
        <v>0</v>
      </c>
      <c r="AH159" s="285">
        <f t="shared" si="133"/>
        <v>0</v>
      </c>
      <c r="AI159" s="285">
        <f t="shared" si="134"/>
        <v>0</v>
      </c>
      <c r="AJ159" s="285">
        <f t="shared" si="135"/>
        <v>0</v>
      </c>
      <c r="AK159" s="285">
        <f t="shared" si="136"/>
        <v>0</v>
      </c>
      <c r="AL159" s="285">
        <f t="shared" si="137"/>
        <v>0</v>
      </c>
      <c r="AM159" s="285">
        <f t="shared" si="138"/>
        <v>0</v>
      </c>
      <c r="AN159" s="285">
        <f t="shared" si="139"/>
        <v>0</v>
      </c>
      <c r="AO159" s="285">
        <f t="shared" si="140"/>
        <v>0</v>
      </c>
      <c r="AP159" s="285">
        <f t="shared" si="141"/>
        <v>0</v>
      </c>
      <c r="AQ159" s="285">
        <f t="shared" si="142"/>
        <v>0</v>
      </c>
      <c r="AT159" t="s">
        <v>123</v>
      </c>
      <c r="AU159" s="580">
        <v>2.8571428571E-2</v>
      </c>
      <c r="AV159" s="580">
        <v>2.8571428571E-2</v>
      </c>
      <c r="AW159" s="580">
        <v>2.8571428571E-2</v>
      </c>
      <c r="AX159" s="580">
        <v>2.8571428571E-2</v>
      </c>
      <c r="AY159" s="580">
        <v>2.8571428571E-2</v>
      </c>
      <c r="AZ159" s="580">
        <v>2.8571428571E-2</v>
      </c>
      <c r="BA159" s="580">
        <v>2.8571428571E-2</v>
      </c>
      <c r="BB159" s="580">
        <v>2.8571428571E-2</v>
      </c>
      <c r="BC159" s="580">
        <v>2.8571428571E-2</v>
      </c>
      <c r="BD159" s="580">
        <v>2.8571428571E-2</v>
      </c>
      <c r="BE159" s="580">
        <v>2.8571428571E-2</v>
      </c>
      <c r="BF159" s="580">
        <v>2.8571428571E-2</v>
      </c>
      <c r="BG159" s="580">
        <v>2.8571428571E-2</v>
      </c>
      <c r="BH159" s="580">
        <v>2.8571428571E-2</v>
      </c>
      <c r="BI159" s="580">
        <v>2.8571428571E-2</v>
      </c>
      <c r="BJ159" s="580">
        <v>2.8571428571E-2</v>
      </c>
      <c r="BK159" s="580">
        <v>2.8571428571E-2</v>
      </c>
      <c r="BL159" s="580">
        <v>2.8571428571E-2</v>
      </c>
      <c r="BM159" s="580">
        <v>2.8571428571E-2</v>
      </c>
      <c r="BN159" s="580">
        <v>2.8571428571E-2</v>
      </c>
      <c r="BO159" s="580">
        <v>2.8571428571E-2</v>
      </c>
      <c r="BP159" s="580">
        <v>2.8571428571E-2</v>
      </c>
      <c r="BQ159" s="580">
        <v>2.8571428571E-2</v>
      </c>
      <c r="BR159" s="580">
        <v>2.8571428571E-2</v>
      </c>
      <c r="BS159" s="580">
        <v>2.8571428571E-2</v>
      </c>
      <c r="BT159" s="580">
        <v>2.8571428571E-2</v>
      </c>
      <c r="BU159" s="580">
        <v>2.8571428571E-2</v>
      </c>
      <c r="BV159" s="580">
        <v>2.8571428571E-2</v>
      </c>
      <c r="BW159" s="580">
        <v>2.8571428571E-2</v>
      </c>
      <c r="BX159" s="580">
        <v>2.8571428571E-2</v>
      </c>
      <c r="BY159" s="580">
        <v>2.8571428571E-2</v>
      </c>
      <c r="BZ159" s="580">
        <v>2.8571428571E-2</v>
      </c>
      <c r="CA159" s="580">
        <v>2.8571428571E-2</v>
      </c>
      <c r="CB159" s="580">
        <v>2.8571428571E-2</v>
      </c>
      <c r="CC159" s="580">
        <v>0</v>
      </c>
    </row>
    <row r="160" spans="6:81">
      <c r="F160" s="49" t="s">
        <v>123</v>
      </c>
      <c r="G160" s="285">
        <f t="shared" si="107"/>
        <v>27142.857142450001</v>
      </c>
      <c r="I160" s="285">
        <f t="shared" si="108"/>
        <v>27142.857142450001</v>
      </c>
      <c r="J160" s="285">
        <f t="shared" si="109"/>
        <v>0</v>
      </c>
      <c r="K160" s="285">
        <f t="shared" si="110"/>
        <v>0</v>
      </c>
      <c r="L160" s="285">
        <f t="shared" si="111"/>
        <v>0</v>
      </c>
      <c r="M160" s="285">
        <f t="shared" si="112"/>
        <v>0</v>
      </c>
      <c r="N160" s="285">
        <f t="shared" si="113"/>
        <v>0</v>
      </c>
      <c r="O160" s="285">
        <f t="shared" si="114"/>
        <v>0</v>
      </c>
      <c r="P160" s="285">
        <f t="shared" si="115"/>
        <v>0</v>
      </c>
      <c r="Q160" s="285">
        <f t="shared" si="116"/>
        <v>0</v>
      </c>
      <c r="R160" s="285">
        <f t="shared" si="117"/>
        <v>0</v>
      </c>
      <c r="S160" s="285">
        <f t="shared" si="118"/>
        <v>0</v>
      </c>
      <c r="T160" s="285">
        <f t="shared" si="119"/>
        <v>0</v>
      </c>
      <c r="U160" s="285">
        <f t="shared" si="120"/>
        <v>0</v>
      </c>
      <c r="V160" s="285">
        <f t="shared" si="121"/>
        <v>0</v>
      </c>
      <c r="W160" s="285">
        <f t="shared" si="122"/>
        <v>0</v>
      </c>
      <c r="X160" s="285">
        <f t="shared" si="123"/>
        <v>0</v>
      </c>
      <c r="Y160" s="285">
        <f t="shared" si="124"/>
        <v>0</v>
      </c>
      <c r="Z160" s="285">
        <f t="shared" si="125"/>
        <v>0</v>
      </c>
      <c r="AA160" s="285">
        <f t="shared" si="126"/>
        <v>0</v>
      </c>
      <c r="AB160" s="285">
        <f t="shared" si="127"/>
        <v>0</v>
      </c>
      <c r="AC160" s="285">
        <f t="shared" si="128"/>
        <v>0</v>
      </c>
      <c r="AD160" s="285">
        <f t="shared" si="129"/>
        <v>0</v>
      </c>
      <c r="AE160" s="285">
        <f t="shared" si="130"/>
        <v>0</v>
      </c>
      <c r="AF160" s="285">
        <f t="shared" si="131"/>
        <v>0</v>
      </c>
      <c r="AG160" s="285">
        <f t="shared" si="132"/>
        <v>0</v>
      </c>
      <c r="AH160" s="285">
        <f t="shared" si="133"/>
        <v>0</v>
      </c>
      <c r="AI160" s="285">
        <f t="shared" si="134"/>
        <v>0</v>
      </c>
      <c r="AJ160" s="285">
        <f t="shared" si="135"/>
        <v>0</v>
      </c>
      <c r="AK160" s="285">
        <f t="shared" si="136"/>
        <v>0</v>
      </c>
      <c r="AL160" s="285">
        <f t="shared" si="137"/>
        <v>0</v>
      </c>
      <c r="AM160" s="285">
        <f t="shared" si="138"/>
        <v>0</v>
      </c>
      <c r="AN160" s="285">
        <f t="shared" si="139"/>
        <v>0</v>
      </c>
      <c r="AO160" s="285">
        <f t="shared" si="140"/>
        <v>0</v>
      </c>
      <c r="AP160" s="285">
        <f t="shared" si="141"/>
        <v>0</v>
      </c>
      <c r="AQ160" s="285">
        <f t="shared" si="142"/>
        <v>0</v>
      </c>
      <c r="AT160" t="s">
        <v>124</v>
      </c>
      <c r="AU160" s="580">
        <v>2.8571428571E-2</v>
      </c>
      <c r="AV160" s="580">
        <v>2.8571428571E-2</v>
      </c>
      <c r="AW160" s="580">
        <v>2.8571428571E-2</v>
      </c>
      <c r="AX160" s="580">
        <v>2.8571428571E-2</v>
      </c>
      <c r="AY160" s="580">
        <v>2.8571428571E-2</v>
      </c>
      <c r="AZ160" s="580">
        <v>2.8571428571E-2</v>
      </c>
      <c r="BA160" s="580">
        <v>2.8571428571E-2</v>
      </c>
      <c r="BB160" s="580">
        <v>2.8571428571E-2</v>
      </c>
      <c r="BC160" s="580">
        <v>2.8571428571E-2</v>
      </c>
      <c r="BD160" s="580">
        <v>2.8571428571E-2</v>
      </c>
      <c r="BE160" s="580">
        <v>2.8571428571E-2</v>
      </c>
      <c r="BF160" s="580">
        <v>2.8571428571E-2</v>
      </c>
      <c r="BG160" s="580">
        <v>2.8571428571E-2</v>
      </c>
      <c r="BH160" s="580">
        <v>2.8571428571E-2</v>
      </c>
      <c r="BI160" s="580">
        <v>2.8571428571E-2</v>
      </c>
      <c r="BJ160" s="580">
        <v>2.8571428571E-2</v>
      </c>
      <c r="BK160" s="580">
        <v>2.8571428571E-2</v>
      </c>
      <c r="BL160" s="580">
        <v>2.8571428571E-2</v>
      </c>
      <c r="BM160" s="580">
        <v>2.8571428571E-2</v>
      </c>
      <c r="BN160" s="580">
        <v>2.8571428571E-2</v>
      </c>
      <c r="BO160" s="580">
        <v>2.8571428571E-2</v>
      </c>
      <c r="BP160" s="580">
        <v>2.8571428571E-2</v>
      </c>
      <c r="BQ160" s="580">
        <v>2.8571428571E-2</v>
      </c>
      <c r="BR160" s="580">
        <v>2.8571428571E-2</v>
      </c>
      <c r="BS160" s="580">
        <v>2.8571428571E-2</v>
      </c>
      <c r="BT160" s="580">
        <v>2.8571428571E-2</v>
      </c>
      <c r="BU160" s="580">
        <v>2.8571428571E-2</v>
      </c>
      <c r="BV160" s="580">
        <v>2.8571428571E-2</v>
      </c>
      <c r="BW160" s="580">
        <v>2.8571428571E-2</v>
      </c>
      <c r="BX160" s="580">
        <v>2.8571428571E-2</v>
      </c>
      <c r="BY160" s="580">
        <v>2.8571428571E-2</v>
      </c>
      <c r="BZ160" s="580">
        <v>2.8571428571E-2</v>
      </c>
      <c r="CA160" s="580">
        <v>2.8571428571E-2</v>
      </c>
      <c r="CB160" s="580">
        <v>2.8571428571E-2</v>
      </c>
      <c r="CC160" s="580">
        <v>2.8571428571E-2</v>
      </c>
    </row>
    <row r="161" spans="6:81">
      <c r="F161" s="49" t="s">
        <v>124</v>
      </c>
      <c r="G161" s="285">
        <f t="shared" si="107"/>
        <v>27142.857142450001</v>
      </c>
      <c r="I161" s="285">
        <f t="shared" si="108"/>
        <v>27142.857142450001</v>
      </c>
      <c r="J161" s="285">
        <f t="shared" si="109"/>
        <v>0</v>
      </c>
      <c r="K161" s="285">
        <f t="shared" si="110"/>
        <v>0</v>
      </c>
      <c r="L161" s="285">
        <f t="shared" si="111"/>
        <v>0</v>
      </c>
      <c r="M161" s="285">
        <f t="shared" si="112"/>
        <v>0</v>
      </c>
      <c r="N161" s="285">
        <f t="shared" si="113"/>
        <v>0</v>
      </c>
      <c r="O161" s="285">
        <f t="shared" si="114"/>
        <v>0</v>
      </c>
      <c r="P161" s="285">
        <f t="shared" si="115"/>
        <v>0</v>
      </c>
      <c r="Q161" s="285">
        <f t="shared" si="116"/>
        <v>0</v>
      </c>
      <c r="R161" s="285">
        <f t="shared" si="117"/>
        <v>0</v>
      </c>
      <c r="S161" s="285">
        <f t="shared" si="118"/>
        <v>0</v>
      </c>
      <c r="T161" s="285">
        <f t="shared" si="119"/>
        <v>0</v>
      </c>
      <c r="U161" s="285">
        <f t="shared" si="120"/>
        <v>0</v>
      </c>
      <c r="V161" s="285">
        <f t="shared" si="121"/>
        <v>0</v>
      </c>
      <c r="W161" s="285">
        <f t="shared" si="122"/>
        <v>0</v>
      </c>
      <c r="X161" s="285">
        <f t="shared" si="123"/>
        <v>0</v>
      </c>
      <c r="Y161" s="285">
        <f t="shared" si="124"/>
        <v>0</v>
      </c>
      <c r="Z161" s="285">
        <f t="shared" si="125"/>
        <v>0</v>
      </c>
      <c r="AA161" s="285">
        <f t="shared" si="126"/>
        <v>0</v>
      </c>
      <c r="AB161" s="285">
        <f t="shared" si="127"/>
        <v>0</v>
      </c>
      <c r="AC161" s="285">
        <f t="shared" si="128"/>
        <v>0</v>
      </c>
      <c r="AD161" s="285">
        <f t="shared" si="129"/>
        <v>0</v>
      </c>
      <c r="AE161" s="285">
        <f t="shared" si="130"/>
        <v>0</v>
      </c>
      <c r="AF161" s="285">
        <f t="shared" si="131"/>
        <v>0</v>
      </c>
      <c r="AG161" s="285">
        <f t="shared" si="132"/>
        <v>0</v>
      </c>
      <c r="AH161" s="285">
        <f t="shared" si="133"/>
        <v>0</v>
      </c>
      <c r="AI161" s="285">
        <f t="shared" si="134"/>
        <v>0</v>
      </c>
      <c r="AJ161" s="285">
        <f t="shared" si="135"/>
        <v>0</v>
      </c>
      <c r="AK161" s="285">
        <f t="shared" si="136"/>
        <v>0</v>
      </c>
      <c r="AL161" s="285">
        <f t="shared" si="137"/>
        <v>0</v>
      </c>
      <c r="AM161" s="285">
        <f t="shared" si="138"/>
        <v>0</v>
      </c>
      <c r="AN161" s="285">
        <f t="shared" si="139"/>
        <v>0</v>
      </c>
      <c r="AO161" s="285">
        <f t="shared" si="140"/>
        <v>0</v>
      </c>
      <c r="AP161" s="285">
        <f t="shared" si="141"/>
        <v>0</v>
      </c>
      <c r="AQ161" s="285">
        <f t="shared" si="142"/>
        <v>0</v>
      </c>
      <c r="AT161" t="s">
        <v>1256</v>
      </c>
      <c r="AU161" s="573">
        <f t="shared" ref="AU161:CC161" si="143">SUM(AU126:AU160)</f>
        <v>0.99999999998500044</v>
      </c>
      <c r="AV161" s="573">
        <f t="shared" si="143"/>
        <v>0.97142857141400041</v>
      </c>
      <c r="AW161" s="573">
        <f t="shared" si="143"/>
        <v>0.94285714284300037</v>
      </c>
      <c r="AX161" s="573">
        <f t="shared" si="143"/>
        <v>0.91428571427200034</v>
      </c>
      <c r="AY161" s="573">
        <f t="shared" si="143"/>
        <v>0.8857142857010003</v>
      </c>
      <c r="AZ161" s="573">
        <f t="shared" si="143"/>
        <v>0.85714285713000027</v>
      </c>
      <c r="BA161" s="573">
        <f t="shared" si="143"/>
        <v>0.82857142855900023</v>
      </c>
      <c r="BB161" s="573">
        <f t="shared" si="143"/>
        <v>0.7999999999880002</v>
      </c>
      <c r="BC161" s="573">
        <f t="shared" si="143"/>
        <v>0.77142857141700016</v>
      </c>
      <c r="BD161" s="573">
        <f t="shared" si="143"/>
        <v>0.74285714284600013</v>
      </c>
      <c r="BE161" s="573">
        <f t="shared" si="143"/>
        <v>0.71428571427500009</v>
      </c>
      <c r="BF161" s="573">
        <f t="shared" si="143"/>
        <v>0.68571428570400006</v>
      </c>
      <c r="BG161" s="573">
        <f t="shared" si="143"/>
        <v>0.65714285713300002</v>
      </c>
      <c r="BH161" s="573">
        <f t="shared" si="143"/>
        <v>0.62857142856199999</v>
      </c>
      <c r="BI161" s="573">
        <f t="shared" si="143"/>
        <v>0.59999999999099995</v>
      </c>
      <c r="BJ161" s="573">
        <f t="shared" si="143"/>
        <v>0.57142857141999992</v>
      </c>
      <c r="BK161" s="573">
        <f t="shared" si="143"/>
        <v>0.54285714284899989</v>
      </c>
      <c r="BL161" s="573">
        <f t="shared" si="143"/>
        <v>0.51428571427799985</v>
      </c>
      <c r="BM161" s="573">
        <f t="shared" si="143"/>
        <v>0.48571428570699987</v>
      </c>
      <c r="BN161" s="573">
        <f t="shared" si="143"/>
        <v>0.45714285713599989</v>
      </c>
      <c r="BO161" s="573">
        <f t="shared" si="143"/>
        <v>0.42857142856499991</v>
      </c>
      <c r="BP161" s="573">
        <f t="shared" si="143"/>
        <v>0.39999999999399993</v>
      </c>
      <c r="BQ161" s="573">
        <f t="shared" si="143"/>
        <v>0.37142857142299995</v>
      </c>
      <c r="BR161" s="573">
        <f t="shared" si="143"/>
        <v>0.34285714285199997</v>
      </c>
      <c r="BS161" s="573">
        <f t="shared" si="143"/>
        <v>0.31428571428099999</v>
      </c>
      <c r="BT161" s="573">
        <f t="shared" si="143"/>
        <v>0.28571428571000002</v>
      </c>
      <c r="BU161" s="573">
        <f t="shared" si="143"/>
        <v>0.25714285713900004</v>
      </c>
      <c r="BV161" s="573">
        <f t="shared" si="143"/>
        <v>0.22857142856800003</v>
      </c>
      <c r="BW161" s="573">
        <f t="shared" si="143"/>
        <v>0.19999999999700002</v>
      </c>
      <c r="BX161" s="573">
        <f t="shared" si="143"/>
        <v>0.17142857142600001</v>
      </c>
      <c r="BY161" s="573">
        <f t="shared" si="143"/>
        <v>0.14285714285500001</v>
      </c>
      <c r="BZ161" s="573">
        <f t="shared" si="143"/>
        <v>0.114285714284</v>
      </c>
      <c r="CA161" s="573">
        <f t="shared" si="143"/>
        <v>8.5714285712999994E-2</v>
      </c>
      <c r="CB161" s="573">
        <f t="shared" si="143"/>
        <v>5.7142857142E-2</v>
      </c>
      <c r="CC161" s="573">
        <f t="shared" si="143"/>
        <v>2.8571428571E-2</v>
      </c>
    </row>
    <row r="164" spans="6:81">
      <c r="F164" s="49" t="s">
        <v>1259</v>
      </c>
      <c r="G164" t="str">
        <f>I42</f>
        <v>Ano 1</v>
      </c>
      <c r="H164" t="str">
        <f t="shared" ref="H164:AO164" si="144">J42</f>
        <v>Ano 2</v>
      </c>
      <c r="I164" t="str">
        <f t="shared" si="144"/>
        <v>Ano 3</v>
      </c>
      <c r="J164" t="str">
        <f t="shared" si="144"/>
        <v>Ano 4</v>
      </c>
      <c r="K164" t="str">
        <f t="shared" si="144"/>
        <v>Ano 5</v>
      </c>
      <c r="L164" t="str">
        <f t="shared" si="144"/>
        <v>Ano 6</v>
      </c>
      <c r="M164" t="str">
        <f t="shared" si="144"/>
        <v>Ano 7</v>
      </c>
      <c r="N164" t="str">
        <f t="shared" si="144"/>
        <v>Ano 8</v>
      </c>
      <c r="O164" t="str">
        <f t="shared" si="144"/>
        <v>Ano 9</v>
      </c>
      <c r="P164" t="str">
        <f t="shared" si="144"/>
        <v>Ano 10</v>
      </c>
      <c r="Q164" t="str">
        <f t="shared" si="144"/>
        <v>Ano 11</v>
      </c>
      <c r="R164" t="str">
        <f t="shared" si="144"/>
        <v>Ano 12</v>
      </c>
      <c r="S164" t="str">
        <f t="shared" si="144"/>
        <v>Ano 13</v>
      </c>
      <c r="T164" t="str">
        <f t="shared" si="144"/>
        <v>Ano 14</v>
      </c>
      <c r="U164" t="str">
        <f t="shared" si="144"/>
        <v>Ano 15</v>
      </c>
      <c r="V164" t="str">
        <f t="shared" si="144"/>
        <v>Ano 16</v>
      </c>
      <c r="W164" t="str">
        <f t="shared" si="144"/>
        <v>Ano 17</v>
      </c>
      <c r="X164" t="str">
        <f t="shared" si="144"/>
        <v>Ano 18</v>
      </c>
      <c r="Y164" t="str">
        <f t="shared" si="144"/>
        <v>Ano 19</v>
      </c>
      <c r="Z164" t="str">
        <f t="shared" si="144"/>
        <v>Ano 20</v>
      </c>
      <c r="AA164" t="str">
        <f t="shared" si="144"/>
        <v>Ano 21</v>
      </c>
      <c r="AB164" t="str">
        <f t="shared" si="144"/>
        <v>Ano 22</v>
      </c>
      <c r="AC164" t="str">
        <f t="shared" si="144"/>
        <v>Ano 23</v>
      </c>
      <c r="AD164" t="str">
        <f t="shared" si="144"/>
        <v>Ano 24</v>
      </c>
      <c r="AE164" t="str">
        <f t="shared" si="144"/>
        <v>Ano 25</v>
      </c>
      <c r="AF164" t="str">
        <f t="shared" si="144"/>
        <v>Ano 26</v>
      </c>
      <c r="AG164" t="str">
        <f t="shared" si="144"/>
        <v>Ano 27</v>
      </c>
      <c r="AH164" t="str">
        <f t="shared" si="144"/>
        <v>Ano 28</v>
      </c>
      <c r="AI164" t="str">
        <f t="shared" si="144"/>
        <v>Ano 29</v>
      </c>
      <c r="AJ164" t="str">
        <f t="shared" si="144"/>
        <v>Ano 30</v>
      </c>
      <c r="AK164" t="str">
        <f t="shared" si="144"/>
        <v>Ano 31</v>
      </c>
      <c r="AL164" t="str">
        <f t="shared" si="144"/>
        <v>Ano 32</v>
      </c>
      <c r="AM164" t="str">
        <f t="shared" si="144"/>
        <v>Ano 33</v>
      </c>
      <c r="AN164" t="str">
        <f t="shared" si="144"/>
        <v>Ano 34</v>
      </c>
      <c r="AO164" t="str">
        <f t="shared" si="144"/>
        <v>Ano 35</v>
      </c>
    </row>
    <row r="165" spans="6:81">
      <c r="F165" t="str">
        <f>F41</f>
        <v>Depreciação Reforma -  25 anos</v>
      </c>
      <c r="G165" s="119">
        <f>I43</f>
        <v>0</v>
      </c>
      <c r="H165" s="119">
        <f t="shared" ref="H165:AO165" si="145">J43</f>
        <v>0</v>
      </c>
      <c r="I165" s="119">
        <f t="shared" si="145"/>
        <v>124467.43519999999</v>
      </c>
      <c r="J165" s="119">
        <f t="shared" si="145"/>
        <v>248934.87039999999</v>
      </c>
      <c r="K165" s="119">
        <f t="shared" si="145"/>
        <v>248934.87039999999</v>
      </c>
      <c r="L165" s="119">
        <f t="shared" si="145"/>
        <v>248934.87039999999</v>
      </c>
      <c r="M165" s="119">
        <f t="shared" si="145"/>
        <v>248934.87039999999</v>
      </c>
      <c r="N165" s="119">
        <f t="shared" si="145"/>
        <v>248934.87039999999</v>
      </c>
      <c r="O165" s="119">
        <f t="shared" si="145"/>
        <v>248934.87039999999</v>
      </c>
      <c r="P165" s="119">
        <f t="shared" si="145"/>
        <v>248934.87039999999</v>
      </c>
      <c r="Q165" s="119">
        <f t="shared" si="145"/>
        <v>248934.87039999999</v>
      </c>
      <c r="R165" s="119">
        <f t="shared" si="145"/>
        <v>248934.87039999999</v>
      </c>
      <c r="S165" s="119">
        <f t="shared" si="145"/>
        <v>248934.87039999999</v>
      </c>
      <c r="T165" s="119">
        <f t="shared" si="145"/>
        <v>248934.87039999999</v>
      </c>
      <c r="U165" s="119">
        <f t="shared" si="145"/>
        <v>248934.87039999999</v>
      </c>
      <c r="V165" s="119">
        <f t="shared" si="145"/>
        <v>248934.87039999999</v>
      </c>
      <c r="W165" s="119">
        <f t="shared" si="145"/>
        <v>248934.87039999999</v>
      </c>
      <c r="X165" s="119">
        <f t="shared" si="145"/>
        <v>248934.87039999999</v>
      </c>
      <c r="Y165" s="119">
        <f t="shared" si="145"/>
        <v>248934.87039999999</v>
      </c>
      <c r="Z165" s="119">
        <f t="shared" si="145"/>
        <v>248934.87039999999</v>
      </c>
      <c r="AA165" s="119">
        <f t="shared" si="145"/>
        <v>248934.87039999999</v>
      </c>
      <c r="AB165" s="119">
        <f t="shared" si="145"/>
        <v>248934.87039999999</v>
      </c>
      <c r="AC165" s="119">
        <f t="shared" si="145"/>
        <v>248934.87039999999</v>
      </c>
      <c r="AD165" s="119">
        <f t="shared" si="145"/>
        <v>248934.87039999999</v>
      </c>
      <c r="AE165" s="119">
        <f t="shared" si="145"/>
        <v>248934.87039999999</v>
      </c>
      <c r="AF165" s="119">
        <f t="shared" si="145"/>
        <v>248934.87039999999</v>
      </c>
      <c r="AG165" s="119">
        <f t="shared" si="145"/>
        <v>248934.87039999999</v>
      </c>
      <c r="AH165" s="119">
        <f t="shared" si="145"/>
        <v>124467.43519999999</v>
      </c>
      <c r="AI165" s="119">
        <f t="shared" si="145"/>
        <v>0</v>
      </c>
      <c r="AJ165" s="119">
        <f t="shared" si="145"/>
        <v>0</v>
      </c>
      <c r="AK165" s="119">
        <f t="shared" si="145"/>
        <v>0</v>
      </c>
      <c r="AL165" s="119">
        <f t="shared" si="145"/>
        <v>0</v>
      </c>
      <c r="AM165" s="119">
        <f t="shared" si="145"/>
        <v>0</v>
      </c>
      <c r="AN165" s="119">
        <f t="shared" si="145"/>
        <v>0</v>
      </c>
      <c r="AO165" s="119">
        <f t="shared" si="145"/>
        <v>0</v>
      </c>
    </row>
    <row r="166" spans="6:81">
      <c r="F166" t="str">
        <f>F82</f>
        <v>Aquisição - 20 anos</v>
      </c>
      <c r="G166" s="119">
        <f>I84</f>
        <v>0</v>
      </c>
      <c r="H166" s="119">
        <f t="shared" ref="H166:AO166" si="146">J84</f>
        <v>0</v>
      </c>
      <c r="I166" s="119">
        <f t="shared" si="146"/>
        <v>0</v>
      </c>
      <c r="J166" s="119">
        <f t="shared" si="146"/>
        <v>0</v>
      </c>
      <c r="K166" s="119">
        <f t="shared" si="146"/>
        <v>19246.690114723195</v>
      </c>
      <c r="L166" s="119">
        <f t="shared" si="146"/>
        <v>19246.690114723195</v>
      </c>
      <c r="M166" s="119">
        <f t="shared" si="146"/>
        <v>19246.690114723195</v>
      </c>
      <c r="N166" s="119">
        <f t="shared" si="146"/>
        <v>19246.690114723195</v>
      </c>
      <c r="O166" s="119">
        <f t="shared" si="146"/>
        <v>19246.690114723195</v>
      </c>
      <c r="P166" s="119">
        <f t="shared" si="146"/>
        <v>19246.690114723195</v>
      </c>
      <c r="Q166" s="119">
        <f t="shared" si="146"/>
        <v>19246.690114723195</v>
      </c>
      <c r="R166" s="119">
        <f t="shared" si="146"/>
        <v>19246.690114723195</v>
      </c>
      <c r="S166" s="119">
        <f t="shared" si="146"/>
        <v>19246.690114723195</v>
      </c>
      <c r="T166" s="119">
        <f t="shared" si="146"/>
        <v>19246.690114723195</v>
      </c>
      <c r="U166" s="119">
        <f t="shared" si="146"/>
        <v>19246.690114723195</v>
      </c>
      <c r="V166" s="119">
        <f t="shared" si="146"/>
        <v>19246.690114723195</v>
      </c>
      <c r="W166" s="119">
        <f t="shared" si="146"/>
        <v>19246.690114723195</v>
      </c>
      <c r="X166" s="119">
        <f t="shared" si="146"/>
        <v>19246.690114723195</v>
      </c>
      <c r="Y166" s="119">
        <f t="shared" si="146"/>
        <v>19246.690114723195</v>
      </c>
      <c r="Z166" s="119">
        <f t="shared" si="146"/>
        <v>19246.690114723195</v>
      </c>
      <c r="AA166" s="119">
        <f t="shared" si="146"/>
        <v>19246.690114723195</v>
      </c>
      <c r="AB166" s="119">
        <f t="shared" si="146"/>
        <v>19246.690114723195</v>
      </c>
      <c r="AC166" s="119">
        <f t="shared" si="146"/>
        <v>19246.690114723195</v>
      </c>
      <c r="AD166" s="119">
        <f t="shared" si="146"/>
        <v>19246.690114723195</v>
      </c>
      <c r="AE166" s="119">
        <f t="shared" si="146"/>
        <v>0</v>
      </c>
      <c r="AF166" s="119">
        <f t="shared" si="146"/>
        <v>0</v>
      </c>
      <c r="AG166" s="119">
        <f t="shared" si="146"/>
        <v>0</v>
      </c>
      <c r="AH166" s="119">
        <f t="shared" si="146"/>
        <v>0</v>
      </c>
      <c r="AI166" s="119">
        <f t="shared" si="146"/>
        <v>0</v>
      </c>
      <c r="AJ166" s="119">
        <f t="shared" si="146"/>
        <v>0</v>
      </c>
      <c r="AK166" s="119">
        <f t="shared" si="146"/>
        <v>0</v>
      </c>
      <c r="AL166" s="119">
        <f t="shared" si="146"/>
        <v>0</v>
      </c>
      <c r="AM166" s="119">
        <f t="shared" si="146"/>
        <v>0</v>
      </c>
      <c r="AN166" s="119">
        <f t="shared" si="146"/>
        <v>0</v>
      </c>
      <c r="AO166" s="119">
        <f t="shared" si="146"/>
        <v>0</v>
      </c>
    </row>
    <row r="167" spans="6:81">
      <c r="F167" t="str">
        <f>F123</f>
        <v xml:space="preserve">Remuneração dos estudos </v>
      </c>
      <c r="G167" s="119">
        <f>I125</f>
        <v>27142.857142450001</v>
      </c>
      <c r="H167" s="119">
        <f t="shared" ref="H167:AO167" si="147">J125</f>
        <v>27142.857142450001</v>
      </c>
      <c r="I167" s="119">
        <f t="shared" si="147"/>
        <v>27142.857142450001</v>
      </c>
      <c r="J167" s="119">
        <f t="shared" si="147"/>
        <v>27142.857142450001</v>
      </c>
      <c r="K167" s="119">
        <f t="shared" si="147"/>
        <v>27142.857142450001</v>
      </c>
      <c r="L167" s="119">
        <f t="shared" si="147"/>
        <v>27142.857142450001</v>
      </c>
      <c r="M167" s="119">
        <f t="shared" si="147"/>
        <v>27142.857142450001</v>
      </c>
      <c r="N167" s="119">
        <f t="shared" si="147"/>
        <v>27142.857142450001</v>
      </c>
      <c r="O167" s="119">
        <f t="shared" si="147"/>
        <v>27142.857142450001</v>
      </c>
      <c r="P167" s="119">
        <f t="shared" si="147"/>
        <v>27142.857142450001</v>
      </c>
      <c r="Q167" s="119">
        <f t="shared" si="147"/>
        <v>27142.857142450001</v>
      </c>
      <c r="R167" s="119">
        <f t="shared" si="147"/>
        <v>27142.857142450001</v>
      </c>
      <c r="S167" s="119">
        <f t="shared" si="147"/>
        <v>27142.857142450001</v>
      </c>
      <c r="T167" s="119">
        <f t="shared" si="147"/>
        <v>27142.857142450001</v>
      </c>
      <c r="U167" s="119">
        <f t="shared" si="147"/>
        <v>27142.857142450001</v>
      </c>
      <c r="V167" s="119">
        <f t="shared" si="147"/>
        <v>27142.857142450001</v>
      </c>
      <c r="W167" s="119">
        <f t="shared" si="147"/>
        <v>27142.857142450001</v>
      </c>
      <c r="X167" s="119">
        <f t="shared" si="147"/>
        <v>27142.857142450001</v>
      </c>
      <c r="Y167" s="119">
        <f t="shared" si="147"/>
        <v>27142.857142450001</v>
      </c>
      <c r="Z167" s="119">
        <f t="shared" si="147"/>
        <v>27142.857142450001</v>
      </c>
      <c r="AA167" s="119">
        <f t="shared" si="147"/>
        <v>27142.857142450001</v>
      </c>
      <c r="AB167" s="119">
        <f t="shared" si="147"/>
        <v>27142.857142450001</v>
      </c>
      <c r="AC167" s="119">
        <f t="shared" si="147"/>
        <v>27142.857142450001</v>
      </c>
      <c r="AD167" s="119">
        <f t="shared" si="147"/>
        <v>27142.857142450001</v>
      </c>
      <c r="AE167" s="119">
        <f t="shared" si="147"/>
        <v>27142.857142450001</v>
      </c>
      <c r="AF167" s="119">
        <f t="shared" si="147"/>
        <v>27142.857142450001</v>
      </c>
      <c r="AG167" s="119">
        <f t="shared" si="147"/>
        <v>27142.857142450001</v>
      </c>
      <c r="AH167" s="119">
        <f t="shared" si="147"/>
        <v>27142.857142450001</v>
      </c>
      <c r="AI167" s="119">
        <f t="shared" si="147"/>
        <v>27142.857142450001</v>
      </c>
      <c r="AJ167" s="119">
        <f t="shared" si="147"/>
        <v>27142.857142450001</v>
      </c>
      <c r="AK167" s="119">
        <f t="shared" si="147"/>
        <v>27142.857142450001</v>
      </c>
      <c r="AL167" s="119">
        <f t="shared" si="147"/>
        <v>27142.857142450001</v>
      </c>
      <c r="AM167" s="119">
        <f t="shared" si="147"/>
        <v>27142.857142450001</v>
      </c>
      <c r="AN167" s="119">
        <f t="shared" si="147"/>
        <v>27142.857142450001</v>
      </c>
      <c r="AO167" s="119">
        <f t="shared" si="147"/>
        <v>27142.857142450001</v>
      </c>
    </row>
  </sheetData>
  <mergeCells count="4">
    <mergeCell ref="B4:C4"/>
    <mergeCell ref="F41:G43"/>
    <mergeCell ref="F82:G84"/>
    <mergeCell ref="F123:G125"/>
  </mergeCells>
  <phoneticPr fontId="69" type="noConversion"/>
  <conditionalFormatting sqref="C17 C19">
    <cfRule type="cellIs" dxfId="28" priority="3" operator="equal">
      <formula>"ok"</formula>
    </cfRule>
    <cfRule type="cellIs" dxfId="27" priority="4" operator="equal">
      <formula>"Erro"</formula>
    </cfRule>
  </conditionalFormatting>
  <conditionalFormatting sqref="C21">
    <cfRule type="cellIs" dxfId="26" priority="1" operator="equal">
      <formula>"ok"</formula>
    </cfRule>
    <cfRule type="cellIs" dxfId="25" priority="2" operator="equal">
      <formula>"Erro"</formula>
    </cfRule>
  </conditionalFormatting>
  <conditionalFormatting sqref="AU44:CC78">
    <cfRule type="cellIs" dxfId="24" priority="9" operator="greaterThan">
      <formula>0</formula>
    </cfRule>
  </conditionalFormatting>
  <conditionalFormatting sqref="AU85:CC119">
    <cfRule type="cellIs" dxfId="23" priority="6" operator="greaterThan">
      <formula>0</formula>
    </cfRule>
  </conditionalFormatting>
  <conditionalFormatting sqref="AU126:CC160">
    <cfRule type="cellIs" dxfId="22" priority="5" operator="greaterThan">
      <formula>0</formula>
    </cfRule>
  </conditionalFormatting>
  <conditionalFormatting sqref="CD44">
    <cfRule type="cellIs" dxfId="21" priority="15" operator="greaterThan">
      <formula>0</formula>
    </cfRule>
  </conditionalFormatting>
  <hyperlinks>
    <hyperlink ref="F13" r:id="rId1" location="/consulta/externa/81268/visao/vigente" display="https://normasinternet2.receita.fazenda.gov.br/ - /consulta/externa/81268/visao/vigente" xr:uid="{468D5105-2C93-49D0-B8D3-57630504463A}"/>
  </hyperlinks>
  <pageMargins left="0.511811024" right="0.511811024" top="0.78740157499999996" bottom="0.78740157499999996" header="0.31496062000000002" footer="0.31496062000000002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7"/>
  <dimension ref="A1:K76"/>
  <sheetViews>
    <sheetView showGridLines="0" topLeftCell="A30" zoomScaleNormal="100" zoomScaleSheetLayoutView="100" workbookViewId="0">
      <selection activeCell="E61" sqref="E61"/>
    </sheetView>
  </sheetViews>
  <sheetFormatPr defaultRowHeight="14.45"/>
  <cols>
    <col min="1" max="1" width="0.85546875" customWidth="1"/>
    <col min="2" max="2" width="7.7109375" bestFit="1" customWidth="1"/>
    <col min="3" max="3" width="10.28515625" customWidth="1"/>
    <col min="4" max="4" width="9.7109375" customWidth="1"/>
    <col min="5" max="5" width="34.140625" customWidth="1"/>
    <col min="6" max="6" width="10.140625" style="120" customWidth="1"/>
    <col min="7" max="7" width="15.7109375" bestFit="1" customWidth="1"/>
    <col min="8" max="8" width="36.5703125" bestFit="1" customWidth="1"/>
    <col min="9" max="9" width="35" bestFit="1" customWidth="1"/>
    <col min="10" max="10" width="13.28515625" customWidth="1"/>
    <col min="11" max="11" width="0.85546875" customWidth="1"/>
    <col min="13" max="13" width="3.42578125" bestFit="1" customWidth="1"/>
    <col min="14" max="14" width="37.28515625" bestFit="1" customWidth="1"/>
    <col min="15" max="15" width="9" bestFit="1" customWidth="1"/>
    <col min="16" max="16" width="15.5703125" bestFit="1" customWidth="1"/>
    <col min="17" max="17" width="22.5703125" bestFit="1" customWidth="1"/>
  </cols>
  <sheetData>
    <row r="1" spans="2:11" ht="6" customHeight="1" thickBot="1">
      <c r="B1" s="791"/>
      <c r="C1" s="211"/>
      <c r="D1" s="211"/>
      <c r="E1" s="212"/>
      <c r="F1" s="213"/>
      <c r="G1" s="214"/>
      <c r="H1" s="214"/>
      <c r="I1" s="214"/>
      <c r="J1" s="214"/>
      <c r="K1" s="215"/>
    </row>
    <row r="2" spans="2:11" ht="18">
      <c r="B2" s="876"/>
      <c r="C2" s="877"/>
      <c r="D2" s="877"/>
      <c r="E2" s="880" t="s">
        <v>1260</v>
      </c>
      <c r="F2" s="881"/>
      <c r="G2" s="881"/>
      <c r="H2" s="881"/>
      <c r="I2" s="882"/>
      <c r="J2" s="883"/>
      <c r="K2" s="265"/>
    </row>
    <row r="3" spans="2:11" ht="15.6">
      <c r="B3" s="878"/>
      <c r="C3" s="879"/>
      <c r="D3" s="879"/>
      <c r="E3" s="216" t="s">
        <v>1261</v>
      </c>
      <c r="F3" s="217"/>
      <c r="G3" s="218"/>
      <c r="H3" s="218"/>
      <c r="I3" s="884"/>
      <c r="J3" s="885"/>
      <c r="K3" s="219"/>
    </row>
    <row r="4" spans="2:11" ht="15.6">
      <c r="B4" s="878"/>
      <c r="C4" s="879"/>
      <c r="D4" s="879"/>
      <c r="E4" s="886" t="s">
        <v>1262</v>
      </c>
      <c r="F4" s="887"/>
      <c r="G4" s="887"/>
      <c r="H4" s="887"/>
      <c r="I4" s="884"/>
      <c r="J4" s="885"/>
      <c r="K4" s="219"/>
    </row>
    <row r="5" spans="2:11" ht="15.6">
      <c r="B5" s="878"/>
      <c r="C5" s="879"/>
      <c r="D5" s="879"/>
      <c r="E5" s="886" t="s">
        <v>1263</v>
      </c>
      <c r="F5" s="887"/>
      <c r="G5" s="887"/>
      <c r="H5" s="887"/>
      <c r="I5" s="884"/>
      <c r="J5" s="885"/>
      <c r="K5" s="219"/>
    </row>
    <row r="6" spans="2:11" ht="15.6">
      <c r="B6" s="220" t="s">
        <v>1264</v>
      </c>
      <c r="C6" s="886" t="s">
        <v>1265</v>
      </c>
      <c r="D6" s="887"/>
      <c r="E6" s="887"/>
      <c r="F6" s="887"/>
      <c r="G6" s="887"/>
      <c r="H6" s="888"/>
      <c r="I6" s="221" t="s">
        <v>1266</v>
      </c>
      <c r="J6" s="222">
        <v>0.53310000000000002</v>
      </c>
      <c r="K6" s="219"/>
    </row>
    <row r="7" spans="2:11" ht="15.6">
      <c r="B7" s="220" t="s">
        <v>1267</v>
      </c>
      <c r="C7" s="886" t="s">
        <v>1268</v>
      </c>
      <c r="D7" s="905"/>
      <c r="E7" s="905"/>
      <c r="F7" s="905"/>
      <c r="G7" s="905"/>
      <c r="H7" s="906"/>
      <c r="I7" s="223" t="s">
        <v>1269</v>
      </c>
      <c r="J7" s="222">
        <v>0.91200000000000003</v>
      </c>
      <c r="K7" s="219"/>
    </row>
    <row r="8" spans="2:11" ht="15.6">
      <c r="B8" s="224" t="s">
        <v>1270</v>
      </c>
      <c r="C8" s="886" t="s">
        <v>1271</v>
      </c>
      <c r="D8" s="887"/>
      <c r="E8" s="887"/>
      <c r="F8" s="887"/>
      <c r="G8" s="887"/>
      <c r="H8" s="888"/>
      <c r="I8" s="225"/>
      <c r="J8" s="222"/>
      <c r="K8" s="219"/>
    </row>
    <row r="9" spans="2:11" ht="15.6">
      <c r="B9" s="224" t="s">
        <v>1272</v>
      </c>
      <c r="C9" s="886" t="s">
        <v>1273</v>
      </c>
      <c r="D9" s="887"/>
      <c r="E9" s="887"/>
      <c r="F9" s="226" t="s">
        <v>1274</v>
      </c>
      <c r="G9" s="905" t="s">
        <v>1275</v>
      </c>
      <c r="H9" s="906"/>
      <c r="I9" s="227" t="s">
        <v>1276</v>
      </c>
      <c r="J9" s="222">
        <v>0.25330000000000003</v>
      </c>
      <c r="K9" s="219"/>
    </row>
    <row r="10" spans="2:11" ht="6" customHeight="1">
      <c r="B10" s="228"/>
      <c r="C10" s="344"/>
      <c r="D10" s="344"/>
      <c r="E10" s="345"/>
      <c r="F10" s="346"/>
      <c r="G10" s="344"/>
      <c r="H10" s="229"/>
      <c r="I10" s="230"/>
      <c r="J10" s="231"/>
      <c r="K10" s="219"/>
    </row>
    <row r="11" spans="2:11" ht="15.6">
      <c r="B11" s="232"/>
      <c r="C11" s="233"/>
      <c r="D11" s="233"/>
      <c r="E11" s="234"/>
      <c r="F11" s="235"/>
      <c r="G11" s="233"/>
      <c r="H11" s="907" t="s">
        <v>1277</v>
      </c>
      <c r="I11" s="236" t="s">
        <v>1278</v>
      </c>
      <c r="J11" s="237">
        <v>33901.599999999999</v>
      </c>
      <c r="K11" s="219"/>
    </row>
    <row r="12" spans="2:11" ht="15.6">
      <c r="B12" s="232"/>
      <c r="C12" s="233"/>
      <c r="D12" s="233"/>
      <c r="E12" s="234"/>
      <c r="F12" s="235"/>
      <c r="G12" s="233"/>
      <c r="H12" s="907"/>
      <c r="I12" s="236" t="s">
        <v>1279</v>
      </c>
      <c r="J12" s="237">
        <v>2212.75</v>
      </c>
      <c r="K12" s="219"/>
    </row>
    <row r="13" spans="2:11" ht="6" customHeight="1">
      <c r="B13" s="238"/>
      <c r="C13" s="239"/>
      <c r="D13" s="239"/>
      <c r="E13" s="240"/>
      <c r="F13" s="241"/>
      <c r="G13" s="239"/>
      <c r="H13" s="229"/>
      <c r="I13" s="230"/>
      <c r="J13" s="231"/>
      <c r="K13" s="219"/>
    </row>
    <row r="14" spans="2:11" ht="15.6">
      <c r="B14" s="908" t="s">
        <v>1280</v>
      </c>
      <c r="C14" s="909"/>
      <c r="D14" s="909"/>
      <c r="E14" s="909"/>
      <c r="F14" s="909"/>
      <c r="G14" s="909"/>
      <c r="H14" s="909"/>
      <c r="I14" s="909"/>
      <c r="J14" s="910"/>
      <c r="K14" s="219"/>
    </row>
    <row r="15" spans="2:11" ht="15.6">
      <c r="B15" s="911"/>
      <c r="C15" s="912"/>
      <c r="D15" s="912"/>
      <c r="E15" s="912"/>
      <c r="F15" s="912"/>
      <c r="G15" s="912"/>
      <c r="H15" s="912"/>
      <c r="I15" s="912"/>
      <c r="J15" s="913"/>
      <c r="K15" s="219"/>
    </row>
    <row r="16" spans="2:11" ht="5.45" customHeight="1" thickBot="1">
      <c r="B16" s="914"/>
      <c r="C16" s="915"/>
      <c r="D16" s="915"/>
      <c r="E16" s="915"/>
      <c r="F16" s="915"/>
      <c r="G16" s="915"/>
      <c r="H16" s="915"/>
      <c r="I16" s="915"/>
      <c r="J16" s="916"/>
      <c r="K16" s="219"/>
    </row>
    <row r="17" spans="2:11" ht="9.6" customHeight="1" thickBot="1">
      <c r="B17" s="242"/>
      <c r="C17" s="243"/>
      <c r="D17" s="244"/>
      <c r="E17" s="245"/>
      <c r="F17" s="246"/>
      <c r="G17" s="244"/>
      <c r="H17" s="244"/>
      <c r="I17" s="247"/>
      <c r="J17" s="248"/>
      <c r="K17" s="219"/>
    </row>
    <row r="18" spans="2:11" ht="14.45" customHeight="1">
      <c r="B18" s="889" t="s">
        <v>1281</v>
      </c>
      <c r="C18" s="891" t="s">
        <v>1282</v>
      </c>
      <c r="D18" s="892"/>
      <c r="E18" s="893"/>
      <c r="F18" s="897" t="s">
        <v>1283</v>
      </c>
      <c r="G18" s="899" t="s">
        <v>1284</v>
      </c>
      <c r="H18" s="900"/>
      <c r="I18" s="899" t="s">
        <v>1285</v>
      </c>
      <c r="J18" s="903"/>
      <c r="K18" s="249"/>
    </row>
    <row r="19" spans="2:11" ht="15" thickBot="1">
      <c r="B19" s="890"/>
      <c r="C19" s="894"/>
      <c r="D19" s="895"/>
      <c r="E19" s="896"/>
      <c r="F19" s="898"/>
      <c r="G19" s="901"/>
      <c r="H19" s="902"/>
      <c r="I19" s="901"/>
      <c r="J19" s="904"/>
      <c r="K19" s="249"/>
    </row>
    <row r="20" spans="2:11" ht="7.15" customHeight="1">
      <c r="B20" s="250"/>
      <c r="C20" s="251"/>
      <c r="D20" s="252"/>
      <c r="E20" s="253"/>
      <c r="F20" s="254"/>
      <c r="G20" s="252"/>
      <c r="H20" s="252"/>
      <c r="I20" s="255"/>
      <c r="J20" s="256"/>
      <c r="K20" s="219"/>
    </row>
    <row r="21" spans="2:11" ht="15.6">
      <c r="B21" s="257" t="s">
        <v>1286</v>
      </c>
      <c r="C21" s="869" t="s">
        <v>1287</v>
      </c>
      <c r="D21" s="869"/>
      <c r="E21" s="869"/>
      <c r="F21" s="869"/>
      <c r="G21" s="869"/>
      <c r="H21" s="869"/>
      <c r="I21" s="869"/>
      <c r="J21" s="870"/>
      <c r="K21" s="258"/>
    </row>
    <row r="22" spans="2:11" ht="7.9" customHeight="1">
      <c r="B22" s="259"/>
      <c r="C22" s="260"/>
      <c r="D22" s="260"/>
      <c r="E22" s="260"/>
      <c r="F22" s="260"/>
      <c r="G22" s="260"/>
      <c r="H22" s="260"/>
      <c r="I22" s="260"/>
      <c r="J22" s="261"/>
      <c r="K22" s="258"/>
    </row>
    <row r="23" spans="2:11">
      <c r="B23" s="790" t="s">
        <v>1288</v>
      </c>
      <c r="C23" s="855" t="s">
        <v>1289</v>
      </c>
      <c r="D23" s="855"/>
      <c r="E23" s="855"/>
      <c r="F23" s="262">
        <f t="shared" ref="F23:F34" si="0">G23/$G$35</f>
        <v>5.1187234674358699E-2</v>
      </c>
      <c r="G23" s="856">
        <v>109063.2</v>
      </c>
      <c r="H23" s="856"/>
      <c r="I23" s="856">
        <f t="shared" ref="I23:I34" si="1">IFERROR(G23/$J$11,"")</f>
        <v>3.2170517025745098</v>
      </c>
      <c r="J23" s="857"/>
      <c r="K23" s="263"/>
    </row>
    <row r="24" spans="2:11" ht="14.45" customHeight="1">
      <c r="B24" s="790" t="s">
        <v>1290</v>
      </c>
      <c r="C24" s="855" t="s">
        <v>1291</v>
      </c>
      <c r="D24" s="855"/>
      <c r="E24" s="855"/>
      <c r="F24" s="262">
        <f t="shared" si="0"/>
        <v>1.9568644509946474E-2</v>
      </c>
      <c r="G24" s="856">
        <v>41694.36</v>
      </c>
      <c r="H24" s="856"/>
      <c r="I24" s="856">
        <f t="shared" si="1"/>
        <v>1.2298640772116951</v>
      </c>
      <c r="J24" s="857"/>
      <c r="K24" s="215"/>
    </row>
    <row r="25" spans="2:11">
      <c r="B25" s="790" t="s">
        <v>1292</v>
      </c>
      <c r="C25" s="855" t="s">
        <v>1293</v>
      </c>
      <c r="D25" s="855"/>
      <c r="E25" s="855"/>
      <c r="F25" s="262">
        <f t="shared" si="0"/>
        <v>1.2195167453871415E-3</v>
      </c>
      <c r="G25" s="856">
        <v>2598.39</v>
      </c>
      <c r="H25" s="856"/>
      <c r="I25" s="856">
        <f t="shared" si="1"/>
        <v>7.6645055100644219E-2</v>
      </c>
      <c r="J25" s="857"/>
      <c r="K25" s="215"/>
    </row>
    <row r="26" spans="2:11">
      <c r="B26" s="790" t="s">
        <v>1294</v>
      </c>
      <c r="C26" s="855" t="s">
        <v>1295</v>
      </c>
      <c r="D26" s="855"/>
      <c r="E26" s="855"/>
      <c r="F26" s="262">
        <f t="shared" si="0"/>
        <v>0.20935059990584662</v>
      </c>
      <c r="G26" s="856">
        <v>446057.43000000005</v>
      </c>
      <c r="H26" s="856"/>
      <c r="I26" s="856">
        <f t="shared" si="1"/>
        <v>13.157415284234375</v>
      </c>
      <c r="J26" s="857"/>
      <c r="K26" s="215"/>
    </row>
    <row r="27" spans="2:11">
      <c r="B27" s="790" t="s">
        <v>1296</v>
      </c>
      <c r="C27" s="855" t="s">
        <v>1297</v>
      </c>
      <c r="D27" s="855"/>
      <c r="E27" s="855"/>
      <c r="F27" s="262">
        <f t="shared" si="0"/>
        <v>0.12132959845506007</v>
      </c>
      <c r="G27" s="856">
        <v>258513.56</v>
      </c>
      <c r="H27" s="856"/>
      <c r="I27" s="856">
        <f t="shared" si="1"/>
        <v>7.6254088302616987</v>
      </c>
      <c r="J27" s="857"/>
      <c r="K27" s="215"/>
    </row>
    <row r="28" spans="2:11">
      <c r="B28" s="790" t="s">
        <v>1298</v>
      </c>
      <c r="C28" s="855" t="s">
        <v>1299</v>
      </c>
      <c r="D28" s="855"/>
      <c r="E28" s="855"/>
      <c r="F28" s="262">
        <f t="shared" si="0"/>
        <v>6.3326316532505922E-2</v>
      </c>
      <c r="G28" s="856">
        <v>134927.59999999998</v>
      </c>
      <c r="H28" s="856"/>
      <c r="I28" s="856">
        <f t="shared" si="1"/>
        <v>3.9799773462019488</v>
      </c>
      <c r="J28" s="857"/>
      <c r="K28" s="215"/>
    </row>
    <row r="29" spans="2:11">
      <c r="B29" s="790" t="s">
        <v>1300</v>
      </c>
      <c r="C29" s="855" t="s">
        <v>1301</v>
      </c>
      <c r="D29" s="855"/>
      <c r="E29" s="855"/>
      <c r="F29" s="262">
        <f t="shared" si="0"/>
        <v>2.8345458264725284E-2</v>
      </c>
      <c r="G29" s="856">
        <v>60394.87000000001</v>
      </c>
      <c r="H29" s="856"/>
      <c r="I29" s="856">
        <f t="shared" si="1"/>
        <v>1.781475505580858</v>
      </c>
      <c r="J29" s="857"/>
      <c r="K29" s="215"/>
    </row>
    <row r="30" spans="2:11">
      <c r="B30" s="790" t="s">
        <v>1302</v>
      </c>
      <c r="C30" s="855" t="s">
        <v>1303</v>
      </c>
      <c r="D30" s="855"/>
      <c r="E30" s="855"/>
      <c r="F30" s="262">
        <f t="shared" si="0"/>
        <v>7.7546652714260061E-2</v>
      </c>
      <c r="G30" s="856">
        <v>165226.47</v>
      </c>
      <c r="H30" s="856"/>
      <c r="I30" s="856">
        <f t="shared" si="1"/>
        <v>4.8737071406659274</v>
      </c>
      <c r="J30" s="857"/>
      <c r="K30" s="215"/>
    </row>
    <row r="31" spans="2:11">
      <c r="B31" s="790" t="s">
        <v>1304</v>
      </c>
      <c r="C31" s="855" t="s">
        <v>1305</v>
      </c>
      <c r="D31" s="855"/>
      <c r="E31" s="855"/>
      <c r="F31" s="262">
        <f t="shared" si="0"/>
        <v>4.4505257813398152E-3</v>
      </c>
      <c r="G31" s="856">
        <v>9482.61</v>
      </c>
      <c r="H31" s="856"/>
      <c r="I31" s="856">
        <f t="shared" si="1"/>
        <v>0.27970980720673955</v>
      </c>
      <c r="J31" s="857"/>
      <c r="K31" s="215"/>
    </row>
    <row r="32" spans="2:11">
      <c r="B32" s="790" t="s">
        <v>1306</v>
      </c>
      <c r="C32" s="855" t="s">
        <v>1307</v>
      </c>
      <c r="D32" s="855"/>
      <c r="E32" s="855"/>
      <c r="F32" s="262">
        <f t="shared" si="0"/>
        <v>0.18599923305881191</v>
      </c>
      <c r="G32" s="856">
        <v>396303.32999999996</v>
      </c>
      <c r="H32" s="856"/>
      <c r="I32" s="856">
        <f t="shared" si="1"/>
        <v>11.68981198527503</v>
      </c>
      <c r="J32" s="857"/>
      <c r="K32" s="215"/>
    </row>
    <row r="33" spans="2:11">
      <c r="B33" s="790" t="s">
        <v>1308</v>
      </c>
      <c r="C33" s="855" t="s">
        <v>1309</v>
      </c>
      <c r="D33" s="855"/>
      <c r="E33" s="855"/>
      <c r="F33" s="262">
        <f t="shared" si="0"/>
        <v>2.8277493786760262E-2</v>
      </c>
      <c r="G33" s="856">
        <v>60250.06</v>
      </c>
      <c r="H33" s="856"/>
      <c r="I33" s="856">
        <f t="shared" si="1"/>
        <v>1.7772040257686952</v>
      </c>
      <c r="J33" s="857"/>
      <c r="K33" s="215"/>
    </row>
    <row r="34" spans="2:11">
      <c r="B34" s="790" t="s">
        <v>1310</v>
      </c>
      <c r="C34" s="855" t="s">
        <v>1311</v>
      </c>
      <c r="D34" s="855"/>
      <c r="E34" s="855"/>
      <c r="F34" s="262">
        <f t="shared" si="0"/>
        <v>0.20939872557099767</v>
      </c>
      <c r="G34" s="856">
        <v>446159.96999999991</v>
      </c>
      <c r="H34" s="856"/>
      <c r="I34" s="856">
        <f t="shared" si="1"/>
        <v>13.160439920239751</v>
      </c>
      <c r="J34" s="857"/>
      <c r="K34" s="215"/>
    </row>
    <row r="35" spans="2:11">
      <c r="B35" s="858" t="str">
        <f>CONCATENATE("TOTAL ",C21)</f>
        <v>TOTAL REFORMA</v>
      </c>
      <c r="C35" s="859"/>
      <c r="D35" s="859"/>
      <c r="E35" s="859"/>
      <c r="F35" s="860"/>
      <c r="G35" s="861">
        <f>SUM(G23:H34)</f>
        <v>2130671.85</v>
      </c>
      <c r="H35" s="862"/>
      <c r="I35" s="861">
        <f>SUM(I23:J34)</f>
        <v>62.848710680321879</v>
      </c>
      <c r="J35" s="863"/>
      <c r="K35" s="215"/>
    </row>
    <row r="36" spans="2:11">
      <c r="B36" s="866"/>
      <c r="C36" s="867"/>
      <c r="D36" s="867"/>
      <c r="E36" s="867"/>
      <c r="F36" s="867"/>
      <c r="G36" s="867"/>
      <c r="H36" s="867"/>
      <c r="I36" s="867"/>
      <c r="J36" s="868"/>
    </row>
    <row r="37" spans="2:11" ht="15.6">
      <c r="B37" s="257" t="s">
        <v>1312</v>
      </c>
      <c r="C37" s="869" t="s">
        <v>1313</v>
      </c>
      <c r="D37" s="869"/>
      <c r="E37" s="869"/>
      <c r="F37" s="869"/>
      <c r="G37" s="869"/>
      <c r="H37" s="869"/>
      <c r="I37" s="869"/>
      <c r="J37" s="870"/>
      <c r="K37" s="258"/>
    </row>
    <row r="38" spans="2:11" ht="7.9" customHeight="1">
      <c r="B38" s="259"/>
      <c r="C38" s="260"/>
      <c r="D38" s="260"/>
      <c r="E38" s="260"/>
      <c r="F38" s="260"/>
      <c r="G38" s="260"/>
      <c r="H38" s="260"/>
      <c r="I38" s="260"/>
      <c r="J38" s="261"/>
      <c r="K38" s="258"/>
    </row>
    <row r="39" spans="2:11">
      <c r="B39" s="790" t="s">
        <v>1314</v>
      </c>
      <c r="C39" s="855" t="s">
        <v>1289</v>
      </c>
      <c r="D39" s="855"/>
      <c r="E39" s="855"/>
      <c r="F39" s="262">
        <f t="shared" ref="F39:F50" si="2">G39/$G$53</f>
        <v>3.6511584842779249E-2</v>
      </c>
      <c r="G39" s="856">
        <v>149430.96</v>
      </c>
      <c r="H39" s="856"/>
      <c r="I39" s="856">
        <f t="shared" ref="I39:I49" si="3">IFERROR(G39/$J$11,"")</f>
        <v>4.4077848833093425</v>
      </c>
      <c r="J39" s="857"/>
      <c r="K39" s="263"/>
    </row>
    <row r="40" spans="2:11" ht="14.45" customHeight="1">
      <c r="B40" s="790" t="s">
        <v>1315</v>
      </c>
      <c r="C40" s="855" t="s">
        <v>1291</v>
      </c>
      <c r="D40" s="855"/>
      <c r="E40" s="855"/>
      <c r="F40" s="262">
        <f t="shared" si="2"/>
        <v>1.2760791445371325E-2</v>
      </c>
      <c r="G40" s="856">
        <v>52226.09</v>
      </c>
      <c r="H40" s="856"/>
      <c r="I40" s="856">
        <f t="shared" si="3"/>
        <v>1.5405199164641197</v>
      </c>
      <c r="J40" s="857"/>
      <c r="K40" s="215"/>
    </row>
    <row r="41" spans="2:11" ht="14.45" customHeight="1">
      <c r="B41" s="790" t="s">
        <v>1316</v>
      </c>
      <c r="C41" s="855" t="s">
        <v>1317</v>
      </c>
      <c r="D41" s="855"/>
      <c r="E41" s="855"/>
      <c r="F41" s="262">
        <f t="shared" si="2"/>
        <v>7.6901980824682553E-2</v>
      </c>
      <c r="G41" s="856">
        <v>314736.73000000004</v>
      </c>
      <c r="H41" s="856"/>
      <c r="I41" s="856">
        <f t="shared" si="3"/>
        <v>9.2838311466125507</v>
      </c>
      <c r="J41" s="857"/>
      <c r="K41" s="215"/>
    </row>
    <row r="42" spans="2:11" ht="14.45" customHeight="1">
      <c r="B42" s="790" t="s">
        <v>1318</v>
      </c>
      <c r="C42" s="855" t="s">
        <v>1319</v>
      </c>
      <c r="D42" s="855"/>
      <c r="E42" s="855"/>
      <c r="F42" s="262">
        <f t="shared" si="2"/>
        <v>3.9631334709805302E-2</v>
      </c>
      <c r="G42" s="856">
        <v>162199.16000000003</v>
      </c>
      <c r="H42" s="856"/>
      <c r="I42" s="856">
        <f t="shared" si="3"/>
        <v>4.7844101753309589</v>
      </c>
      <c r="J42" s="857"/>
      <c r="K42" s="215"/>
    </row>
    <row r="43" spans="2:11" ht="14.45" customHeight="1">
      <c r="B43" s="790" t="s">
        <v>1320</v>
      </c>
      <c r="C43" s="855" t="s">
        <v>1321</v>
      </c>
      <c r="D43" s="855"/>
      <c r="E43" s="855"/>
      <c r="F43" s="262">
        <f t="shared" si="2"/>
        <v>1.3535978991433065E-2</v>
      </c>
      <c r="G43" s="856">
        <v>55398.7</v>
      </c>
      <c r="H43" s="856"/>
      <c r="I43" s="856">
        <f t="shared" si="3"/>
        <v>1.6341028152063619</v>
      </c>
      <c r="J43" s="857"/>
      <c r="K43" s="215"/>
    </row>
    <row r="44" spans="2:11" ht="14.45" customHeight="1">
      <c r="B44" s="790" t="s">
        <v>1322</v>
      </c>
      <c r="C44" s="855" t="s">
        <v>1323</v>
      </c>
      <c r="D44" s="855"/>
      <c r="E44" s="855"/>
      <c r="F44" s="262">
        <f t="shared" si="2"/>
        <v>9.0240828333783205E-2</v>
      </c>
      <c r="G44" s="856">
        <v>369328.63</v>
      </c>
      <c r="H44" s="856"/>
      <c r="I44" s="856">
        <f t="shared" si="3"/>
        <v>10.894135675012389</v>
      </c>
      <c r="J44" s="857"/>
      <c r="K44" s="215"/>
    </row>
    <row r="45" spans="2:11" ht="14.45" customHeight="1">
      <c r="B45" s="790" t="s">
        <v>1324</v>
      </c>
      <c r="C45" s="865" t="s">
        <v>1325</v>
      </c>
      <c r="D45" s="865"/>
      <c r="E45" s="865"/>
      <c r="F45" s="262">
        <f t="shared" si="2"/>
        <v>0.14054986015331869</v>
      </c>
      <c r="G45" s="856">
        <v>575228.4</v>
      </c>
      <c r="H45" s="856"/>
      <c r="I45" s="856">
        <f t="shared" si="3"/>
        <v>16.967588550392904</v>
      </c>
      <c r="J45" s="857"/>
      <c r="K45" s="215"/>
    </row>
    <row r="46" spans="2:11" ht="14.45" customHeight="1">
      <c r="B46" s="790" t="s">
        <v>1326</v>
      </c>
      <c r="C46" s="855" t="s">
        <v>1309</v>
      </c>
      <c r="D46" s="855"/>
      <c r="E46" s="855"/>
      <c r="F46" s="262">
        <f t="shared" si="2"/>
        <v>3.2929939395434447E-2</v>
      </c>
      <c r="G46" s="856">
        <v>134772.36000000002</v>
      </c>
      <c r="H46" s="856"/>
      <c r="I46" s="856">
        <f t="shared" si="3"/>
        <v>3.9753982112938631</v>
      </c>
      <c r="J46" s="857"/>
      <c r="K46" s="215"/>
    </row>
    <row r="47" spans="2:11" ht="14.45" customHeight="1">
      <c r="B47" s="790" t="s">
        <v>1327</v>
      </c>
      <c r="C47" s="865" t="s">
        <v>1328</v>
      </c>
      <c r="D47" s="865"/>
      <c r="E47" s="865"/>
      <c r="F47" s="262">
        <f t="shared" si="2"/>
        <v>0.16315442487450785</v>
      </c>
      <c r="G47" s="856">
        <v>667742.10000000009</v>
      </c>
      <c r="H47" s="856"/>
      <c r="I47" s="856">
        <f t="shared" si="3"/>
        <v>19.69647745239163</v>
      </c>
      <c r="J47" s="857"/>
      <c r="K47" s="215"/>
    </row>
    <row r="48" spans="2:11" ht="14.45" customHeight="1">
      <c r="B48" s="790" t="s">
        <v>1329</v>
      </c>
      <c r="C48" s="855" t="s">
        <v>1330</v>
      </c>
      <c r="D48" s="855"/>
      <c r="E48" s="855"/>
      <c r="F48" s="262">
        <f t="shared" si="2"/>
        <v>1.8227766911940533E-2</v>
      </c>
      <c r="G48" s="856">
        <v>74600.78</v>
      </c>
      <c r="H48" s="856"/>
      <c r="I48" s="856">
        <f t="shared" si="3"/>
        <v>2.2005091205134861</v>
      </c>
      <c r="J48" s="857"/>
      <c r="K48" s="215"/>
    </row>
    <row r="49" spans="1:11" ht="14.45" customHeight="1">
      <c r="B49" s="790" t="s">
        <v>1331</v>
      </c>
      <c r="C49" s="855" t="s">
        <v>1332</v>
      </c>
      <c r="D49" s="855"/>
      <c r="E49" s="855"/>
      <c r="F49" s="262">
        <f t="shared" si="2"/>
        <v>4.4240878633097731E-2</v>
      </c>
      <c r="G49" s="856">
        <v>181064.64</v>
      </c>
      <c r="H49" s="856"/>
      <c r="I49" s="856">
        <f t="shared" si="3"/>
        <v>5.3408877457111172</v>
      </c>
      <c r="J49" s="857"/>
      <c r="K49" s="215"/>
    </row>
    <row r="50" spans="1:11" ht="14.45" customHeight="1">
      <c r="B50" s="790" t="s">
        <v>1333</v>
      </c>
      <c r="C50" s="871" t="s">
        <v>1334</v>
      </c>
      <c r="D50" s="872"/>
      <c r="E50" s="873"/>
      <c r="F50" s="262">
        <f t="shared" si="2"/>
        <v>3.0122308674226741E-2</v>
      </c>
      <c r="G50" s="874">
        <v>123281.57</v>
      </c>
      <c r="H50" s="875"/>
      <c r="I50" s="856">
        <f t="shared" ref="I50" si="4">IFERROR(G50/$J$11,"")</f>
        <v>3.6364528517828072</v>
      </c>
      <c r="J50" s="857"/>
      <c r="K50" s="215"/>
    </row>
    <row r="51" spans="1:11" ht="14.45" customHeight="1">
      <c r="B51" s="790" t="s">
        <v>1335</v>
      </c>
      <c r="C51" s="855" t="s">
        <v>1336</v>
      </c>
      <c r="D51" s="855"/>
      <c r="E51" s="855"/>
      <c r="F51" s="262">
        <f>G51/$G$53</f>
        <v>7.1942181561022389E-2</v>
      </c>
      <c r="G51" s="856">
        <v>294437.76000000001</v>
      </c>
      <c r="H51" s="856"/>
      <c r="I51" s="856">
        <f>IFERROR(G51/$J$11,"")</f>
        <v>8.685069731222125</v>
      </c>
      <c r="J51" s="857"/>
      <c r="K51" s="215"/>
    </row>
    <row r="52" spans="1:11" ht="14.45" customHeight="1">
      <c r="B52" s="790" t="s">
        <v>1337</v>
      </c>
      <c r="C52" s="855" t="s">
        <v>1338</v>
      </c>
      <c r="D52" s="855"/>
      <c r="E52" s="855"/>
      <c r="F52" s="262">
        <f>G52/$G$53</f>
        <v>0.22925014064859692</v>
      </c>
      <c r="G52" s="864">
        <v>938252.03</v>
      </c>
      <c r="H52" s="864"/>
      <c r="I52" s="856">
        <f>G52/'Quadro de áreas'!G18</f>
        <v>237.2528618208944</v>
      </c>
      <c r="J52" s="857"/>
      <c r="K52" s="215"/>
    </row>
    <row r="53" spans="1:11">
      <c r="B53" s="858" t="str">
        <f>CONCATENATE("TOTAL ",C37)</f>
        <v>TOTAL AMPLIAÇÃO</v>
      </c>
      <c r="C53" s="859"/>
      <c r="D53" s="859"/>
      <c r="E53" s="859"/>
      <c r="F53" s="860"/>
      <c r="G53" s="861">
        <f>SUM(G39:H52)</f>
        <v>4092699.91</v>
      </c>
      <c r="H53" s="862"/>
      <c r="I53" s="861">
        <f>SUM(I39:J51)</f>
        <v>93.047168275243664</v>
      </c>
      <c r="J53" s="863"/>
      <c r="K53" s="215"/>
    </row>
    <row r="54" spans="1:11" ht="15" thickBot="1">
      <c r="B54" s="847"/>
      <c r="C54" s="848"/>
      <c r="D54" s="848"/>
      <c r="E54" s="848"/>
      <c r="F54" s="848"/>
      <c r="G54" s="848"/>
      <c r="H54" s="848"/>
      <c r="I54" s="848"/>
      <c r="J54" s="849"/>
    </row>
    <row r="55" spans="1:11" ht="17.45" customHeight="1"/>
    <row r="57" spans="1:11" ht="15" thickBot="1"/>
    <row r="58" spans="1:11" ht="15.6">
      <c r="B58" s="850" t="s">
        <v>1339</v>
      </c>
      <c r="C58" s="851"/>
      <c r="D58" s="851"/>
      <c r="E58" s="851"/>
      <c r="F58" s="851"/>
      <c r="G58" s="361"/>
      <c r="H58" s="361">
        <f>G35+G53</f>
        <v>6223371.7599999998</v>
      </c>
      <c r="I58" s="852">
        <f>I35+I53</f>
        <v>155.89587895556554</v>
      </c>
      <c r="J58" s="853"/>
    </row>
    <row r="59" spans="1:11" ht="6" customHeight="1"/>
    <row r="60" spans="1:11">
      <c r="A60" s="264"/>
      <c r="B60" s="854" t="s">
        <v>1340</v>
      </c>
      <c r="C60" s="854"/>
      <c r="D60" s="854"/>
      <c r="E60" s="854"/>
      <c r="F60" s="854"/>
      <c r="G60" s="854"/>
      <c r="H60" s="854"/>
      <c r="I60" s="854"/>
      <c r="J60" s="854"/>
    </row>
    <row r="62" spans="1:11">
      <c r="H62" s="544"/>
      <c r="I62" s="724"/>
    </row>
    <row r="63" spans="1:11">
      <c r="H63" s="544"/>
    </row>
    <row r="65" spans="4:9" ht="45.75" customHeight="1">
      <c r="E65" s="111"/>
      <c r="I65" s="682"/>
    </row>
    <row r="73" spans="4:9">
      <c r="E73" s="544"/>
    </row>
    <row r="74" spans="4:9" ht="13.5" customHeight="1">
      <c r="D74" s="111"/>
      <c r="E74" s="544"/>
    </row>
    <row r="75" spans="4:9">
      <c r="E75" s="119"/>
    </row>
    <row r="76" spans="4:9">
      <c r="E76" s="544"/>
    </row>
  </sheetData>
  <mergeCells count="108">
    <mergeCell ref="C50:E50"/>
    <mergeCell ref="G50:H50"/>
    <mergeCell ref="I50:J50"/>
    <mergeCell ref="B2:D5"/>
    <mergeCell ref="E2:H2"/>
    <mergeCell ref="I2:J5"/>
    <mergeCell ref="E4:H4"/>
    <mergeCell ref="E5:H5"/>
    <mergeCell ref="C6:H6"/>
    <mergeCell ref="B18:B19"/>
    <mergeCell ref="C18:E19"/>
    <mergeCell ref="F18:F19"/>
    <mergeCell ref="G18:H19"/>
    <mergeCell ref="I18:J19"/>
    <mergeCell ref="C21:J21"/>
    <mergeCell ref="C7:H7"/>
    <mergeCell ref="C8:H8"/>
    <mergeCell ref="C9:E9"/>
    <mergeCell ref="G9:H9"/>
    <mergeCell ref="H11:H12"/>
    <mergeCell ref="B14:J16"/>
    <mergeCell ref="C25:E25"/>
    <mergeCell ref="G25:H25"/>
    <mergeCell ref="I25:J25"/>
    <mergeCell ref="C26:E26"/>
    <mergeCell ref="G26:H26"/>
    <mergeCell ref="I26:J26"/>
    <mergeCell ref="C23:E23"/>
    <mergeCell ref="G23:H23"/>
    <mergeCell ref="I23:J23"/>
    <mergeCell ref="C24:E24"/>
    <mergeCell ref="G24:H24"/>
    <mergeCell ref="I24:J24"/>
    <mergeCell ref="C29:E29"/>
    <mergeCell ref="G29:H29"/>
    <mergeCell ref="I29:J29"/>
    <mergeCell ref="C30:E30"/>
    <mergeCell ref="G30:H30"/>
    <mergeCell ref="I30:J30"/>
    <mergeCell ref="C27:E27"/>
    <mergeCell ref="G27:H27"/>
    <mergeCell ref="I27:J27"/>
    <mergeCell ref="C28:E28"/>
    <mergeCell ref="G28:H28"/>
    <mergeCell ref="I28:J28"/>
    <mergeCell ref="C33:E33"/>
    <mergeCell ref="G33:H33"/>
    <mergeCell ref="I33:J33"/>
    <mergeCell ref="C34:E34"/>
    <mergeCell ref="G34:H34"/>
    <mergeCell ref="I34:J34"/>
    <mergeCell ref="C31:E31"/>
    <mergeCell ref="G31:H31"/>
    <mergeCell ref="I31:J31"/>
    <mergeCell ref="C32:E32"/>
    <mergeCell ref="G32:H32"/>
    <mergeCell ref="I32:J32"/>
    <mergeCell ref="C40:E40"/>
    <mergeCell ref="G40:H40"/>
    <mergeCell ref="I40:J40"/>
    <mergeCell ref="C41:E41"/>
    <mergeCell ref="G41:H41"/>
    <mergeCell ref="I41:J41"/>
    <mergeCell ref="B35:F35"/>
    <mergeCell ref="G35:H35"/>
    <mergeCell ref="I35:J35"/>
    <mergeCell ref="B36:J36"/>
    <mergeCell ref="C37:J37"/>
    <mergeCell ref="C39:E39"/>
    <mergeCell ref="G39:H39"/>
    <mergeCell ref="I39:J39"/>
    <mergeCell ref="C44:E44"/>
    <mergeCell ref="G44:H44"/>
    <mergeCell ref="I44:J44"/>
    <mergeCell ref="C45:E45"/>
    <mergeCell ref="G45:H45"/>
    <mergeCell ref="I45:J45"/>
    <mergeCell ref="C42:E42"/>
    <mergeCell ref="G42:H42"/>
    <mergeCell ref="I42:J42"/>
    <mergeCell ref="C43:E43"/>
    <mergeCell ref="G43:H43"/>
    <mergeCell ref="I43:J43"/>
    <mergeCell ref="C48:E48"/>
    <mergeCell ref="G48:H48"/>
    <mergeCell ref="I48:J48"/>
    <mergeCell ref="C49:E49"/>
    <mergeCell ref="G49:H49"/>
    <mergeCell ref="I49:J49"/>
    <mergeCell ref="C46:E46"/>
    <mergeCell ref="G46:H46"/>
    <mergeCell ref="I46:J46"/>
    <mergeCell ref="C47:E47"/>
    <mergeCell ref="G47:H47"/>
    <mergeCell ref="I47:J47"/>
    <mergeCell ref="B54:J54"/>
    <mergeCell ref="B58:F58"/>
    <mergeCell ref="I58:J58"/>
    <mergeCell ref="B60:J60"/>
    <mergeCell ref="C51:E51"/>
    <mergeCell ref="G51:H51"/>
    <mergeCell ref="I51:J51"/>
    <mergeCell ref="B53:F53"/>
    <mergeCell ref="G53:H53"/>
    <mergeCell ref="I53:J53"/>
    <mergeCell ref="C52:E52"/>
    <mergeCell ref="G52:H52"/>
    <mergeCell ref="I52:J52"/>
  </mergeCells>
  <pageMargins left="0.51181102362204722" right="0.51181102362204722" top="0.78740157480314965" bottom="1.1811023622047245" header="0.31496062992125984" footer="0.39370078740157483"/>
  <pageSetup paperSize="9" scale="69" orientation="portrait" r:id="rId1"/>
  <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0"/>
  <dimension ref="B4:CM401"/>
  <sheetViews>
    <sheetView showGridLines="0" workbookViewId="0">
      <selection activeCell="BF62" sqref="BF62"/>
    </sheetView>
  </sheetViews>
  <sheetFormatPr defaultColWidth="9.140625" defaultRowHeight="10.15"/>
  <cols>
    <col min="1" max="1" width="9.140625" style="266"/>
    <col min="2" max="2" width="26.85546875" style="266" bestFit="1" customWidth="1"/>
    <col min="3" max="3" width="20.7109375" style="266" bestFit="1" customWidth="1"/>
    <col min="4" max="4" width="36.5703125" style="266" bestFit="1" customWidth="1"/>
    <col min="5" max="5" width="16.28515625" style="266" bestFit="1" customWidth="1"/>
    <col min="6" max="6" width="13.7109375" style="266" bestFit="1" customWidth="1"/>
    <col min="7" max="7" width="16.42578125" style="266" bestFit="1" customWidth="1"/>
    <col min="8" max="8" width="12.28515625" style="266" bestFit="1" customWidth="1"/>
    <col min="9" max="9" width="14" style="266" bestFit="1" customWidth="1"/>
    <col min="10" max="10" width="28.42578125" style="266" customWidth="1"/>
    <col min="11" max="11" width="15.28515625" style="266" customWidth="1"/>
    <col min="12" max="12" width="15.28515625" style="266" bestFit="1" customWidth="1"/>
    <col min="13" max="13" width="24.42578125" style="266" bestFit="1" customWidth="1"/>
    <col min="14" max="14" width="14.85546875" style="266" bestFit="1" customWidth="1"/>
    <col min="15" max="15" width="18.28515625" style="266" bestFit="1" customWidth="1"/>
    <col min="16" max="16" width="15.28515625" style="266" bestFit="1" customWidth="1"/>
    <col min="17" max="17" width="15.140625" style="266" bestFit="1" customWidth="1"/>
    <col min="18" max="18" width="16.5703125" style="266" bestFit="1" customWidth="1"/>
    <col min="19" max="19" width="29" style="266" bestFit="1" customWidth="1"/>
    <col min="20" max="21" width="14.28515625" style="266" bestFit="1" customWidth="1"/>
    <col min="22" max="22" width="15.42578125" style="266" bestFit="1" customWidth="1"/>
    <col min="23" max="24" width="14.28515625" style="266" bestFit="1" customWidth="1"/>
    <col min="25" max="25" width="15.42578125" style="266" bestFit="1" customWidth="1"/>
    <col min="26" max="26" width="14.28515625" style="266" bestFit="1" customWidth="1"/>
    <col min="27" max="28" width="15.42578125" style="266" bestFit="1" customWidth="1"/>
    <col min="29" max="30" width="14.28515625" style="266" bestFit="1" customWidth="1"/>
    <col min="31" max="32" width="15.42578125" style="266" bestFit="1" customWidth="1"/>
    <col min="33" max="33" width="14.28515625" style="266" bestFit="1" customWidth="1"/>
    <col min="34" max="34" width="15.42578125" style="266" bestFit="1" customWidth="1"/>
    <col min="35" max="36" width="14.28515625" style="266" bestFit="1" customWidth="1"/>
    <col min="37" max="37" width="15.42578125" style="266" bestFit="1" customWidth="1"/>
    <col min="38" max="39" width="14.28515625" style="266" bestFit="1" customWidth="1"/>
    <col min="40" max="40" width="13.28515625" style="266" bestFit="1" customWidth="1"/>
    <col min="41" max="41" width="12.42578125" style="266" bestFit="1" customWidth="1"/>
    <col min="42" max="43" width="13.28515625" style="266" bestFit="1" customWidth="1"/>
    <col min="44" max="45" width="12.140625" style="266" bestFit="1" customWidth="1"/>
    <col min="46" max="47" width="13.28515625" style="266" bestFit="1" customWidth="1"/>
    <col min="48" max="48" width="12.140625" style="266" bestFit="1" customWidth="1"/>
    <col min="49" max="49" width="13.28515625" style="266" bestFit="1" customWidth="1"/>
    <col min="50" max="50" width="12.140625" style="266" bestFit="1" customWidth="1"/>
    <col min="51" max="51" width="19.85546875" style="266" bestFit="1" customWidth="1"/>
    <col min="52" max="52" width="13.28515625" style="266" bestFit="1" customWidth="1"/>
    <col min="53" max="54" width="12.140625" style="266" bestFit="1" customWidth="1"/>
    <col min="55" max="56" width="9.140625" style="266"/>
    <col min="57" max="57" width="15.42578125" style="266" customWidth="1"/>
    <col min="58" max="58" width="9.140625" style="266"/>
    <col min="59" max="60" width="10.28515625" style="266" bestFit="1" customWidth="1"/>
    <col min="61" max="61" width="10" style="266" bestFit="1" customWidth="1"/>
    <col min="62" max="62" width="14.28515625" style="266" bestFit="1" customWidth="1"/>
    <col min="63" max="16384" width="9.140625" style="266"/>
  </cols>
  <sheetData>
    <row r="4" spans="2:43">
      <c r="B4" s="836" t="s">
        <v>1341</v>
      </c>
      <c r="C4" s="836"/>
    </row>
    <row r="5" spans="2:43">
      <c r="B5" s="316" t="s">
        <v>633</v>
      </c>
      <c r="C5" s="316" t="s">
        <v>479</v>
      </c>
      <c r="D5" s="316" t="s">
        <v>224</v>
      </c>
      <c r="E5" s="316" t="s">
        <v>84</v>
      </c>
      <c r="F5" s="316" t="s">
        <v>86</v>
      </c>
      <c r="G5" s="316" t="s">
        <v>92</v>
      </c>
      <c r="H5" s="316" t="s">
        <v>93</v>
      </c>
      <c r="I5" s="316" t="s">
        <v>94</v>
      </c>
      <c r="J5" s="316" t="s">
        <v>95</v>
      </c>
      <c r="K5" s="316" t="s">
        <v>96</v>
      </c>
      <c r="L5" s="316" t="s">
        <v>97</v>
      </c>
      <c r="M5" s="316" t="s">
        <v>98</v>
      </c>
      <c r="N5" s="316" t="s">
        <v>99</v>
      </c>
      <c r="O5" s="316" t="s">
        <v>100</v>
      </c>
      <c r="P5" s="316" t="s">
        <v>101</v>
      </c>
      <c r="Q5" s="316" t="s">
        <v>102</v>
      </c>
      <c r="R5" s="316" t="s">
        <v>103</v>
      </c>
      <c r="S5" s="316" t="s">
        <v>104</v>
      </c>
      <c r="T5" s="316" t="s">
        <v>105</v>
      </c>
      <c r="U5" s="316" t="s">
        <v>106</v>
      </c>
      <c r="V5" s="316" t="s">
        <v>107</v>
      </c>
      <c r="W5" s="316" t="s">
        <v>108</v>
      </c>
      <c r="X5" s="316" t="s">
        <v>109</v>
      </c>
      <c r="Y5" s="316" t="s">
        <v>110</v>
      </c>
      <c r="Z5" s="316" t="s">
        <v>111</v>
      </c>
      <c r="AA5" s="316" t="s">
        <v>112</v>
      </c>
      <c r="AB5" s="316" t="s">
        <v>113</v>
      </c>
      <c r="AC5" s="316" t="s">
        <v>114</v>
      </c>
      <c r="AD5" s="316" t="s">
        <v>115</v>
      </c>
      <c r="AE5" s="316" t="s">
        <v>116</v>
      </c>
      <c r="AF5" s="316" t="s">
        <v>117</v>
      </c>
      <c r="AG5" s="316" t="s">
        <v>118</v>
      </c>
      <c r="AH5" s="316" t="s">
        <v>119</v>
      </c>
      <c r="AI5" s="316" t="s">
        <v>120</v>
      </c>
      <c r="AJ5" s="316" t="s">
        <v>121</v>
      </c>
      <c r="AK5" s="316" t="s">
        <v>122</v>
      </c>
      <c r="AL5" s="316" t="s">
        <v>123</v>
      </c>
      <c r="AM5" s="316" t="s">
        <v>124</v>
      </c>
    </row>
    <row r="6" spans="2:43">
      <c r="B6" s="317" t="s">
        <v>38</v>
      </c>
      <c r="C6" s="318">
        <f>SUM(D6:AN6)</f>
        <v>193523.64950332636</v>
      </c>
      <c r="D6" s="318">
        <f>IF('INPUTS&amp;OUTPUTS'!$K$22="Sim",IF(D5="Ano 2", $D$29,0),0)</f>
        <v>0</v>
      </c>
      <c r="E6" s="318">
        <f>IF('INPUTS&amp;OUTPUTS'!$K$22="Sim",IF(E5="Ano 2", $D$29,0),0)</f>
        <v>0</v>
      </c>
      <c r="F6" s="318">
        <f>IF('INPUTS&amp;OUTPUTS'!$K$22="Sim",IF(F5="Ano 2", $D$29,0),0)</f>
        <v>193523.64950332636</v>
      </c>
      <c r="G6" s="318">
        <f>IF('INPUTS&amp;OUTPUTS'!$K$22="Sim",IF(G5="Ano 2", $D$29,0),0)</f>
        <v>0</v>
      </c>
      <c r="H6" s="318">
        <f>IF('INPUTS&amp;OUTPUTS'!$K$22="Sim",IF(H5="Ano 2", $D$29,0),0)</f>
        <v>0</v>
      </c>
      <c r="I6" s="318">
        <f>IF('INPUTS&amp;OUTPUTS'!$K$22="Sim",IF(I5="Ano 2", $D$29,0),0)</f>
        <v>0</v>
      </c>
      <c r="J6" s="318">
        <f>IF('INPUTS&amp;OUTPUTS'!$K$22="Sim",IF(J5="Ano 2", $D$29,0),0)</f>
        <v>0</v>
      </c>
      <c r="K6" s="318">
        <f>IF('INPUTS&amp;OUTPUTS'!$K$22="Sim",IF(K5="Ano 2", $D$29,0),0)</f>
        <v>0</v>
      </c>
      <c r="L6" s="318">
        <f>IF('INPUTS&amp;OUTPUTS'!$K$22="Sim",IF(L5="Ano 2", $D$29,0),0)</f>
        <v>0</v>
      </c>
      <c r="M6" s="318">
        <f>IF('INPUTS&amp;OUTPUTS'!$K$22="Sim",IF(M5="Ano 2", $D$29,0),0)</f>
        <v>0</v>
      </c>
      <c r="N6" s="318">
        <f>IF('INPUTS&amp;OUTPUTS'!$K$22="Sim",IF(N5="Ano 2", $D$29,0),0)</f>
        <v>0</v>
      </c>
      <c r="O6" s="318">
        <f>IF('INPUTS&amp;OUTPUTS'!$K$22="Sim",IF(O5="Ano 2", $D$29,0),0)</f>
        <v>0</v>
      </c>
      <c r="P6" s="318">
        <f>IF('INPUTS&amp;OUTPUTS'!$K$22="Sim",IF(P5="Ano 2", $D$29,0),0)</f>
        <v>0</v>
      </c>
      <c r="Q6" s="318">
        <f>IF('INPUTS&amp;OUTPUTS'!$K$22="Sim",IF(Q5="Ano 2", $D$29,0),0)</f>
        <v>0</v>
      </c>
      <c r="R6" s="318">
        <f>IF('INPUTS&amp;OUTPUTS'!$K$22="Sim",IF(R5="Ano 2", $D$29,0),0)</f>
        <v>0</v>
      </c>
      <c r="S6" s="318">
        <f>IF('INPUTS&amp;OUTPUTS'!$K$22="Sim",IF(S5="Ano 2", $D$29,0),0)</f>
        <v>0</v>
      </c>
      <c r="T6" s="318">
        <f>IF('INPUTS&amp;OUTPUTS'!$K$22="Sim",IF(T5="Ano 2", $D$29,0),0)</f>
        <v>0</v>
      </c>
      <c r="U6" s="318">
        <f>IF('INPUTS&amp;OUTPUTS'!$K$22="Sim",IF(U5="Ano 2", $D$29,0),0)</f>
        <v>0</v>
      </c>
      <c r="V6" s="318">
        <f>IF('INPUTS&amp;OUTPUTS'!$K$22="Sim",IF(V5="Ano 2", $D$29,0),0)</f>
        <v>0</v>
      </c>
      <c r="W6" s="318">
        <f>IF('INPUTS&amp;OUTPUTS'!$K$22="Sim",IF(W5="Ano 2", $D$29,0),0)</f>
        <v>0</v>
      </c>
      <c r="X6" s="318">
        <f>IF('INPUTS&amp;OUTPUTS'!$K$22="Sim",IF(X5="Ano 2", $D$29,0),0)</f>
        <v>0</v>
      </c>
      <c r="Y6" s="318">
        <f>IF('INPUTS&amp;OUTPUTS'!$K$22="Sim",IF(Y5="Ano 2", $D$29,0),0)</f>
        <v>0</v>
      </c>
      <c r="Z6" s="318">
        <f>IF('INPUTS&amp;OUTPUTS'!$K$22="Sim",IF(Z5="Ano 2", $D$29,0),0)</f>
        <v>0</v>
      </c>
      <c r="AA6" s="318">
        <f>IF('INPUTS&amp;OUTPUTS'!$K$22="Sim",IF(AA5="Ano 2", $D$29,0),0)</f>
        <v>0</v>
      </c>
      <c r="AB6" s="318">
        <f>IF('INPUTS&amp;OUTPUTS'!$K$22="Sim",IF(AB5="Ano 2", $D$29,0),0)</f>
        <v>0</v>
      </c>
      <c r="AC6" s="318">
        <f>IF('INPUTS&amp;OUTPUTS'!$K$22="Sim",IF(AC5="Ano 2", $D$29,0),0)</f>
        <v>0</v>
      </c>
      <c r="AD6" s="318">
        <f>IF('INPUTS&amp;OUTPUTS'!$K$22="Sim",IF(AD5="Ano 2", $D$29,0),0)</f>
        <v>0</v>
      </c>
      <c r="AE6" s="318">
        <f>IF('INPUTS&amp;OUTPUTS'!$K$22="Sim",IF(AE5="Ano 2", $D$29,0),0)</f>
        <v>0</v>
      </c>
      <c r="AF6" s="318">
        <f>IF('INPUTS&amp;OUTPUTS'!$K$22="Sim",IF(AF5="Ano 2", $D$29,0),0)</f>
        <v>0</v>
      </c>
      <c r="AG6" s="318">
        <f>IF('INPUTS&amp;OUTPUTS'!$K$22="Sim",IF(AG5="Ano 2", $D$29,0),0)</f>
        <v>0</v>
      </c>
      <c r="AH6" s="318">
        <f>IF('INPUTS&amp;OUTPUTS'!$K$22="Sim",IF(AH5="Ano 2", $D$29,0),0)</f>
        <v>0</v>
      </c>
      <c r="AI6" s="318">
        <f>IF('INPUTS&amp;OUTPUTS'!$K$22="Sim",IF(AI5="Ano 2", $D$29,0),0)</f>
        <v>0</v>
      </c>
      <c r="AJ6" s="318">
        <f>IF('INPUTS&amp;OUTPUTS'!$K$22="Sim",IF(AJ5="Ano 2", $D$29,0),0)</f>
        <v>0</v>
      </c>
      <c r="AK6" s="318">
        <f>IF('INPUTS&amp;OUTPUTS'!$K$22="Sim",IF(AK5="Ano 2", $D$29,0),0)</f>
        <v>0</v>
      </c>
      <c r="AL6" s="318">
        <f>IF('INPUTS&amp;OUTPUTS'!$K$22="Sim",IF(AL5="Ano 2", $D$29,0),0)</f>
        <v>0</v>
      </c>
      <c r="AM6" s="318">
        <f>IF('INPUTS&amp;OUTPUTS'!$K$22="Sim",IF(AM5="Ano 2", $D$29,0),0)</f>
        <v>0</v>
      </c>
      <c r="AN6" s="319"/>
    </row>
    <row r="7" spans="2:43">
      <c r="B7" s="317" t="s">
        <v>1342</v>
      </c>
      <c r="C7" s="318">
        <f t="shared" ref="C7" si="0">SUM(D7:AN7)</f>
        <v>143038.94600539084</v>
      </c>
      <c r="D7" s="318">
        <f>IF('INPUTS&amp;OUTPUTS'!$K$23="Sim",IF(D5="Ano 2", $D$36+$C$38,0))</f>
        <v>0</v>
      </c>
      <c r="E7" s="318">
        <f>IF('INPUTS&amp;OUTPUTS'!$K$23="Sim",IF(E5="Ano 2", $D$36+$C$38,0))</f>
        <v>0</v>
      </c>
      <c r="F7" s="318">
        <f>IF('INPUTS&amp;OUTPUTS'!$K$23="Sim",IF(F5="Ano 2", $D$36+$C$38,0))</f>
        <v>143038.94600539084</v>
      </c>
      <c r="G7" s="318">
        <f>IF('INPUTS&amp;OUTPUTS'!$K$23="Sim",IF(G5="Ano 2", $D$36+$C$38,0))</f>
        <v>0</v>
      </c>
      <c r="H7" s="318">
        <f>IF('INPUTS&amp;OUTPUTS'!$K$23="Sim",IF(H5="Ano 2", $D$36+$C$38,0))</f>
        <v>0</v>
      </c>
      <c r="I7" s="318">
        <f>IF('INPUTS&amp;OUTPUTS'!$K$23="Sim",IF(I5="Ano 2", $D$36+$C$38,0))</f>
        <v>0</v>
      </c>
      <c r="J7" s="318">
        <f>IF('INPUTS&amp;OUTPUTS'!$K$23="Sim",IF(J5="Ano 2", $D$36+$C$38,0))</f>
        <v>0</v>
      </c>
      <c r="K7" s="318">
        <f>IF('INPUTS&amp;OUTPUTS'!$K$23="Sim",IF(K5="Ano 2", $D$36+$C$38,0))</f>
        <v>0</v>
      </c>
      <c r="L7" s="318">
        <f>IF('INPUTS&amp;OUTPUTS'!$K$23="Sim",IF(L5="Ano 2", $D$36+$C$38,0))</f>
        <v>0</v>
      </c>
      <c r="M7" s="318">
        <f>IF('INPUTS&amp;OUTPUTS'!$K$23="Sim",IF(M5="Ano 2", $D$36+$C$38,0))</f>
        <v>0</v>
      </c>
      <c r="N7" s="318">
        <f>IF('INPUTS&amp;OUTPUTS'!$K$23="Sim",IF(N5="Ano 2", $D$36+$C$38,0))</f>
        <v>0</v>
      </c>
      <c r="O7" s="318">
        <f>IF('INPUTS&amp;OUTPUTS'!$K$23="Sim",IF(O5="Ano 2", $D$36+$C$38,0))</f>
        <v>0</v>
      </c>
      <c r="P7" s="318">
        <f>IF('INPUTS&amp;OUTPUTS'!$K$23="Sim",IF(P5="Ano 2", $D$36+$C$38,0))</f>
        <v>0</v>
      </c>
      <c r="Q7" s="318">
        <f>IF('INPUTS&amp;OUTPUTS'!$K$23="Sim",IF(Q5="Ano 2", $D$36+$C$38,0))</f>
        <v>0</v>
      </c>
      <c r="R7" s="318">
        <f>IF('INPUTS&amp;OUTPUTS'!$K$23="Sim",IF(R5="Ano 2", $D$36+$C$38,0))</f>
        <v>0</v>
      </c>
      <c r="S7" s="318">
        <f>IF('INPUTS&amp;OUTPUTS'!$K$23="Sim",IF(S5="Ano 2", $D$36+$C$38,0))</f>
        <v>0</v>
      </c>
      <c r="T7" s="318">
        <f>IF('INPUTS&amp;OUTPUTS'!$K$23="Sim",IF(T5="Ano 2", $D$36+$C$38,0))</f>
        <v>0</v>
      </c>
      <c r="U7" s="318">
        <f>IF('INPUTS&amp;OUTPUTS'!$K$23="Sim",IF(U5="Ano 2", $D$36+$C$38,0))</f>
        <v>0</v>
      </c>
      <c r="V7" s="318">
        <f>IF('INPUTS&amp;OUTPUTS'!$K$23="Sim",IF(V5="Ano 2", $D$36+$C$38,0))</f>
        <v>0</v>
      </c>
      <c r="W7" s="318">
        <f>IF('INPUTS&amp;OUTPUTS'!$K$23="Sim",IF(W5="Ano 2", $D$36+$C$38,0))</f>
        <v>0</v>
      </c>
      <c r="X7" s="318">
        <f>IF('INPUTS&amp;OUTPUTS'!$K$23="Sim",IF(X5="Ano 2", $D$36+$C$38,0))</f>
        <v>0</v>
      </c>
      <c r="Y7" s="318">
        <f>IF('INPUTS&amp;OUTPUTS'!$K$23="Sim",IF(Y5="Ano 2", $D$36+$C$38,0))</f>
        <v>0</v>
      </c>
      <c r="Z7" s="318">
        <f>IF('INPUTS&amp;OUTPUTS'!$K$23="Sim",IF(Z5="Ano 2", $D$36+$C$38,0))</f>
        <v>0</v>
      </c>
      <c r="AA7" s="318">
        <f>IF('INPUTS&amp;OUTPUTS'!$K$23="Sim",IF(AA5="Ano 2", $D$36+$C$38,0))</f>
        <v>0</v>
      </c>
      <c r="AB7" s="318">
        <f>IF('INPUTS&amp;OUTPUTS'!$K$23="Sim",IF(AB5="Ano 2", $D$36+$C$38,0))</f>
        <v>0</v>
      </c>
      <c r="AC7" s="318">
        <f>IF('INPUTS&amp;OUTPUTS'!$K$23="Sim",IF(AC5="Ano 2", $D$36+$C$38,0))</f>
        <v>0</v>
      </c>
      <c r="AD7" s="318">
        <f>IF('INPUTS&amp;OUTPUTS'!$K$23="Sim",IF(AD5="Ano 2", $D$36+$C$38,0))</f>
        <v>0</v>
      </c>
      <c r="AE7" s="318">
        <f>IF('INPUTS&amp;OUTPUTS'!$K$23="Sim",IF(AE5="Ano 2", $D$36+$C$38,0))</f>
        <v>0</v>
      </c>
      <c r="AF7" s="318">
        <f>IF('INPUTS&amp;OUTPUTS'!$K$23="Sim",IF(AF5="Ano 2", $D$36+$C$38,0))</f>
        <v>0</v>
      </c>
      <c r="AG7" s="318">
        <f>IF('INPUTS&amp;OUTPUTS'!$K$23="Sim",IF(AG5="Ano 2", $D$36+$C$38,0))</f>
        <v>0</v>
      </c>
      <c r="AH7" s="318">
        <f>IF('INPUTS&amp;OUTPUTS'!$K$23="Sim",IF(AH5="Ano 2", $D$36+$C$38,0))</f>
        <v>0</v>
      </c>
      <c r="AI7" s="318">
        <f>IF('INPUTS&amp;OUTPUTS'!$K$23="Sim",IF(AI5="Ano 2", $D$36+$C$38,0))</f>
        <v>0</v>
      </c>
      <c r="AJ7" s="318">
        <f>IF('INPUTS&amp;OUTPUTS'!$K$23="Sim",IF(AJ5="Ano 2", $D$36+$C$38,0))</f>
        <v>0</v>
      </c>
      <c r="AK7" s="318">
        <f>IF('INPUTS&amp;OUTPUTS'!$K$23="Sim",IF(AK5="Ano 2", $D$36+$C$38,0))</f>
        <v>0</v>
      </c>
      <c r="AL7" s="318">
        <f>IF('INPUTS&amp;OUTPUTS'!$K$23="Sim",IF(AL5="Ano 2", $D$36+$C$38,0))</f>
        <v>0</v>
      </c>
      <c r="AM7" s="318">
        <f>IF('INPUTS&amp;OUTPUTS'!$K$23="Sim",IF(AM5="Ano 2", $D$36+$C$38,0))</f>
        <v>0</v>
      </c>
      <c r="AN7" s="319"/>
      <c r="AO7" s="320"/>
      <c r="AP7" s="320"/>
      <c r="AQ7" s="320"/>
    </row>
    <row r="8" spans="2:43">
      <c r="B8" s="317" t="s">
        <v>1343</v>
      </c>
      <c r="C8" s="318">
        <f>SUM(D8:AN8)</f>
        <v>21710.366785746628</v>
      </c>
      <c r="D8" s="318">
        <f>IF(D5="Ano 2",$J$352,0)</f>
        <v>0</v>
      </c>
      <c r="E8" s="318">
        <f t="shared" ref="E8:H8" si="1">IF(E5="Ano 2",$J$352,0)</f>
        <v>0</v>
      </c>
      <c r="F8" s="318">
        <f t="shared" si="1"/>
        <v>21710.366785746628</v>
      </c>
      <c r="G8" s="318">
        <f t="shared" si="1"/>
        <v>0</v>
      </c>
      <c r="H8" s="318">
        <f t="shared" si="1"/>
        <v>0</v>
      </c>
      <c r="I8" s="318">
        <f t="shared" ref="I8:AM8" si="2">IF(I5="Ano 2",$J$352,0)</f>
        <v>0</v>
      </c>
      <c r="J8" s="318">
        <f t="shared" si="2"/>
        <v>0</v>
      </c>
      <c r="K8" s="318">
        <f t="shared" si="2"/>
        <v>0</v>
      </c>
      <c r="L8" s="318">
        <f t="shared" si="2"/>
        <v>0</v>
      </c>
      <c r="M8" s="318">
        <f t="shared" si="2"/>
        <v>0</v>
      </c>
      <c r="N8" s="318">
        <f t="shared" si="2"/>
        <v>0</v>
      </c>
      <c r="O8" s="318">
        <f t="shared" si="2"/>
        <v>0</v>
      </c>
      <c r="P8" s="318">
        <f t="shared" si="2"/>
        <v>0</v>
      </c>
      <c r="Q8" s="318">
        <f t="shared" si="2"/>
        <v>0</v>
      </c>
      <c r="R8" s="318">
        <f t="shared" si="2"/>
        <v>0</v>
      </c>
      <c r="S8" s="318">
        <f t="shared" si="2"/>
        <v>0</v>
      </c>
      <c r="T8" s="318">
        <f t="shared" si="2"/>
        <v>0</v>
      </c>
      <c r="U8" s="318">
        <f t="shared" si="2"/>
        <v>0</v>
      </c>
      <c r="V8" s="318">
        <f t="shared" si="2"/>
        <v>0</v>
      </c>
      <c r="W8" s="318">
        <f t="shared" si="2"/>
        <v>0</v>
      </c>
      <c r="X8" s="318">
        <f t="shared" si="2"/>
        <v>0</v>
      </c>
      <c r="Y8" s="318">
        <f t="shared" si="2"/>
        <v>0</v>
      </c>
      <c r="Z8" s="318">
        <f t="shared" si="2"/>
        <v>0</v>
      </c>
      <c r="AA8" s="318">
        <f t="shared" si="2"/>
        <v>0</v>
      </c>
      <c r="AB8" s="318">
        <f t="shared" si="2"/>
        <v>0</v>
      </c>
      <c r="AC8" s="318">
        <f t="shared" si="2"/>
        <v>0</v>
      </c>
      <c r="AD8" s="318">
        <f t="shared" si="2"/>
        <v>0</v>
      </c>
      <c r="AE8" s="318">
        <f t="shared" si="2"/>
        <v>0</v>
      </c>
      <c r="AF8" s="318">
        <f t="shared" si="2"/>
        <v>0</v>
      </c>
      <c r="AG8" s="318">
        <f t="shared" si="2"/>
        <v>0</v>
      </c>
      <c r="AH8" s="318">
        <f t="shared" si="2"/>
        <v>0</v>
      </c>
      <c r="AI8" s="318">
        <f t="shared" si="2"/>
        <v>0</v>
      </c>
      <c r="AJ8" s="318">
        <f t="shared" si="2"/>
        <v>0</v>
      </c>
      <c r="AK8" s="318">
        <f t="shared" si="2"/>
        <v>0</v>
      </c>
      <c r="AL8" s="318">
        <f t="shared" si="2"/>
        <v>0</v>
      </c>
      <c r="AM8" s="318">
        <f t="shared" si="2"/>
        <v>0</v>
      </c>
      <c r="AN8" s="319"/>
      <c r="AO8" s="320"/>
      <c r="AP8" s="320"/>
      <c r="AQ8" s="320"/>
    </row>
    <row r="9" spans="2:43">
      <c r="B9" s="317" t="s">
        <v>1344</v>
      </c>
      <c r="C9" s="318">
        <f>SUM(D9:AN9)</f>
        <v>26660.84</v>
      </c>
      <c r="D9" s="318">
        <f t="shared" ref="D9:AM9" si="3">IF(D5="Ano 2",$D$42,0)</f>
        <v>0</v>
      </c>
      <c r="E9" s="318">
        <f t="shared" si="3"/>
        <v>0</v>
      </c>
      <c r="F9" s="318">
        <f t="shared" si="3"/>
        <v>26660.84</v>
      </c>
      <c r="G9" s="318">
        <f t="shared" si="3"/>
        <v>0</v>
      </c>
      <c r="H9" s="318">
        <f t="shared" si="3"/>
        <v>0</v>
      </c>
      <c r="I9" s="318">
        <f t="shared" si="3"/>
        <v>0</v>
      </c>
      <c r="J9" s="318">
        <f t="shared" si="3"/>
        <v>0</v>
      </c>
      <c r="K9" s="318">
        <f t="shared" si="3"/>
        <v>0</v>
      </c>
      <c r="L9" s="318">
        <f t="shared" si="3"/>
        <v>0</v>
      </c>
      <c r="M9" s="318">
        <f t="shared" si="3"/>
        <v>0</v>
      </c>
      <c r="N9" s="318">
        <f t="shared" si="3"/>
        <v>0</v>
      </c>
      <c r="O9" s="318">
        <f t="shared" si="3"/>
        <v>0</v>
      </c>
      <c r="P9" s="318">
        <f t="shared" si="3"/>
        <v>0</v>
      </c>
      <c r="Q9" s="318">
        <f t="shared" si="3"/>
        <v>0</v>
      </c>
      <c r="R9" s="318">
        <f t="shared" si="3"/>
        <v>0</v>
      </c>
      <c r="S9" s="318">
        <f t="shared" si="3"/>
        <v>0</v>
      </c>
      <c r="T9" s="318">
        <f t="shared" si="3"/>
        <v>0</v>
      </c>
      <c r="U9" s="318">
        <f t="shared" si="3"/>
        <v>0</v>
      </c>
      <c r="V9" s="318">
        <f t="shared" si="3"/>
        <v>0</v>
      </c>
      <c r="W9" s="318">
        <f t="shared" si="3"/>
        <v>0</v>
      </c>
      <c r="X9" s="318">
        <f t="shared" si="3"/>
        <v>0</v>
      </c>
      <c r="Y9" s="318">
        <f t="shared" si="3"/>
        <v>0</v>
      </c>
      <c r="Z9" s="318">
        <f t="shared" si="3"/>
        <v>0</v>
      </c>
      <c r="AA9" s="318">
        <f t="shared" si="3"/>
        <v>0</v>
      </c>
      <c r="AB9" s="318">
        <f t="shared" si="3"/>
        <v>0</v>
      </c>
      <c r="AC9" s="318">
        <f t="shared" si="3"/>
        <v>0</v>
      </c>
      <c r="AD9" s="318">
        <f t="shared" si="3"/>
        <v>0</v>
      </c>
      <c r="AE9" s="318">
        <f t="shared" si="3"/>
        <v>0</v>
      </c>
      <c r="AF9" s="318">
        <f t="shared" si="3"/>
        <v>0</v>
      </c>
      <c r="AG9" s="318">
        <f t="shared" si="3"/>
        <v>0</v>
      </c>
      <c r="AH9" s="318">
        <f t="shared" si="3"/>
        <v>0</v>
      </c>
      <c r="AI9" s="318">
        <f t="shared" si="3"/>
        <v>0</v>
      </c>
      <c r="AJ9" s="318">
        <f t="shared" si="3"/>
        <v>0</v>
      </c>
      <c r="AK9" s="318">
        <f t="shared" si="3"/>
        <v>0</v>
      </c>
      <c r="AL9" s="318">
        <f t="shared" si="3"/>
        <v>0</v>
      </c>
      <c r="AM9" s="318">
        <f t="shared" si="3"/>
        <v>0</v>
      </c>
      <c r="AN9" s="319"/>
      <c r="AO9" s="320"/>
      <c r="AP9" s="320"/>
      <c r="AQ9" s="320"/>
    </row>
    <row r="10" spans="2:43">
      <c r="B10" s="317" t="s">
        <v>479</v>
      </c>
      <c r="C10" s="318">
        <f>SUM(C6:C9)</f>
        <v>384933.80229446391</v>
      </c>
      <c r="D10" s="318">
        <f t="shared" ref="D10:AM10" si="4">SUM(D6:D9)</f>
        <v>0</v>
      </c>
      <c r="E10" s="318">
        <f t="shared" si="4"/>
        <v>0</v>
      </c>
      <c r="F10" s="318">
        <f>SUM(F6:F9)</f>
        <v>384933.80229446391</v>
      </c>
      <c r="G10" s="318">
        <f t="shared" si="4"/>
        <v>0</v>
      </c>
      <c r="H10" s="318">
        <f t="shared" si="4"/>
        <v>0</v>
      </c>
      <c r="I10" s="318">
        <f t="shared" si="4"/>
        <v>0</v>
      </c>
      <c r="J10" s="318">
        <f t="shared" si="4"/>
        <v>0</v>
      </c>
      <c r="K10" s="318">
        <f t="shared" si="4"/>
        <v>0</v>
      </c>
      <c r="L10" s="318">
        <f t="shared" si="4"/>
        <v>0</v>
      </c>
      <c r="M10" s="318">
        <f t="shared" si="4"/>
        <v>0</v>
      </c>
      <c r="N10" s="318">
        <f t="shared" si="4"/>
        <v>0</v>
      </c>
      <c r="O10" s="318">
        <f t="shared" si="4"/>
        <v>0</v>
      </c>
      <c r="P10" s="318">
        <f t="shared" si="4"/>
        <v>0</v>
      </c>
      <c r="Q10" s="318">
        <f t="shared" si="4"/>
        <v>0</v>
      </c>
      <c r="R10" s="318">
        <f t="shared" si="4"/>
        <v>0</v>
      </c>
      <c r="S10" s="318">
        <f t="shared" si="4"/>
        <v>0</v>
      </c>
      <c r="T10" s="318">
        <f t="shared" si="4"/>
        <v>0</v>
      </c>
      <c r="U10" s="318">
        <f t="shared" si="4"/>
        <v>0</v>
      </c>
      <c r="V10" s="318">
        <f t="shared" si="4"/>
        <v>0</v>
      </c>
      <c r="W10" s="318">
        <f t="shared" si="4"/>
        <v>0</v>
      </c>
      <c r="X10" s="318">
        <f t="shared" si="4"/>
        <v>0</v>
      </c>
      <c r="Y10" s="318">
        <f t="shared" si="4"/>
        <v>0</v>
      </c>
      <c r="Z10" s="318">
        <f t="shared" si="4"/>
        <v>0</v>
      </c>
      <c r="AA10" s="318">
        <f t="shared" si="4"/>
        <v>0</v>
      </c>
      <c r="AB10" s="318">
        <f t="shared" si="4"/>
        <v>0</v>
      </c>
      <c r="AC10" s="318">
        <f t="shared" si="4"/>
        <v>0</v>
      </c>
      <c r="AD10" s="318">
        <f t="shared" si="4"/>
        <v>0</v>
      </c>
      <c r="AE10" s="318">
        <f t="shared" si="4"/>
        <v>0</v>
      </c>
      <c r="AF10" s="318">
        <f t="shared" si="4"/>
        <v>0</v>
      </c>
      <c r="AG10" s="318">
        <f t="shared" si="4"/>
        <v>0</v>
      </c>
      <c r="AH10" s="318">
        <f t="shared" si="4"/>
        <v>0</v>
      </c>
      <c r="AI10" s="318">
        <f t="shared" si="4"/>
        <v>0</v>
      </c>
      <c r="AJ10" s="318">
        <f t="shared" si="4"/>
        <v>0</v>
      </c>
      <c r="AK10" s="318">
        <f t="shared" si="4"/>
        <v>0</v>
      </c>
      <c r="AL10" s="318">
        <f t="shared" si="4"/>
        <v>0</v>
      </c>
      <c r="AM10" s="318">
        <f t="shared" si="4"/>
        <v>0</v>
      </c>
      <c r="AN10" s="319"/>
    </row>
    <row r="12" spans="2:43">
      <c r="B12" s="836" t="s">
        <v>1345</v>
      </c>
      <c r="C12" s="836"/>
    </row>
    <row r="13" spans="2:43">
      <c r="B13" s="316" t="s">
        <v>633</v>
      </c>
      <c r="C13" s="316" t="s">
        <v>479</v>
      </c>
      <c r="D13" s="316" t="s">
        <v>224</v>
      </c>
      <c r="E13" s="316" t="s">
        <v>84</v>
      </c>
      <c r="F13" s="316" t="s">
        <v>86</v>
      </c>
      <c r="G13" s="316" t="s">
        <v>92</v>
      </c>
      <c r="H13" s="316" t="s">
        <v>93</v>
      </c>
      <c r="I13" s="316" t="s">
        <v>94</v>
      </c>
      <c r="J13" s="316" t="s">
        <v>95</v>
      </c>
      <c r="K13" s="316" t="s">
        <v>96</v>
      </c>
      <c r="L13" s="316" t="s">
        <v>97</v>
      </c>
      <c r="M13" s="316" t="s">
        <v>98</v>
      </c>
      <c r="N13" s="316" t="s">
        <v>99</v>
      </c>
      <c r="O13" s="316" t="s">
        <v>100</v>
      </c>
      <c r="P13" s="316" t="s">
        <v>101</v>
      </c>
      <c r="Q13" s="316" t="s">
        <v>102</v>
      </c>
      <c r="R13" s="316" t="s">
        <v>103</v>
      </c>
      <c r="S13" s="316" t="s">
        <v>104</v>
      </c>
      <c r="T13" s="316" t="s">
        <v>105</v>
      </c>
      <c r="U13" s="316" t="s">
        <v>106</v>
      </c>
      <c r="V13" s="316" t="s">
        <v>107</v>
      </c>
      <c r="W13" s="316" t="s">
        <v>108</v>
      </c>
      <c r="X13" s="316" t="s">
        <v>109</v>
      </c>
      <c r="Y13" s="316" t="s">
        <v>110</v>
      </c>
      <c r="Z13" s="316" t="s">
        <v>111</v>
      </c>
      <c r="AA13" s="316" t="s">
        <v>112</v>
      </c>
      <c r="AB13" s="316" t="s">
        <v>113</v>
      </c>
      <c r="AC13" s="316" t="s">
        <v>114</v>
      </c>
      <c r="AD13" s="316" t="s">
        <v>115</v>
      </c>
      <c r="AE13" s="316" t="s">
        <v>116</v>
      </c>
      <c r="AF13" s="316" t="s">
        <v>117</v>
      </c>
      <c r="AG13" s="316" t="s">
        <v>118</v>
      </c>
      <c r="AH13" s="316" t="s">
        <v>119</v>
      </c>
      <c r="AI13" s="316" t="s">
        <v>120</v>
      </c>
      <c r="AJ13" s="316" t="s">
        <v>121</v>
      </c>
      <c r="AK13" s="316" t="s">
        <v>122</v>
      </c>
      <c r="AL13" s="316" t="s">
        <v>123</v>
      </c>
      <c r="AM13" s="316" t="s">
        <v>124</v>
      </c>
    </row>
    <row r="14" spans="2:43">
      <c r="B14" s="316" t="s">
        <v>1346</v>
      </c>
      <c r="C14" s="318">
        <f>SUM(D14:AM14)</f>
        <v>47075.946831383859</v>
      </c>
      <c r="D14" s="318">
        <f>IF('INPUTS&amp;OUTPUTS'!$K$24="Sim",C111,0)</f>
        <v>0</v>
      </c>
      <c r="E14" s="318">
        <f>IF('INPUTS&amp;OUTPUTS'!$K$24="Sim",D111,0)</f>
        <v>0</v>
      </c>
      <c r="F14" s="318">
        <f>IF('INPUTS&amp;OUTPUTS'!$K$24="Sim",E111,0)</f>
        <v>47075.946831383859</v>
      </c>
      <c r="G14" s="318">
        <f>IF('INPUTS&amp;OUTPUTS'!$K$24="Sim",F111,0)</f>
        <v>0</v>
      </c>
      <c r="H14" s="318">
        <f>IF('INPUTS&amp;OUTPUTS'!$K$24="Sim",G111,0)</f>
        <v>0</v>
      </c>
      <c r="I14" s="318">
        <f>IF('INPUTS&amp;OUTPUTS'!$K$24="Sim",H111,0)</f>
        <v>0</v>
      </c>
      <c r="J14" s="318">
        <f>IF('INPUTS&amp;OUTPUTS'!$K$24="Sim",I111,0)</f>
        <v>0</v>
      </c>
      <c r="K14" s="318">
        <f>IF('INPUTS&amp;OUTPUTS'!$K$24="Sim",J111,0)</f>
        <v>0</v>
      </c>
      <c r="L14" s="318">
        <f>IF('INPUTS&amp;OUTPUTS'!$K$24="Sim",K111,0)</f>
        <v>0</v>
      </c>
      <c r="M14" s="318">
        <f>IF('INPUTS&amp;OUTPUTS'!$K$24="Sim",L111,0)</f>
        <v>0</v>
      </c>
      <c r="N14" s="318">
        <f>IF('INPUTS&amp;OUTPUTS'!$K$24="Sim",M111,0)</f>
        <v>0</v>
      </c>
      <c r="O14" s="318">
        <f>IF('INPUTS&amp;OUTPUTS'!$K$24="Sim",N111,0)</f>
        <v>0</v>
      </c>
      <c r="P14" s="318">
        <f>IF('INPUTS&amp;OUTPUTS'!$K$24="Sim",O111,0)</f>
        <v>0</v>
      </c>
      <c r="Q14" s="318">
        <f>IF('INPUTS&amp;OUTPUTS'!$K$24="Sim",P111,0)</f>
        <v>0</v>
      </c>
      <c r="R14" s="318">
        <f>IF('INPUTS&amp;OUTPUTS'!$K$24="Sim",Q111,0)</f>
        <v>0</v>
      </c>
      <c r="S14" s="318">
        <f>IF('INPUTS&amp;OUTPUTS'!$K$24="Sim",R111,0)</f>
        <v>0</v>
      </c>
      <c r="T14" s="318">
        <f>IF('INPUTS&amp;OUTPUTS'!$K$24="Sim",S111,0)</f>
        <v>0</v>
      </c>
      <c r="U14" s="318">
        <f>IF('INPUTS&amp;OUTPUTS'!$K$24="Sim",T111,0)</f>
        <v>0</v>
      </c>
      <c r="V14" s="318">
        <f>IF('INPUTS&amp;OUTPUTS'!$K$24="Sim",U111,0)</f>
        <v>0</v>
      </c>
      <c r="W14" s="318">
        <f>IF('INPUTS&amp;OUTPUTS'!$K$24="Sim",V111,0)</f>
        <v>0</v>
      </c>
      <c r="X14" s="318">
        <f>IF('INPUTS&amp;OUTPUTS'!$K$24="Sim",W111,0)</f>
        <v>0</v>
      </c>
      <c r="Y14" s="318">
        <f>IF('INPUTS&amp;OUTPUTS'!$K$24="Sim",X111,0)</f>
        <v>0</v>
      </c>
      <c r="Z14" s="318">
        <f>IF('INPUTS&amp;OUTPUTS'!$K$24="Sim",Y111,0)</f>
        <v>0</v>
      </c>
      <c r="AA14" s="318">
        <f>IF('INPUTS&amp;OUTPUTS'!$K$24="Sim",Z111,0)</f>
        <v>0</v>
      </c>
      <c r="AB14" s="318">
        <f>IF('INPUTS&amp;OUTPUTS'!$K$24="Sim",AA111,0)</f>
        <v>0</v>
      </c>
      <c r="AC14" s="318">
        <f>IF('INPUTS&amp;OUTPUTS'!$K$24="Sim",AB111,0)</f>
        <v>0</v>
      </c>
      <c r="AD14" s="318">
        <f>IF('INPUTS&amp;OUTPUTS'!$K$24="Sim",AC111,0)</f>
        <v>0</v>
      </c>
      <c r="AE14" s="318">
        <f>IF('INPUTS&amp;OUTPUTS'!$K$24="Sim",AD111,0)</f>
        <v>0</v>
      </c>
      <c r="AF14" s="318">
        <f>IF('INPUTS&amp;OUTPUTS'!$K$24="Sim",AE111,0)</f>
        <v>0</v>
      </c>
      <c r="AG14" s="318">
        <f>IF('INPUTS&amp;OUTPUTS'!$K$24="Sim",AF111,0)</f>
        <v>0</v>
      </c>
      <c r="AH14" s="318">
        <f>IF('INPUTS&amp;OUTPUTS'!$K$24="Sim",AG111,0)</f>
        <v>0</v>
      </c>
      <c r="AI14" s="318">
        <f>IF('INPUTS&amp;OUTPUTS'!$K$24="Sim",AH111,0)</f>
        <v>0</v>
      </c>
      <c r="AJ14" s="318">
        <f>IF('INPUTS&amp;OUTPUTS'!$K$24="Sim",AI111,0)</f>
        <v>0</v>
      </c>
      <c r="AK14" s="318">
        <f>IF('INPUTS&amp;OUTPUTS'!$K$24="Sim",AJ111,0)</f>
        <v>0</v>
      </c>
      <c r="AL14" s="318">
        <f>IF('INPUTS&amp;OUTPUTS'!$K$24="Sim",AK111,0)</f>
        <v>0</v>
      </c>
      <c r="AM14" s="318">
        <f>IF('INPUTS&amp;OUTPUTS'!$K$24="Sim",AL111,0)</f>
        <v>0</v>
      </c>
      <c r="AN14" s="319"/>
      <c r="AO14" s="320"/>
      <c r="AP14" s="320"/>
      <c r="AQ14" s="320"/>
    </row>
    <row r="15" spans="2:43">
      <c r="D15" s="278"/>
      <c r="E15" s="278"/>
      <c r="F15" s="278"/>
    </row>
    <row r="16" spans="2:43">
      <c r="B16" s="836" t="s">
        <v>1347</v>
      </c>
      <c r="C16" s="836"/>
      <c r="D16" s="321"/>
      <c r="E16" s="320"/>
    </row>
    <row r="17" spans="2:39">
      <c r="B17" s="317" t="s">
        <v>1348</v>
      </c>
      <c r="C17" s="318">
        <f>SUM(D17:AM17)</f>
        <v>108652.61971794587</v>
      </c>
      <c r="D17" s="318">
        <f>IF('INPUTS&amp;OUTPUTS'!$K$21="Sim",IF(D5="Ano 2",$J$297,0))</f>
        <v>0</v>
      </c>
      <c r="E17" s="318">
        <f>IF('INPUTS&amp;OUTPUTS'!$K$21="Sim",IF(E5="Ano 2",$J$297,0))</f>
        <v>0</v>
      </c>
      <c r="F17" s="318">
        <f>IF('INPUTS&amp;OUTPUTS'!$K$21="Sim",IF(F5="Ano 2",$J$297,0))</f>
        <v>108652.61971794587</v>
      </c>
      <c r="G17" s="318">
        <f>IF('INPUTS&amp;OUTPUTS'!$K$21="Sim",IF(G5="Ano 2",$J$297,0))</f>
        <v>0</v>
      </c>
      <c r="H17" s="318">
        <f>IF('INPUTS&amp;OUTPUTS'!$K$21="Sim",IF(H5="Ano 2",$J$297,0))</f>
        <v>0</v>
      </c>
      <c r="I17" s="318">
        <f>IF('INPUTS&amp;OUTPUTS'!$K$21="Sim",IF(I5="Ano 2",$J$297,0))</f>
        <v>0</v>
      </c>
      <c r="J17" s="318">
        <f>IF('INPUTS&amp;OUTPUTS'!$K$21="Sim",IF(J5="Ano 2",$J$297,0))</f>
        <v>0</v>
      </c>
      <c r="K17" s="318">
        <f>IF('INPUTS&amp;OUTPUTS'!$K$21="Sim",IF(K5="Ano 2",$J$297,0))</f>
        <v>0</v>
      </c>
      <c r="L17" s="318">
        <f>IF('INPUTS&amp;OUTPUTS'!$K$21="Sim",IF(L5="Ano 2",$J$297,0))</f>
        <v>0</v>
      </c>
      <c r="M17" s="318">
        <f>IF('INPUTS&amp;OUTPUTS'!$K$21="Sim",IF(M5="Ano 2",$J$297,0))</f>
        <v>0</v>
      </c>
      <c r="N17" s="318">
        <f>IF('INPUTS&amp;OUTPUTS'!$K$21="Sim",IF(N5="Ano 2",$J$297,0))</f>
        <v>0</v>
      </c>
      <c r="O17" s="318">
        <f>IF('INPUTS&amp;OUTPUTS'!$K$21="Sim",IF(O5="Ano 2",$J$297,0))</f>
        <v>0</v>
      </c>
      <c r="P17" s="318">
        <f>IF('INPUTS&amp;OUTPUTS'!$K$21="Sim",IF(P5="Ano 2",$J$297,0))</f>
        <v>0</v>
      </c>
      <c r="Q17" s="318">
        <f>IF('INPUTS&amp;OUTPUTS'!$K$21="Sim",IF(Q5="Ano 2",$J$297,0))</f>
        <v>0</v>
      </c>
      <c r="R17" s="318">
        <f>IF('INPUTS&amp;OUTPUTS'!$K$21="Sim",IF(R5="Ano 2",$J$297,0))</f>
        <v>0</v>
      </c>
      <c r="S17" s="318">
        <f>IF('INPUTS&amp;OUTPUTS'!$K$21="Sim",IF(S5="Ano 2",$J$297,0))</f>
        <v>0</v>
      </c>
      <c r="T17" s="318">
        <f>IF('INPUTS&amp;OUTPUTS'!$K$21="Sim",IF(T5="Ano 2",$J$297,0))</f>
        <v>0</v>
      </c>
      <c r="U17" s="318">
        <f>IF('INPUTS&amp;OUTPUTS'!$K$21="Sim",IF(U5="Ano 2",$J$297,0))</f>
        <v>0</v>
      </c>
      <c r="V17" s="318">
        <f>IF('INPUTS&amp;OUTPUTS'!$K$21="Sim",IF(V5="Ano 2",$J$297,0))</f>
        <v>0</v>
      </c>
      <c r="W17" s="318">
        <f>IF('INPUTS&amp;OUTPUTS'!$K$21="Sim",IF(W5="Ano 2",$J$297,0))</f>
        <v>0</v>
      </c>
      <c r="X17" s="318">
        <f>IF('INPUTS&amp;OUTPUTS'!$K$21="Sim",IF(X5="Ano 2",$J$297,0))</f>
        <v>0</v>
      </c>
      <c r="Y17" s="318">
        <f>IF('INPUTS&amp;OUTPUTS'!$K$21="Sim",IF(Y5="Ano 2",$J$297,0))</f>
        <v>0</v>
      </c>
      <c r="Z17" s="318">
        <f>IF('INPUTS&amp;OUTPUTS'!$K$21="Sim",IF(Z5="Ano 2",$J$297,0))</f>
        <v>0</v>
      </c>
      <c r="AA17" s="318">
        <f>IF('INPUTS&amp;OUTPUTS'!$K$21="Sim",IF(AA5="Ano 2",$J$297,0))</f>
        <v>0</v>
      </c>
      <c r="AB17" s="318">
        <f>IF('INPUTS&amp;OUTPUTS'!$K$21="Sim",IF(AB5="Ano 2",$J$297,0))</f>
        <v>0</v>
      </c>
      <c r="AC17" s="318">
        <f>IF('INPUTS&amp;OUTPUTS'!$K$21="Sim",IF(AC5="Ano 2",$J$297,0))</f>
        <v>0</v>
      </c>
      <c r="AD17" s="318">
        <f>IF('INPUTS&amp;OUTPUTS'!$K$21="Sim",IF(AD5="Ano 2",$J$297,0))</f>
        <v>0</v>
      </c>
      <c r="AE17" s="318">
        <f>IF('INPUTS&amp;OUTPUTS'!$K$21="Sim",IF(AE5="Ano 2",$J$297,0))</f>
        <v>0</v>
      </c>
      <c r="AF17" s="318">
        <f>IF('INPUTS&amp;OUTPUTS'!$K$21="Sim",IF(AF5="Ano 2",$J$297,0))</f>
        <v>0</v>
      </c>
      <c r="AG17" s="318">
        <f>IF('INPUTS&amp;OUTPUTS'!$K$21="Sim",IF(AG5="Ano 2",$J$297,0))</f>
        <v>0</v>
      </c>
      <c r="AH17" s="318">
        <f>IF('INPUTS&amp;OUTPUTS'!$K$21="Sim",IF(AH5="Ano 2",$J$297,0))</f>
        <v>0</v>
      </c>
      <c r="AI17" s="318">
        <f>IF('INPUTS&amp;OUTPUTS'!$K$21="Sim",IF(AI5="Ano 2",$J$297,0))</f>
        <v>0</v>
      </c>
      <c r="AJ17" s="318">
        <f>IF('INPUTS&amp;OUTPUTS'!$K$21="Sim",IF(AJ5="Ano 2",$J$297,0))</f>
        <v>0</v>
      </c>
      <c r="AK17" s="318">
        <f>IF('INPUTS&amp;OUTPUTS'!$K$21="Sim",IF(AK5="Ano 2",$J$297,0))</f>
        <v>0</v>
      </c>
      <c r="AL17" s="318">
        <f>IF('INPUTS&amp;OUTPUTS'!$K$21="Sim",IF(AL5="Ano 2",$J$297,0))</f>
        <v>0</v>
      </c>
      <c r="AM17" s="318">
        <f>IF('INPUTS&amp;OUTPUTS'!$K$21="Sim",IF(AM5="Ano 2",$J$297,0))</f>
        <v>0</v>
      </c>
    </row>
    <row r="18" spans="2:39">
      <c r="B18" s="317" t="s">
        <v>1349</v>
      </c>
      <c r="C18" s="318">
        <f>SUM(D18:AM18)</f>
        <v>16069.623368657294</v>
      </c>
      <c r="D18" s="318">
        <f>IF(D5="Ano 2",$J$298,0)</f>
        <v>0</v>
      </c>
      <c r="E18" s="318">
        <f t="shared" ref="E18:AM18" si="5">IF(E5="Ano 2",$J$298,0)</f>
        <v>0</v>
      </c>
      <c r="F18" s="318">
        <f t="shared" si="5"/>
        <v>16069.623368657294</v>
      </c>
      <c r="G18" s="318">
        <f t="shared" si="5"/>
        <v>0</v>
      </c>
      <c r="H18" s="318">
        <f t="shared" si="5"/>
        <v>0</v>
      </c>
      <c r="I18" s="318">
        <f t="shared" si="5"/>
        <v>0</v>
      </c>
      <c r="J18" s="318">
        <f t="shared" si="5"/>
        <v>0</v>
      </c>
      <c r="K18" s="318">
        <f t="shared" si="5"/>
        <v>0</v>
      </c>
      <c r="L18" s="318">
        <f t="shared" si="5"/>
        <v>0</v>
      </c>
      <c r="M18" s="318">
        <f t="shared" si="5"/>
        <v>0</v>
      </c>
      <c r="N18" s="318">
        <f t="shared" si="5"/>
        <v>0</v>
      </c>
      <c r="O18" s="318">
        <f t="shared" si="5"/>
        <v>0</v>
      </c>
      <c r="P18" s="318">
        <f t="shared" si="5"/>
        <v>0</v>
      </c>
      <c r="Q18" s="318">
        <f t="shared" si="5"/>
        <v>0</v>
      </c>
      <c r="R18" s="318">
        <f t="shared" si="5"/>
        <v>0</v>
      </c>
      <c r="S18" s="318">
        <f t="shared" si="5"/>
        <v>0</v>
      </c>
      <c r="T18" s="318">
        <f t="shared" si="5"/>
        <v>0</v>
      </c>
      <c r="U18" s="318">
        <f t="shared" si="5"/>
        <v>0</v>
      </c>
      <c r="V18" s="318">
        <f t="shared" si="5"/>
        <v>0</v>
      </c>
      <c r="W18" s="318">
        <f t="shared" si="5"/>
        <v>0</v>
      </c>
      <c r="X18" s="318">
        <f t="shared" si="5"/>
        <v>0</v>
      </c>
      <c r="Y18" s="318">
        <f t="shared" si="5"/>
        <v>0</v>
      </c>
      <c r="Z18" s="318">
        <f t="shared" si="5"/>
        <v>0</v>
      </c>
      <c r="AA18" s="318">
        <f t="shared" si="5"/>
        <v>0</v>
      </c>
      <c r="AB18" s="318">
        <f t="shared" si="5"/>
        <v>0</v>
      </c>
      <c r="AC18" s="318">
        <f t="shared" si="5"/>
        <v>0</v>
      </c>
      <c r="AD18" s="318">
        <f t="shared" si="5"/>
        <v>0</v>
      </c>
      <c r="AE18" s="318">
        <f t="shared" si="5"/>
        <v>0</v>
      </c>
      <c r="AF18" s="318">
        <f t="shared" si="5"/>
        <v>0</v>
      </c>
      <c r="AG18" s="318">
        <f t="shared" si="5"/>
        <v>0</v>
      </c>
      <c r="AH18" s="318">
        <f t="shared" si="5"/>
        <v>0</v>
      </c>
      <c r="AI18" s="318">
        <f t="shared" si="5"/>
        <v>0</v>
      </c>
      <c r="AJ18" s="318">
        <f t="shared" si="5"/>
        <v>0</v>
      </c>
      <c r="AK18" s="318">
        <f t="shared" si="5"/>
        <v>0</v>
      </c>
      <c r="AL18" s="318">
        <f t="shared" si="5"/>
        <v>0</v>
      </c>
      <c r="AM18" s="318">
        <f t="shared" si="5"/>
        <v>0</v>
      </c>
    </row>
    <row r="19" spans="2:39">
      <c r="B19" s="317" t="s">
        <v>479</v>
      </c>
      <c r="C19" s="318">
        <f t="shared" ref="C19:AM19" si="6">SUM(C17:C18)</f>
        <v>124722.24308660316</v>
      </c>
      <c r="D19" s="318">
        <f t="shared" si="6"/>
        <v>0</v>
      </c>
      <c r="E19" s="318">
        <f t="shared" si="6"/>
        <v>0</v>
      </c>
      <c r="F19" s="318">
        <f>SUM(F17:F18)</f>
        <v>124722.24308660316</v>
      </c>
      <c r="G19" s="318">
        <f t="shared" si="6"/>
        <v>0</v>
      </c>
      <c r="H19" s="318">
        <f t="shared" si="6"/>
        <v>0</v>
      </c>
      <c r="I19" s="318">
        <f t="shared" si="6"/>
        <v>0</v>
      </c>
      <c r="J19" s="318">
        <f t="shared" si="6"/>
        <v>0</v>
      </c>
      <c r="K19" s="318">
        <f t="shared" si="6"/>
        <v>0</v>
      </c>
      <c r="L19" s="318">
        <f t="shared" si="6"/>
        <v>0</v>
      </c>
      <c r="M19" s="318">
        <f t="shared" si="6"/>
        <v>0</v>
      </c>
      <c r="N19" s="318">
        <f t="shared" si="6"/>
        <v>0</v>
      </c>
      <c r="O19" s="318">
        <f t="shared" si="6"/>
        <v>0</v>
      </c>
      <c r="P19" s="318">
        <f t="shared" si="6"/>
        <v>0</v>
      </c>
      <c r="Q19" s="318">
        <f t="shared" si="6"/>
        <v>0</v>
      </c>
      <c r="R19" s="318">
        <f t="shared" si="6"/>
        <v>0</v>
      </c>
      <c r="S19" s="318">
        <f t="shared" si="6"/>
        <v>0</v>
      </c>
      <c r="T19" s="318">
        <f t="shared" si="6"/>
        <v>0</v>
      </c>
      <c r="U19" s="318">
        <f t="shared" si="6"/>
        <v>0</v>
      </c>
      <c r="V19" s="318">
        <f t="shared" si="6"/>
        <v>0</v>
      </c>
      <c r="W19" s="318">
        <f t="shared" si="6"/>
        <v>0</v>
      </c>
      <c r="X19" s="318">
        <f t="shared" si="6"/>
        <v>0</v>
      </c>
      <c r="Y19" s="318">
        <f t="shared" si="6"/>
        <v>0</v>
      </c>
      <c r="Z19" s="318">
        <f t="shared" si="6"/>
        <v>0</v>
      </c>
      <c r="AA19" s="318">
        <f t="shared" si="6"/>
        <v>0</v>
      </c>
      <c r="AB19" s="318">
        <f t="shared" si="6"/>
        <v>0</v>
      </c>
      <c r="AC19" s="318">
        <f t="shared" si="6"/>
        <v>0</v>
      </c>
      <c r="AD19" s="318">
        <f t="shared" si="6"/>
        <v>0</v>
      </c>
      <c r="AE19" s="318">
        <f t="shared" si="6"/>
        <v>0</v>
      </c>
      <c r="AF19" s="318">
        <f t="shared" si="6"/>
        <v>0</v>
      </c>
      <c r="AG19" s="318">
        <f t="shared" si="6"/>
        <v>0</v>
      </c>
      <c r="AH19" s="318">
        <f t="shared" si="6"/>
        <v>0</v>
      </c>
      <c r="AI19" s="318">
        <f t="shared" si="6"/>
        <v>0</v>
      </c>
      <c r="AJ19" s="318">
        <f t="shared" si="6"/>
        <v>0</v>
      </c>
      <c r="AK19" s="318">
        <f t="shared" si="6"/>
        <v>0</v>
      </c>
      <c r="AL19" s="318">
        <f t="shared" si="6"/>
        <v>0</v>
      </c>
      <c r="AM19" s="318">
        <f t="shared" si="6"/>
        <v>0</v>
      </c>
    </row>
    <row r="20" spans="2:39">
      <c r="D20" s="321"/>
      <c r="E20" s="320"/>
    </row>
    <row r="21" spans="2:39">
      <c r="C21" s="320"/>
      <c r="D21" s="321"/>
      <c r="E21" s="320"/>
    </row>
    <row r="23" spans="2:39">
      <c r="B23" s="553" t="s">
        <v>1350</v>
      </c>
      <c r="C23" s="553"/>
      <c r="D23" s="553"/>
    </row>
    <row r="24" spans="2:39">
      <c r="B24" s="555" t="s">
        <v>1351</v>
      </c>
      <c r="C24" s="554"/>
      <c r="D24" s="554"/>
      <c r="F24" s="320"/>
    </row>
    <row r="25" spans="2:39">
      <c r="B25" s="555" t="s">
        <v>1352</v>
      </c>
      <c r="C25" s="554"/>
      <c r="D25" s="554"/>
    </row>
    <row r="27" spans="2:39">
      <c r="B27" s="556" t="s">
        <v>1353</v>
      </c>
      <c r="C27" s="556"/>
      <c r="D27" s="556"/>
    </row>
    <row r="28" spans="2:39">
      <c r="B28" s="317" t="s">
        <v>497</v>
      </c>
      <c r="C28" s="316" t="s">
        <v>1354</v>
      </c>
      <c r="D28" s="316" t="s">
        <v>1355</v>
      </c>
    </row>
    <row r="29" spans="2:39">
      <c r="B29" s="317" t="s">
        <v>1244</v>
      </c>
      <c r="C29" s="318">
        <f>9625*(1+3.25%)</f>
        <v>9937.8125</v>
      </c>
      <c r="D29" s="666">
        <f>C31+ ((C29+C32)*(SUM('RECEITAS '!D208:D209)))*(1+Aux.BDI!$G$49)</f>
        <v>193523.64950332636</v>
      </c>
    </row>
    <row r="30" spans="2:39">
      <c r="B30" s="317" t="s">
        <v>1356</v>
      </c>
      <c r="C30" s="318">
        <v>287.5</v>
      </c>
      <c r="D30" s="318"/>
    </row>
    <row r="31" spans="2:39">
      <c r="B31" s="317" t="s">
        <v>1357</v>
      </c>
      <c r="C31" s="318">
        <v>1200</v>
      </c>
      <c r="D31" s="318"/>
    </row>
    <row r="32" spans="2:39">
      <c r="B32" s="317" t="s">
        <v>1358</v>
      </c>
      <c r="C32" s="318">
        <f>5%*C29</f>
        <v>496.890625</v>
      </c>
      <c r="D32" s="318"/>
    </row>
    <row r="34" spans="2:4">
      <c r="B34" s="917" t="s">
        <v>1359</v>
      </c>
      <c r="C34" s="917"/>
      <c r="D34" s="917"/>
    </row>
    <row r="35" spans="2:4">
      <c r="B35" s="316" t="s">
        <v>497</v>
      </c>
      <c r="C35" s="316" t="s">
        <v>1360</v>
      </c>
      <c r="D35" s="316" t="s">
        <v>1355</v>
      </c>
    </row>
    <row r="36" spans="2:4">
      <c r="B36" s="317" t="s">
        <v>1244</v>
      </c>
      <c r="C36" s="318">
        <v>100000</v>
      </c>
      <c r="D36" s="318">
        <f>C36+C38*('RECEITAS '!D249)*(1+Aux.BDI!$G$49)</f>
        <v>123038.94600539083</v>
      </c>
    </row>
    <row r="37" spans="2:4">
      <c r="B37" s="317" t="s">
        <v>1356</v>
      </c>
      <c r="C37" s="318">
        <v>800</v>
      </c>
      <c r="D37" s="318"/>
    </row>
    <row r="38" spans="2:4">
      <c r="B38" s="317" t="s">
        <v>1357</v>
      </c>
      <c r="C38" s="318">
        <f>0.2*C36</f>
        <v>20000</v>
      </c>
      <c r="D38" s="318"/>
    </row>
    <row r="40" spans="2:4">
      <c r="B40" s="917" t="s">
        <v>1344</v>
      </c>
      <c r="C40" s="917"/>
      <c r="D40" s="917"/>
    </row>
    <row r="41" spans="2:4">
      <c r="B41" s="316" t="s">
        <v>633</v>
      </c>
      <c r="C41" s="316" t="s">
        <v>1361</v>
      </c>
      <c r="D41" s="316" t="s">
        <v>1355</v>
      </c>
    </row>
    <row r="42" spans="2:4">
      <c r="B42" s="317" t="s">
        <v>1244</v>
      </c>
      <c r="C42" s="698">
        <v>1</v>
      </c>
      <c r="D42" s="318">
        <v>26660.84</v>
      </c>
    </row>
    <row r="54" spans="2:14">
      <c r="B54" s="273"/>
      <c r="N54" s="320"/>
    </row>
    <row r="55" spans="2:14">
      <c r="B55" s="316" t="s">
        <v>1032</v>
      </c>
      <c r="C55" s="316" t="s">
        <v>1037</v>
      </c>
      <c r="D55" s="316" t="s">
        <v>1362</v>
      </c>
      <c r="E55" s="316" t="s">
        <v>1363</v>
      </c>
      <c r="F55" s="316" t="s">
        <v>1364</v>
      </c>
      <c r="G55" s="316" t="s">
        <v>1365</v>
      </c>
      <c r="H55" s="316" t="s">
        <v>1366</v>
      </c>
    </row>
    <row r="56" spans="2:14">
      <c r="B56" s="317" t="s">
        <v>1043</v>
      </c>
      <c r="C56" s="608">
        <v>6</v>
      </c>
      <c r="D56" s="318">
        <v>120.9</v>
      </c>
      <c r="E56" s="318">
        <v>116.99</v>
      </c>
      <c r="F56" s="318">
        <v>629.91</v>
      </c>
      <c r="G56" s="318">
        <f>H56/C56</f>
        <v>289.26666666666665</v>
      </c>
      <c r="H56" s="318">
        <f>AVERAGE(D56:F56)*C56</f>
        <v>1735.6</v>
      </c>
      <c r="I56" s="323" t="s">
        <v>1367</v>
      </c>
    </row>
    <row r="57" spans="2:14">
      <c r="B57" s="317" t="s">
        <v>1044</v>
      </c>
      <c r="C57" s="608">
        <v>3</v>
      </c>
      <c r="D57" s="318">
        <v>1349</v>
      </c>
      <c r="E57" s="318">
        <v>1439.16</v>
      </c>
      <c r="F57" s="318">
        <v>1259.9100000000001</v>
      </c>
      <c r="G57" s="318">
        <f t="shared" ref="G57:G70" si="7">H57/C57</f>
        <v>1349.3566666666666</v>
      </c>
      <c r="H57" s="318">
        <f t="shared" ref="H57:H68" si="8">AVERAGE(D57:F57)*C57</f>
        <v>4048.0699999999997</v>
      </c>
      <c r="I57" s="323" t="s">
        <v>1368</v>
      </c>
    </row>
    <row r="58" spans="2:14">
      <c r="B58" s="317" t="s">
        <v>1045</v>
      </c>
      <c r="C58" s="608">
        <v>20</v>
      </c>
      <c r="D58" s="318">
        <v>69.900000000000006</v>
      </c>
      <c r="E58" s="318">
        <v>169.99</v>
      </c>
      <c r="F58" s="318">
        <v>131.19999999999999</v>
      </c>
      <c r="G58" s="318">
        <f t="shared" si="7"/>
        <v>123.69666666666667</v>
      </c>
      <c r="H58" s="318">
        <f t="shared" si="8"/>
        <v>2473.9333333333334</v>
      </c>
      <c r="I58" s="323" t="s">
        <v>1369</v>
      </c>
    </row>
    <row r="59" spans="2:14">
      <c r="B59" s="317" t="s">
        <v>1046</v>
      </c>
      <c r="C59" s="608">
        <v>20</v>
      </c>
      <c r="D59" s="318">
        <v>169.9</v>
      </c>
      <c r="E59" s="318">
        <v>148.47</v>
      </c>
      <c r="F59" s="318">
        <v>199</v>
      </c>
      <c r="G59" s="318">
        <f t="shared" si="7"/>
        <v>172.45666666666668</v>
      </c>
      <c r="H59" s="318">
        <f t="shared" si="8"/>
        <v>3449.1333333333337</v>
      </c>
      <c r="I59" s="323" t="s">
        <v>1370</v>
      </c>
    </row>
    <row r="60" spans="2:14">
      <c r="B60" s="317" t="s">
        <v>1047</v>
      </c>
      <c r="C60" s="608">
        <v>10</v>
      </c>
      <c r="D60" s="318">
        <v>749</v>
      </c>
      <c r="E60" s="318">
        <v>379.99</v>
      </c>
      <c r="F60" s="318">
        <v>539.99</v>
      </c>
      <c r="G60" s="318">
        <f t="shared" si="7"/>
        <v>556.32666666666671</v>
      </c>
      <c r="H60" s="318">
        <f t="shared" si="8"/>
        <v>5563.2666666666673</v>
      </c>
      <c r="I60" s="323" t="s">
        <v>1371</v>
      </c>
    </row>
    <row r="61" spans="2:14">
      <c r="B61" s="317" t="s">
        <v>717</v>
      </c>
      <c r="C61" s="608">
        <v>10</v>
      </c>
      <c r="D61" s="318">
        <v>134.94999999999999</v>
      </c>
      <c r="E61" s="318">
        <v>151.99</v>
      </c>
      <c r="F61" s="318">
        <v>98.99</v>
      </c>
      <c r="G61" s="318">
        <f t="shared" si="7"/>
        <v>128.64333333333335</v>
      </c>
      <c r="H61" s="318">
        <f t="shared" si="8"/>
        <v>1286.4333333333334</v>
      </c>
      <c r="I61" s="323" t="s">
        <v>1372</v>
      </c>
    </row>
    <row r="62" spans="2:14">
      <c r="B62" s="317" t="s">
        <v>1048</v>
      </c>
      <c r="C62" s="608">
        <v>10</v>
      </c>
      <c r="D62" s="318">
        <v>154.9</v>
      </c>
      <c r="E62" s="318">
        <v>76.8</v>
      </c>
      <c r="F62" s="318">
        <v>187.16</v>
      </c>
      <c r="G62" s="318">
        <f t="shared" si="7"/>
        <v>139.62</v>
      </c>
      <c r="H62" s="318">
        <f t="shared" si="8"/>
        <v>1396.2</v>
      </c>
      <c r="I62" s="323" t="s">
        <v>1373</v>
      </c>
    </row>
    <row r="63" spans="2:14">
      <c r="B63" s="317" t="s">
        <v>1049</v>
      </c>
      <c r="C63" s="608">
        <v>5</v>
      </c>
      <c r="D63" s="318">
        <v>69.290000000000006</v>
      </c>
      <c r="E63" s="318">
        <v>219.9</v>
      </c>
      <c r="F63" s="318">
        <v>44.99</v>
      </c>
      <c r="G63" s="318">
        <f t="shared" si="7"/>
        <v>111.39333333333335</v>
      </c>
      <c r="H63" s="318">
        <f t="shared" si="8"/>
        <v>556.9666666666667</v>
      </c>
      <c r="I63" s="323" t="s">
        <v>1374</v>
      </c>
    </row>
    <row r="64" spans="2:14">
      <c r="B64" s="317" t="s">
        <v>1050</v>
      </c>
      <c r="C64" s="608">
        <v>10</v>
      </c>
      <c r="D64" s="318">
        <v>74.900000000000006</v>
      </c>
      <c r="E64" s="318">
        <v>149.99</v>
      </c>
      <c r="F64" s="318">
        <v>49.99</v>
      </c>
      <c r="G64" s="318">
        <f t="shared" si="7"/>
        <v>91.626666666666665</v>
      </c>
      <c r="H64" s="318">
        <f t="shared" si="8"/>
        <v>916.26666666666665</v>
      </c>
      <c r="I64" s="323" t="s">
        <v>1375</v>
      </c>
    </row>
    <row r="65" spans="2:9">
      <c r="B65" s="317" t="s">
        <v>1051</v>
      </c>
      <c r="C65" s="608">
        <v>20</v>
      </c>
      <c r="D65" s="318">
        <v>129.99</v>
      </c>
      <c r="E65" s="318">
        <v>121.1</v>
      </c>
      <c r="F65" s="318">
        <v>107.99</v>
      </c>
      <c r="G65" s="318">
        <f t="shared" si="7"/>
        <v>119.69333333333334</v>
      </c>
      <c r="H65" s="318">
        <f t="shared" si="8"/>
        <v>2393.8666666666668</v>
      </c>
      <c r="I65" s="323" t="s">
        <v>1376</v>
      </c>
    </row>
    <row r="66" spans="2:9">
      <c r="B66" s="317" t="s">
        <v>1052</v>
      </c>
      <c r="C66" s="608">
        <v>15</v>
      </c>
      <c r="D66" s="318">
        <v>100.91</v>
      </c>
      <c r="E66" s="318">
        <v>161.99</v>
      </c>
      <c r="F66" s="318">
        <v>99.9</v>
      </c>
      <c r="G66" s="318">
        <f t="shared" si="7"/>
        <v>120.93333333333332</v>
      </c>
      <c r="H66" s="318">
        <f t="shared" si="8"/>
        <v>1813.9999999999998</v>
      </c>
      <c r="I66" s="323" t="s">
        <v>1377</v>
      </c>
    </row>
    <row r="67" spans="2:9">
      <c r="B67" s="317" t="s">
        <v>1053</v>
      </c>
      <c r="C67" s="608">
        <v>15</v>
      </c>
      <c r="D67" s="318">
        <v>190.9</v>
      </c>
      <c r="E67" s="318">
        <v>249.99</v>
      </c>
      <c r="F67" s="318">
        <v>90.94</v>
      </c>
      <c r="G67" s="318">
        <f t="shared" si="7"/>
        <v>177.27666666666664</v>
      </c>
      <c r="H67" s="318">
        <f t="shared" si="8"/>
        <v>2659.1499999999996</v>
      </c>
      <c r="I67" s="323" t="s">
        <v>1378</v>
      </c>
    </row>
    <row r="68" spans="2:9">
      <c r="B68" s="317" t="s">
        <v>1054</v>
      </c>
      <c r="C68" s="608">
        <v>40</v>
      </c>
      <c r="D68" s="318">
        <v>71.91</v>
      </c>
      <c r="E68" s="318">
        <v>24.99</v>
      </c>
      <c r="F68" s="318">
        <v>49.9</v>
      </c>
      <c r="G68" s="318">
        <f t="shared" si="7"/>
        <v>48.93333333333333</v>
      </c>
      <c r="H68" s="318">
        <f t="shared" si="8"/>
        <v>1957.3333333333333</v>
      </c>
      <c r="I68" s="323" t="s">
        <v>1379</v>
      </c>
    </row>
    <row r="69" spans="2:9">
      <c r="B69" s="317" t="s">
        <v>1055</v>
      </c>
      <c r="C69" s="608">
        <v>8</v>
      </c>
      <c r="D69" s="318">
        <v>350.07</v>
      </c>
      <c r="E69" s="318">
        <v>258.32</v>
      </c>
      <c r="F69" s="318">
        <v>201.88</v>
      </c>
      <c r="G69" s="318">
        <f t="shared" si="7"/>
        <v>270.08999999999997</v>
      </c>
      <c r="H69" s="318">
        <f>AVERAGE(D69:F69)*C69</f>
        <v>2160.7199999999998</v>
      </c>
      <c r="I69" s="323" t="s">
        <v>1380</v>
      </c>
    </row>
    <row r="70" spans="2:9">
      <c r="B70" s="317" t="s">
        <v>1056</v>
      </c>
      <c r="C70" s="608">
        <v>8</v>
      </c>
      <c r="D70" s="318">
        <v>1105.7</v>
      </c>
      <c r="E70" s="318">
        <v>705.9</v>
      </c>
      <c r="F70" s="318">
        <v>1359.2</v>
      </c>
      <c r="G70" s="318">
        <f t="shared" si="7"/>
        <v>1056.9333333333334</v>
      </c>
      <c r="H70" s="318">
        <f>AVERAGE(D70:F70)*C70</f>
        <v>8455.4666666666672</v>
      </c>
      <c r="I70" s="323" t="s">
        <v>1381</v>
      </c>
    </row>
    <row r="71" spans="2:9">
      <c r="B71" s="125"/>
      <c r="C71" s="125"/>
      <c r="D71" s="125"/>
      <c r="E71" s="125"/>
      <c r="F71" s="125"/>
      <c r="G71" s="125"/>
      <c r="H71" s="125"/>
      <c r="I71" s="323" t="s">
        <v>1382</v>
      </c>
    </row>
    <row r="72" spans="2:9">
      <c r="B72" s="125"/>
      <c r="C72" s="125"/>
      <c r="D72" s="125"/>
      <c r="E72" s="125"/>
      <c r="F72" s="125"/>
      <c r="G72" s="125"/>
      <c r="H72" s="125"/>
      <c r="I72" s="323" t="s">
        <v>1383</v>
      </c>
    </row>
    <row r="73" spans="2:9">
      <c r="B73" s="125"/>
      <c r="C73" s="125"/>
      <c r="D73" s="125"/>
      <c r="E73" s="125"/>
      <c r="F73" s="125"/>
      <c r="G73" s="125"/>
      <c r="H73" s="125"/>
      <c r="I73" s="323" t="s">
        <v>1384</v>
      </c>
    </row>
    <row r="74" spans="2:9">
      <c r="B74" s="316" t="s">
        <v>1032</v>
      </c>
      <c r="C74" s="316" t="s">
        <v>1037</v>
      </c>
      <c r="D74" s="316" t="s">
        <v>1038</v>
      </c>
      <c r="E74" s="316" t="s">
        <v>1039</v>
      </c>
      <c r="F74" s="316" t="s">
        <v>1040</v>
      </c>
      <c r="G74" s="316" t="s">
        <v>1385</v>
      </c>
      <c r="H74" s="125"/>
      <c r="I74" s="323" t="s">
        <v>1386</v>
      </c>
    </row>
    <row r="75" spans="2:9">
      <c r="B75" s="324" t="s">
        <v>1043</v>
      </c>
      <c r="C75" s="322">
        <f>'CAPEX - Aquisições'!C56</f>
        <v>6</v>
      </c>
      <c r="D75" s="318">
        <f>G56</f>
        <v>289.26666666666665</v>
      </c>
      <c r="E75" s="318">
        <f>D75*C75</f>
        <v>1735.6</v>
      </c>
      <c r="F75" s="322">
        <v>2</v>
      </c>
      <c r="G75" s="322">
        <v>1</v>
      </c>
      <c r="H75" s="125"/>
      <c r="I75" s="323" t="s">
        <v>1387</v>
      </c>
    </row>
    <row r="76" spans="2:9">
      <c r="B76" s="324" t="s">
        <v>1044</v>
      </c>
      <c r="C76" s="322">
        <f>'CAPEX - Aquisições'!C57</f>
        <v>3</v>
      </c>
      <c r="D76" s="318">
        <f t="shared" ref="D76:D89" si="9">G57</f>
        <v>1349.3566666666666</v>
      </c>
      <c r="E76" s="318">
        <f t="shared" ref="E76:E89" si="10">D76*C76</f>
        <v>4048.0699999999997</v>
      </c>
      <c r="F76" s="322">
        <v>2</v>
      </c>
      <c r="G76" s="322">
        <v>1</v>
      </c>
      <c r="H76" s="125"/>
      <c r="I76" s="323" t="s">
        <v>1388</v>
      </c>
    </row>
    <row r="77" spans="2:9">
      <c r="B77" s="324" t="s">
        <v>1045</v>
      </c>
      <c r="C77" s="322">
        <f>'CAPEX - Aquisições'!C58</f>
        <v>20</v>
      </c>
      <c r="D77" s="318">
        <f t="shared" si="9"/>
        <v>123.69666666666667</v>
      </c>
      <c r="E77" s="318">
        <f t="shared" si="10"/>
        <v>2473.9333333333334</v>
      </c>
      <c r="F77" s="322">
        <v>2</v>
      </c>
      <c r="G77" s="322">
        <v>5</v>
      </c>
      <c r="H77" s="125"/>
      <c r="I77" s="323" t="s">
        <v>1389</v>
      </c>
    </row>
    <row r="78" spans="2:9">
      <c r="B78" s="324" t="s">
        <v>1046</v>
      </c>
      <c r="C78" s="322">
        <f>'CAPEX - Aquisições'!C59</f>
        <v>20</v>
      </c>
      <c r="D78" s="318">
        <f t="shared" si="9"/>
        <v>172.45666666666668</v>
      </c>
      <c r="E78" s="318">
        <f t="shared" si="10"/>
        <v>3449.1333333333337</v>
      </c>
      <c r="F78" s="322">
        <v>2</v>
      </c>
      <c r="G78" s="322">
        <v>5</v>
      </c>
      <c r="H78" s="125"/>
      <c r="I78" s="323" t="s">
        <v>1390</v>
      </c>
    </row>
    <row r="79" spans="2:9">
      <c r="B79" s="324" t="s">
        <v>1047</v>
      </c>
      <c r="C79" s="322">
        <f>'CAPEX - Aquisições'!C60</f>
        <v>10</v>
      </c>
      <c r="D79" s="318">
        <f t="shared" si="9"/>
        <v>556.32666666666671</v>
      </c>
      <c r="E79" s="318">
        <f t="shared" si="10"/>
        <v>5563.2666666666673</v>
      </c>
      <c r="F79" s="322">
        <v>2</v>
      </c>
      <c r="G79" s="322">
        <v>5</v>
      </c>
      <c r="H79" s="125"/>
      <c r="I79" s="323" t="s">
        <v>1391</v>
      </c>
    </row>
    <row r="80" spans="2:9">
      <c r="B80" s="324" t="s">
        <v>717</v>
      </c>
      <c r="C80" s="322">
        <f>'CAPEX - Aquisições'!C61</f>
        <v>10</v>
      </c>
      <c r="D80" s="318">
        <f t="shared" si="9"/>
        <v>128.64333333333335</v>
      </c>
      <c r="E80" s="318">
        <f t="shared" si="10"/>
        <v>1286.4333333333334</v>
      </c>
      <c r="F80" s="322">
        <v>2</v>
      </c>
      <c r="G80" s="322">
        <v>3</v>
      </c>
      <c r="H80" s="125"/>
      <c r="I80" s="323" t="s">
        <v>1392</v>
      </c>
    </row>
    <row r="81" spans="2:9">
      <c r="B81" s="324" t="s">
        <v>1048</v>
      </c>
      <c r="C81" s="322">
        <f>'CAPEX - Aquisições'!C62</f>
        <v>10</v>
      </c>
      <c r="D81" s="318">
        <f t="shared" si="9"/>
        <v>139.62</v>
      </c>
      <c r="E81" s="318">
        <f t="shared" si="10"/>
        <v>1396.2</v>
      </c>
      <c r="F81" s="322">
        <v>2</v>
      </c>
      <c r="G81" s="322">
        <v>5</v>
      </c>
      <c r="H81" s="125"/>
      <c r="I81" s="323" t="s">
        <v>1393</v>
      </c>
    </row>
    <row r="82" spans="2:9">
      <c r="B82" s="324" t="s">
        <v>1049</v>
      </c>
      <c r="C82" s="322">
        <f>'CAPEX - Aquisições'!C63</f>
        <v>5</v>
      </c>
      <c r="D82" s="318">
        <f t="shared" si="9"/>
        <v>111.39333333333335</v>
      </c>
      <c r="E82" s="318">
        <f t="shared" si="10"/>
        <v>556.9666666666667</v>
      </c>
      <c r="F82" s="322">
        <v>2</v>
      </c>
      <c r="G82" s="322">
        <v>3</v>
      </c>
      <c r="H82" s="125"/>
      <c r="I82" s="323" t="s">
        <v>1394</v>
      </c>
    </row>
    <row r="83" spans="2:9">
      <c r="B83" s="324" t="s">
        <v>1050</v>
      </c>
      <c r="C83" s="322">
        <f>'CAPEX - Aquisições'!C64</f>
        <v>10</v>
      </c>
      <c r="D83" s="318">
        <f t="shared" si="9"/>
        <v>91.626666666666665</v>
      </c>
      <c r="E83" s="318">
        <f t="shared" si="10"/>
        <v>916.26666666666665</v>
      </c>
      <c r="F83" s="322">
        <v>2</v>
      </c>
      <c r="G83" s="322">
        <v>3</v>
      </c>
      <c r="H83" s="125"/>
      <c r="I83" s="323" t="s">
        <v>1395</v>
      </c>
    </row>
    <row r="84" spans="2:9">
      <c r="B84" s="324" t="s">
        <v>1051</v>
      </c>
      <c r="C84" s="322">
        <f>'CAPEX - Aquisições'!C65</f>
        <v>20</v>
      </c>
      <c r="D84" s="318">
        <f t="shared" si="9"/>
        <v>119.69333333333334</v>
      </c>
      <c r="E84" s="318">
        <f t="shared" si="10"/>
        <v>2393.8666666666668</v>
      </c>
      <c r="F84" s="322">
        <v>2</v>
      </c>
      <c r="G84" s="322">
        <v>5</v>
      </c>
      <c r="H84" s="125"/>
      <c r="I84" s="323" t="s">
        <v>1396</v>
      </c>
    </row>
    <row r="85" spans="2:9">
      <c r="B85" s="324" t="s">
        <v>1052</v>
      </c>
      <c r="C85" s="322">
        <f>'CAPEX - Aquisições'!C66</f>
        <v>15</v>
      </c>
      <c r="D85" s="318">
        <f t="shared" si="9"/>
        <v>120.93333333333332</v>
      </c>
      <c r="E85" s="318">
        <f t="shared" si="10"/>
        <v>1813.9999999999998</v>
      </c>
      <c r="F85" s="322">
        <v>2</v>
      </c>
      <c r="G85" s="322">
        <v>5</v>
      </c>
      <c r="H85" s="125"/>
      <c r="I85" s="323" t="s">
        <v>1397</v>
      </c>
    </row>
    <row r="86" spans="2:9">
      <c r="B86" s="324" t="s">
        <v>1053</v>
      </c>
      <c r="C86" s="322">
        <f>'CAPEX - Aquisições'!C67</f>
        <v>15</v>
      </c>
      <c r="D86" s="318">
        <f t="shared" si="9"/>
        <v>177.27666666666664</v>
      </c>
      <c r="E86" s="318">
        <f t="shared" si="10"/>
        <v>2659.1499999999996</v>
      </c>
      <c r="F86" s="322">
        <v>2</v>
      </c>
      <c r="G86" s="322">
        <f>G75</f>
        <v>1</v>
      </c>
      <c r="H86" s="125"/>
      <c r="I86" s="323" t="s">
        <v>1398</v>
      </c>
    </row>
    <row r="87" spans="2:9">
      <c r="B87" s="324" t="s">
        <v>1054</v>
      </c>
      <c r="C87" s="322">
        <f>'CAPEX - Aquisições'!C68</f>
        <v>40</v>
      </c>
      <c r="D87" s="318">
        <f t="shared" si="9"/>
        <v>48.93333333333333</v>
      </c>
      <c r="E87" s="318">
        <f t="shared" si="10"/>
        <v>1957.3333333333333</v>
      </c>
      <c r="F87" s="322">
        <v>2</v>
      </c>
      <c r="G87" s="322">
        <f>G76</f>
        <v>1</v>
      </c>
      <c r="H87" s="125"/>
      <c r="I87" s="323" t="s">
        <v>1399</v>
      </c>
    </row>
    <row r="88" spans="2:9">
      <c r="B88" s="324" t="s">
        <v>1055</v>
      </c>
      <c r="C88" s="322">
        <f>'CAPEX - Aquisições'!C69</f>
        <v>8</v>
      </c>
      <c r="D88" s="318">
        <f t="shared" si="9"/>
        <v>270.08999999999997</v>
      </c>
      <c r="E88" s="318">
        <f t="shared" si="10"/>
        <v>2160.7199999999998</v>
      </c>
      <c r="F88" s="322">
        <v>2</v>
      </c>
      <c r="G88" s="322">
        <v>15</v>
      </c>
      <c r="H88" s="125"/>
      <c r="I88" s="323" t="s">
        <v>1400</v>
      </c>
    </row>
    <row r="89" spans="2:9">
      <c r="B89" s="324" t="s">
        <v>1056</v>
      </c>
      <c r="C89" s="322">
        <f>'CAPEX - Aquisições'!C70</f>
        <v>8</v>
      </c>
      <c r="D89" s="318">
        <f t="shared" si="9"/>
        <v>1056.9333333333334</v>
      </c>
      <c r="E89" s="318">
        <f t="shared" si="10"/>
        <v>8455.4666666666672</v>
      </c>
      <c r="F89" s="322">
        <v>2</v>
      </c>
      <c r="G89" s="322">
        <v>15</v>
      </c>
      <c r="H89" s="125"/>
      <c r="I89" s="323" t="s">
        <v>1401</v>
      </c>
    </row>
    <row r="90" spans="2:9">
      <c r="B90" s="125"/>
      <c r="C90" s="125"/>
      <c r="D90" s="125"/>
      <c r="E90" s="125"/>
      <c r="F90" s="125"/>
      <c r="G90" s="125"/>
      <c r="H90" s="125"/>
      <c r="I90" s="323" t="s">
        <v>1402</v>
      </c>
    </row>
    <row r="91" spans="2:9">
      <c r="B91" s="316" t="s">
        <v>1032</v>
      </c>
      <c r="C91" s="316" t="s">
        <v>1222</v>
      </c>
      <c r="D91" s="316" t="s">
        <v>1223</v>
      </c>
      <c r="E91" s="125"/>
      <c r="F91" s="125"/>
      <c r="G91" s="125"/>
      <c r="H91" s="125"/>
      <c r="I91" s="323" t="s">
        <v>1403</v>
      </c>
    </row>
    <row r="92" spans="2:9">
      <c r="B92" s="324" t="s">
        <v>1043</v>
      </c>
      <c r="C92" s="322">
        <f t="shared" ref="C92:C106" si="11">G75</f>
        <v>1</v>
      </c>
      <c r="D92" s="158">
        <f>100%/C92</f>
        <v>1</v>
      </c>
      <c r="E92" s="125"/>
      <c r="F92" s="125"/>
      <c r="G92" s="125"/>
      <c r="H92" s="125"/>
      <c r="I92" s="323" t="s">
        <v>1404</v>
      </c>
    </row>
    <row r="93" spans="2:9">
      <c r="B93" s="324" t="s">
        <v>1044</v>
      </c>
      <c r="C93" s="322">
        <f t="shared" si="11"/>
        <v>1</v>
      </c>
      <c r="D93" s="158">
        <f t="shared" ref="D93:D105" si="12">100%/C93</f>
        <v>1</v>
      </c>
      <c r="E93" s="125"/>
      <c r="F93" s="125"/>
      <c r="G93" s="125"/>
      <c r="H93" s="125"/>
      <c r="I93" s="323" t="s">
        <v>1405</v>
      </c>
    </row>
    <row r="94" spans="2:9">
      <c r="B94" s="324" t="s">
        <v>1045</v>
      </c>
      <c r="C94" s="322">
        <f t="shared" si="11"/>
        <v>5</v>
      </c>
      <c r="D94" s="158">
        <f t="shared" si="12"/>
        <v>0.2</v>
      </c>
      <c r="E94" s="125"/>
      <c r="F94" s="125"/>
      <c r="G94" s="125"/>
      <c r="H94" s="125"/>
      <c r="I94" s="323" t="s">
        <v>1406</v>
      </c>
    </row>
    <row r="95" spans="2:9">
      <c r="B95" s="324" t="s">
        <v>1046</v>
      </c>
      <c r="C95" s="322">
        <f t="shared" si="11"/>
        <v>5</v>
      </c>
      <c r="D95" s="158">
        <f t="shared" si="12"/>
        <v>0.2</v>
      </c>
      <c r="E95" s="125"/>
      <c r="F95" s="125"/>
      <c r="G95" s="125"/>
      <c r="H95" s="125"/>
      <c r="I95" s="323" t="s">
        <v>1407</v>
      </c>
    </row>
    <row r="96" spans="2:9">
      <c r="B96" s="324" t="s">
        <v>1047</v>
      </c>
      <c r="C96" s="322">
        <f t="shared" si="11"/>
        <v>5</v>
      </c>
      <c r="D96" s="158">
        <f t="shared" si="12"/>
        <v>0.2</v>
      </c>
      <c r="E96" s="125"/>
      <c r="F96" s="125"/>
      <c r="G96" s="125"/>
      <c r="H96" s="125"/>
      <c r="I96" s="323" t="s">
        <v>1408</v>
      </c>
    </row>
    <row r="97" spans="2:64">
      <c r="B97" s="324" t="s">
        <v>717</v>
      </c>
      <c r="C97" s="322">
        <f t="shared" si="11"/>
        <v>3</v>
      </c>
      <c r="D97" s="158">
        <f t="shared" si="12"/>
        <v>0.33333333333333331</v>
      </c>
      <c r="E97" s="125"/>
      <c r="F97" s="125"/>
      <c r="G97" s="125"/>
      <c r="H97" s="125"/>
      <c r="I97" s="323" t="s">
        <v>1409</v>
      </c>
    </row>
    <row r="98" spans="2:64">
      <c r="B98" s="324" t="s">
        <v>1048</v>
      </c>
      <c r="C98" s="322">
        <f t="shared" si="11"/>
        <v>5</v>
      </c>
      <c r="D98" s="158">
        <f t="shared" si="12"/>
        <v>0.2</v>
      </c>
      <c r="E98" s="125"/>
      <c r="F98" s="125"/>
      <c r="G98" s="125"/>
      <c r="H98" s="125"/>
      <c r="I98" s="323" t="s">
        <v>1410</v>
      </c>
    </row>
    <row r="99" spans="2:64">
      <c r="B99" s="324" t="s">
        <v>1049</v>
      </c>
      <c r="C99" s="322">
        <f t="shared" si="11"/>
        <v>3</v>
      </c>
      <c r="D99" s="158">
        <f t="shared" si="12"/>
        <v>0.33333333333333331</v>
      </c>
      <c r="E99" s="125"/>
      <c r="F99" s="125"/>
      <c r="G99" s="125"/>
      <c r="H99" s="125"/>
      <c r="I99" s="323" t="s">
        <v>1411</v>
      </c>
    </row>
    <row r="100" spans="2:64">
      <c r="B100" s="324" t="s">
        <v>1050</v>
      </c>
      <c r="C100" s="322">
        <f t="shared" si="11"/>
        <v>3</v>
      </c>
      <c r="D100" s="158">
        <f t="shared" si="12"/>
        <v>0.33333333333333331</v>
      </c>
      <c r="E100" s="125"/>
      <c r="F100" s="125"/>
      <c r="G100" s="125"/>
      <c r="H100" s="125"/>
      <c r="I100" s="323" t="s">
        <v>1412</v>
      </c>
    </row>
    <row r="101" spans="2:64">
      <c r="B101" s="324" t="s">
        <v>1051</v>
      </c>
      <c r="C101" s="322">
        <f t="shared" si="11"/>
        <v>5</v>
      </c>
      <c r="D101" s="158">
        <f t="shared" si="12"/>
        <v>0.2</v>
      </c>
    </row>
    <row r="102" spans="2:64">
      <c r="B102" s="324" t="s">
        <v>1052</v>
      </c>
      <c r="C102" s="322">
        <f t="shared" si="11"/>
        <v>5</v>
      </c>
      <c r="D102" s="158">
        <f t="shared" si="12"/>
        <v>0.2</v>
      </c>
    </row>
    <row r="103" spans="2:64">
      <c r="B103" s="324" t="s">
        <v>1053</v>
      </c>
      <c r="C103" s="322">
        <f t="shared" si="11"/>
        <v>1</v>
      </c>
      <c r="D103" s="158">
        <f t="shared" si="12"/>
        <v>1</v>
      </c>
    </row>
    <row r="104" spans="2:64">
      <c r="B104" s="324" t="s">
        <v>1054</v>
      </c>
      <c r="C104" s="322">
        <f t="shared" si="11"/>
        <v>1</v>
      </c>
      <c r="D104" s="158">
        <f t="shared" si="12"/>
        <v>1</v>
      </c>
    </row>
    <row r="105" spans="2:64">
      <c r="B105" s="324" t="s">
        <v>1055</v>
      </c>
      <c r="C105" s="322">
        <f t="shared" si="11"/>
        <v>15</v>
      </c>
      <c r="D105" s="158">
        <f t="shared" si="12"/>
        <v>6.6666666666666666E-2</v>
      </c>
    </row>
    <row r="106" spans="2:64">
      <c r="B106" s="324" t="s">
        <v>1056</v>
      </c>
      <c r="C106" s="322">
        <f t="shared" si="11"/>
        <v>15</v>
      </c>
      <c r="D106" s="158">
        <f>100%/C106</f>
        <v>6.6666666666666666E-2</v>
      </c>
    </row>
    <row r="107" spans="2:64">
      <c r="B107" s="324" t="s">
        <v>806</v>
      </c>
      <c r="C107" s="339">
        <f>AVERAGE(C92:C106)</f>
        <v>4.8666666666666663</v>
      </c>
      <c r="D107" s="158">
        <f>100%/C107</f>
        <v>0.20547945205479454</v>
      </c>
      <c r="J107" s="125"/>
      <c r="K107" s="125"/>
      <c r="L107" s="125"/>
      <c r="M107" s="125"/>
      <c r="N107" s="125"/>
      <c r="O107" s="125"/>
      <c r="P107" s="125"/>
      <c r="Q107" s="323"/>
    </row>
    <row r="108" spans="2:64">
      <c r="J108" s="125"/>
      <c r="K108" s="125"/>
      <c r="L108" s="125"/>
      <c r="M108" s="125"/>
      <c r="N108" s="125"/>
      <c r="O108" s="125"/>
      <c r="P108" s="125"/>
      <c r="Q108" s="323"/>
    </row>
    <row r="109" spans="2:64">
      <c r="J109" s="125"/>
      <c r="K109" s="125"/>
      <c r="L109" s="125"/>
      <c r="M109" s="125"/>
      <c r="N109" s="125"/>
      <c r="O109" s="125"/>
      <c r="P109" s="125"/>
    </row>
    <row r="110" spans="2:64">
      <c r="B110" s="324" t="s">
        <v>497</v>
      </c>
      <c r="C110" s="316" t="s">
        <v>91</v>
      </c>
      <c r="D110" s="316" t="s">
        <v>84</v>
      </c>
      <c r="E110" s="316" t="s">
        <v>86</v>
      </c>
      <c r="F110" s="316" t="s">
        <v>92</v>
      </c>
      <c r="G110" s="316" t="s">
        <v>93</v>
      </c>
      <c r="H110" s="316" t="s">
        <v>94</v>
      </c>
      <c r="I110" s="316" t="s">
        <v>95</v>
      </c>
      <c r="J110" s="316" t="s">
        <v>96</v>
      </c>
      <c r="K110" s="316" t="s">
        <v>97</v>
      </c>
      <c r="L110" s="316" t="s">
        <v>98</v>
      </c>
      <c r="M110" s="316" t="s">
        <v>99</v>
      </c>
      <c r="N110" s="316" t="s">
        <v>100</v>
      </c>
      <c r="O110" s="316" t="s">
        <v>101</v>
      </c>
      <c r="P110" s="316" t="s">
        <v>102</v>
      </c>
      <c r="Q110" s="316" t="s">
        <v>103</v>
      </c>
      <c r="R110" s="316" t="s">
        <v>104</v>
      </c>
      <c r="S110" s="316" t="s">
        <v>105</v>
      </c>
      <c r="T110" s="316" t="s">
        <v>106</v>
      </c>
      <c r="U110" s="316" t="s">
        <v>107</v>
      </c>
      <c r="V110" s="316" t="s">
        <v>108</v>
      </c>
      <c r="W110" s="316" t="s">
        <v>109</v>
      </c>
      <c r="X110" s="316" t="s">
        <v>110</v>
      </c>
      <c r="Y110" s="316" t="s">
        <v>111</v>
      </c>
      <c r="Z110" s="316" t="s">
        <v>112</v>
      </c>
      <c r="AA110" s="316" t="s">
        <v>113</v>
      </c>
      <c r="AB110" s="316" t="s">
        <v>114</v>
      </c>
      <c r="AC110" s="316" t="s">
        <v>115</v>
      </c>
      <c r="AD110" s="316" t="s">
        <v>116</v>
      </c>
      <c r="AE110" s="316" t="s">
        <v>117</v>
      </c>
      <c r="AF110" s="316" t="s">
        <v>118</v>
      </c>
      <c r="AG110" s="316" t="s">
        <v>119</v>
      </c>
      <c r="AH110" s="316" t="s">
        <v>120</v>
      </c>
      <c r="AI110" s="316" t="s">
        <v>121</v>
      </c>
      <c r="AJ110" s="316" t="s">
        <v>122</v>
      </c>
      <c r="AK110" s="316" t="s">
        <v>123</v>
      </c>
      <c r="AL110" s="316" t="s">
        <v>124</v>
      </c>
    </row>
    <row r="111" spans="2:64">
      <c r="B111" s="324" t="s">
        <v>479</v>
      </c>
      <c r="C111" s="12">
        <f t="shared" ref="C111:AL111" si="13">SUM(C112:C126)</f>
        <v>0</v>
      </c>
      <c r="D111" s="12">
        <f t="shared" si="13"/>
        <v>0</v>
      </c>
      <c r="E111" s="12">
        <f t="shared" si="13"/>
        <v>47075.946831383859</v>
      </c>
      <c r="F111" s="12">
        <f>SUM(F112:F126)</f>
        <v>0</v>
      </c>
      <c r="G111" s="12">
        <f t="shared" si="13"/>
        <v>0</v>
      </c>
      <c r="H111" s="12">
        <f t="shared" si="13"/>
        <v>0</v>
      </c>
      <c r="I111" s="12">
        <f t="shared" si="13"/>
        <v>0</v>
      </c>
      <c r="J111" s="12">
        <f t="shared" si="13"/>
        <v>0</v>
      </c>
      <c r="K111" s="12">
        <f t="shared" si="13"/>
        <v>0</v>
      </c>
      <c r="L111" s="12">
        <f t="shared" si="13"/>
        <v>0</v>
      </c>
      <c r="M111" s="12">
        <f t="shared" si="13"/>
        <v>0</v>
      </c>
      <c r="N111" s="12">
        <f t="shared" si="13"/>
        <v>0</v>
      </c>
      <c r="O111" s="12">
        <f t="shared" si="13"/>
        <v>0</v>
      </c>
      <c r="P111" s="12">
        <f t="shared" si="13"/>
        <v>0</v>
      </c>
      <c r="Q111" s="12">
        <f t="shared" si="13"/>
        <v>0</v>
      </c>
      <c r="R111" s="12">
        <f t="shared" si="13"/>
        <v>0</v>
      </c>
      <c r="S111" s="12">
        <f t="shared" si="13"/>
        <v>0</v>
      </c>
      <c r="T111" s="12">
        <f t="shared" si="13"/>
        <v>0</v>
      </c>
      <c r="U111" s="12">
        <f t="shared" si="13"/>
        <v>0</v>
      </c>
      <c r="V111" s="12">
        <f t="shared" si="13"/>
        <v>0</v>
      </c>
      <c r="W111" s="12">
        <f t="shared" si="13"/>
        <v>0</v>
      </c>
      <c r="X111" s="12">
        <f t="shared" si="13"/>
        <v>0</v>
      </c>
      <c r="Y111" s="12">
        <f t="shared" si="13"/>
        <v>0</v>
      </c>
      <c r="Z111" s="12">
        <f t="shared" si="13"/>
        <v>0</v>
      </c>
      <c r="AA111" s="12">
        <f t="shared" si="13"/>
        <v>0</v>
      </c>
      <c r="AB111" s="12">
        <f t="shared" si="13"/>
        <v>0</v>
      </c>
      <c r="AC111" s="12">
        <f t="shared" si="13"/>
        <v>0</v>
      </c>
      <c r="AD111" s="12">
        <f t="shared" si="13"/>
        <v>0</v>
      </c>
      <c r="AE111" s="12">
        <f t="shared" si="13"/>
        <v>0</v>
      </c>
      <c r="AF111" s="12">
        <f t="shared" si="13"/>
        <v>0</v>
      </c>
      <c r="AG111" s="12">
        <f t="shared" si="13"/>
        <v>0</v>
      </c>
      <c r="AH111" s="12">
        <f t="shared" si="13"/>
        <v>0</v>
      </c>
      <c r="AI111" s="12">
        <f t="shared" si="13"/>
        <v>0</v>
      </c>
      <c r="AJ111" s="12">
        <f t="shared" si="13"/>
        <v>0</v>
      </c>
      <c r="AK111" s="12">
        <f t="shared" si="13"/>
        <v>0</v>
      </c>
      <c r="AL111" s="12">
        <f t="shared" si="13"/>
        <v>0</v>
      </c>
      <c r="BL111" s="266">
        <f>IF(COLUMN()-COLUMN('CAPEX - Aquisições'!$C$110)&lt;$F75,"",IF(MOD(COLUMN()-COLUMN('CAPEX - Aquisições'!$C$110)-$F75,$G75)=0,$E75,""))</f>
        <v>1735.6</v>
      </c>
    </row>
    <row r="112" spans="2:64">
      <c r="B112" s="324" t="s">
        <v>1043</v>
      </c>
      <c r="C112" s="12">
        <f>IF(C$110="Ano 2",$E$75,0)*(1+Aux.BDI!$G$49)</f>
        <v>0</v>
      </c>
      <c r="D112" s="12">
        <f>IF(D$110="Ano 2",$E$75,0)*(1+Aux.BDI!$G$49)</f>
        <v>0</v>
      </c>
      <c r="E112" s="12">
        <f>IF(E$110="Ano 2",$E$75,0)*(1+Aux.BDI!$G$49)</f>
        <v>1999.3197343478162</v>
      </c>
      <c r="F112" s="12">
        <f>IF(F$110="Ano 2",$E$75,0)*(1+Aux.BDI!$G$49)</f>
        <v>0</v>
      </c>
      <c r="G112" s="12">
        <f>IF(G$110="Ano 2",$E$75,0)*(1+Aux.BDI!$G$49)</f>
        <v>0</v>
      </c>
      <c r="H112" s="12">
        <f>IF(H$110="Ano 2",$E$75,0)*(1+Aux.BDI!$G$49)</f>
        <v>0</v>
      </c>
      <c r="I112" s="12">
        <f>IF(I$110="Ano 2",$E$75,0)*(1+Aux.BDI!$G$49)</f>
        <v>0</v>
      </c>
      <c r="J112" s="12">
        <f>IF(J$110="Ano 2",$E$75,0)*(1+Aux.BDI!$G$49)</f>
        <v>0</v>
      </c>
      <c r="K112" s="12">
        <f>IF(K$110="Ano 2",$E$75,0)*(1+Aux.BDI!$G$49)</f>
        <v>0</v>
      </c>
      <c r="L112" s="12">
        <f>IF(L$110="Ano 2",$E$75,0)*(1+Aux.BDI!$G$49)</f>
        <v>0</v>
      </c>
      <c r="M112" s="12">
        <f>IF(M$110="Ano 2",$E$75,0)*(1+Aux.BDI!$G$49)</f>
        <v>0</v>
      </c>
      <c r="N112" s="12">
        <f>IF(N$110="Ano 2",$E$75,0)*(1+Aux.BDI!$G$49)</f>
        <v>0</v>
      </c>
      <c r="O112" s="12">
        <f>IF(O$110="Ano 2",$E$75,0)*(1+Aux.BDI!$G$49)</f>
        <v>0</v>
      </c>
      <c r="P112" s="12">
        <f>IF(P$110="Ano 2",$E$75,0)*(1+Aux.BDI!$G$49)</f>
        <v>0</v>
      </c>
      <c r="Q112" s="12">
        <f>IF(Q$110="Ano 2",$E$75,0)*(1+Aux.BDI!$G$49)</f>
        <v>0</v>
      </c>
      <c r="R112" s="12">
        <f>IF(R$110="Ano 2",$E$75,0)*(1+Aux.BDI!$G$49)</f>
        <v>0</v>
      </c>
      <c r="S112" s="12">
        <f>IF(S$110="Ano 2",$E$75,0)*(1+Aux.BDI!$G$49)</f>
        <v>0</v>
      </c>
      <c r="T112" s="12">
        <f>IF(T$110="Ano 2",$E$75,0)*(1+Aux.BDI!$G$49)</f>
        <v>0</v>
      </c>
      <c r="U112" s="12">
        <f>IF(U$110="Ano 2",$E$75,0)*(1+Aux.BDI!$G$49)</f>
        <v>0</v>
      </c>
      <c r="V112" s="12">
        <f>IF(V$110="Ano 2",$E$75,0)*(1+Aux.BDI!$G$49)</f>
        <v>0</v>
      </c>
      <c r="W112" s="12">
        <f>IF(W$110="Ano 2",$E$75,0)*(1+Aux.BDI!$G$49)</f>
        <v>0</v>
      </c>
      <c r="X112" s="12">
        <f>IF(X$110="Ano 2",$E$75,0)*(1+Aux.BDI!$G$49)</f>
        <v>0</v>
      </c>
      <c r="Y112" s="12">
        <f>IF(Y$110="Ano 2",$E$75,0)*(1+Aux.BDI!$G$49)</f>
        <v>0</v>
      </c>
      <c r="Z112" s="12">
        <f>IF(Z$110="Ano 2",$E$75,0)*(1+Aux.BDI!$G$49)</f>
        <v>0</v>
      </c>
      <c r="AA112" s="12">
        <f>IF(AA$110="Ano 2",$E$75,0)*(1+Aux.BDI!$G$49)</f>
        <v>0</v>
      </c>
      <c r="AB112" s="12">
        <f>IF(AB$110="Ano 2",$E$75,0)*(1+Aux.BDI!$G$49)</f>
        <v>0</v>
      </c>
      <c r="AC112" s="12">
        <f>IF(AC$110="Ano 2",$E$75,0)*(1+Aux.BDI!$G$49)</f>
        <v>0</v>
      </c>
      <c r="AD112" s="12">
        <f>IF(AD$110="Ano 2",$E$75,0)*(1+Aux.BDI!$G$49)</f>
        <v>0</v>
      </c>
      <c r="AE112" s="12">
        <f>IF(AE$110="Ano 2",$E$75,0)*(1+Aux.BDI!$G$49)</f>
        <v>0</v>
      </c>
      <c r="AF112" s="12">
        <f>IF(AF$110="Ano 2",$E$75,0)*(1+Aux.BDI!$G$49)</f>
        <v>0</v>
      </c>
      <c r="AG112" s="12">
        <f>IF(AG$110="Ano 2",$E$75,0)*(1+Aux.BDI!$G$49)</f>
        <v>0</v>
      </c>
      <c r="AH112" s="12">
        <f>IF(AH$110="Ano 2",$E$75,0)*(1+Aux.BDI!$G$49)</f>
        <v>0</v>
      </c>
      <c r="AI112" s="12">
        <f>IF(AI$110="Ano 2",$E$75,0)*(1+Aux.BDI!$G$49)</f>
        <v>0</v>
      </c>
      <c r="AJ112" s="12">
        <f>IF(AJ$110="Ano 2",$E$75,0)*(1+Aux.BDI!$G$49)</f>
        <v>0</v>
      </c>
      <c r="AK112" s="12">
        <f>IF(AK$110="Ano 2",$E$75,0)*(1+Aux.BDI!$G$49)</f>
        <v>0</v>
      </c>
      <c r="AL112" s="12">
        <f>IF(AL$110="Ano 2",$E$75,0)*(1+Aux.BDI!$G$49)</f>
        <v>0</v>
      </c>
    </row>
    <row r="113" spans="2:38">
      <c r="B113" s="324" t="s">
        <v>1044</v>
      </c>
      <c r="C113" s="12">
        <f>IF(C$110="Ano 2",$E$76,0)*(1+Aux.BDI!$G$49)</f>
        <v>0</v>
      </c>
      <c r="D113" s="12">
        <f>IF(D$110="Ano 2",$E$76,0)*(1+Aux.BDI!$G$49)</f>
        <v>0</v>
      </c>
      <c r="E113" s="12">
        <f>IF(E$110="Ano 2",$E$76,0)*(1+Aux.BDI!$G$49)</f>
        <v>4663.1633078021223</v>
      </c>
      <c r="F113" s="12">
        <f>IF(F$110="Ano 2",$E$76,0)*(1+Aux.BDI!$G$49)</f>
        <v>0</v>
      </c>
      <c r="G113" s="12">
        <f>IF(G$110="Ano 2",$E$76,0)*(1+Aux.BDI!$G$49)</f>
        <v>0</v>
      </c>
      <c r="H113" s="12">
        <f>IF(H$110="Ano 2",$E$76,0)*(1+Aux.BDI!$G$49)</f>
        <v>0</v>
      </c>
      <c r="I113" s="12">
        <f>IF(I$110="Ano 2",$E$76,0)*(1+Aux.BDI!$G$49)</f>
        <v>0</v>
      </c>
      <c r="J113" s="12">
        <f>IF(J$110="Ano 2",$E$76,0)*(1+Aux.BDI!$G$49)</f>
        <v>0</v>
      </c>
      <c r="K113" s="12">
        <f>IF(K$110="Ano 2",$E$76,0)*(1+Aux.BDI!$G$49)</f>
        <v>0</v>
      </c>
      <c r="L113" s="12">
        <f>IF(L$110="Ano 2",$E$76,0)*(1+Aux.BDI!$G$49)</f>
        <v>0</v>
      </c>
      <c r="M113" s="12">
        <f>IF(M$110="Ano 2",$E$76,0)*(1+Aux.BDI!$G$49)</f>
        <v>0</v>
      </c>
      <c r="N113" s="12">
        <f>IF(N$110="Ano 2",$E$76,0)*(1+Aux.BDI!$G$49)</f>
        <v>0</v>
      </c>
      <c r="O113" s="12">
        <f>IF(O$110="Ano 2",$E$76,0)*(1+Aux.BDI!$G$49)</f>
        <v>0</v>
      </c>
      <c r="P113" s="12">
        <f>IF(P$110="Ano 2",$E$76,0)*(1+Aux.BDI!$G$49)</f>
        <v>0</v>
      </c>
      <c r="Q113" s="12">
        <f>IF(Q$110="Ano 2",$E$76,0)*(1+Aux.BDI!$G$49)</f>
        <v>0</v>
      </c>
      <c r="R113" s="12">
        <f>IF(R$110="Ano 2",$E$76,0)*(1+Aux.BDI!$G$49)</f>
        <v>0</v>
      </c>
      <c r="S113" s="12">
        <f>IF(S$110="Ano 2",$E$76,0)*(1+Aux.BDI!$G$49)</f>
        <v>0</v>
      </c>
      <c r="T113" s="12">
        <f>IF(T$110="Ano 2",$E$76,0)*(1+Aux.BDI!$G$49)</f>
        <v>0</v>
      </c>
      <c r="U113" s="12">
        <f>IF(U$110="Ano 2",$E$76,0)*(1+Aux.BDI!$G$49)</f>
        <v>0</v>
      </c>
      <c r="V113" s="12">
        <f>IF(V$110="Ano 2",$E$76,0)*(1+Aux.BDI!$G$49)</f>
        <v>0</v>
      </c>
      <c r="W113" s="12">
        <f>IF(W$110="Ano 2",$E$76,0)*(1+Aux.BDI!$G$49)</f>
        <v>0</v>
      </c>
      <c r="X113" s="12">
        <f>IF(X$110="Ano 2",$E$76,0)*(1+Aux.BDI!$G$49)</f>
        <v>0</v>
      </c>
      <c r="Y113" s="12">
        <f>IF(Y$110="Ano 2",$E$76,0)*(1+Aux.BDI!$G$49)</f>
        <v>0</v>
      </c>
      <c r="Z113" s="12">
        <f>IF(Z$110="Ano 2",$E$76,0)*(1+Aux.BDI!$G$49)</f>
        <v>0</v>
      </c>
      <c r="AA113" s="12">
        <f>IF(AA$110="Ano 2",$E$76,0)*(1+Aux.BDI!$G$49)</f>
        <v>0</v>
      </c>
      <c r="AB113" s="12">
        <f>IF(AB$110="Ano 2",$E$76,0)*(1+Aux.BDI!$G$49)</f>
        <v>0</v>
      </c>
      <c r="AC113" s="12">
        <f>IF(AC$110="Ano 2",$E$76,0)*(1+Aux.BDI!$G$49)</f>
        <v>0</v>
      </c>
      <c r="AD113" s="12">
        <f>IF(AD$110="Ano 2",$E$76,0)*(1+Aux.BDI!$G$49)</f>
        <v>0</v>
      </c>
      <c r="AE113" s="12">
        <f>IF(AE$110="Ano 2",$E$76,0)*(1+Aux.BDI!$G$49)</f>
        <v>0</v>
      </c>
      <c r="AF113" s="12">
        <f>IF(AF$110="Ano 2",$E$76,0)*(1+Aux.BDI!$G$49)</f>
        <v>0</v>
      </c>
      <c r="AG113" s="12">
        <f>IF(AG$110="Ano 2",$E$76,0)*(1+Aux.BDI!$G$49)</f>
        <v>0</v>
      </c>
      <c r="AH113" s="12">
        <f>IF(AH$110="Ano 2",$E$76,0)*(1+Aux.BDI!$G$49)</f>
        <v>0</v>
      </c>
      <c r="AI113" s="12">
        <f>IF(AI$110="Ano 2",$E$76,0)*(1+Aux.BDI!$G$49)</f>
        <v>0</v>
      </c>
      <c r="AJ113" s="12">
        <f>IF(AJ$110="Ano 2",$E$76,0)*(1+Aux.BDI!$G$49)</f>
        <v>0</v>
      </c>
      <c r="AK113" s="12">
        <f>IF(AK$110="Ano 2",$E$76,0)*(1+Aux.BDI!$G$49)</f>
        <v>0</v>
      </c>
      <c r="AL113" s="12">
        <f>IF(AL$110="Ano 2",$E$76,0)*(1+Aux.BDI!$G$49)</f>
        <v>0</v>
      </c>
    </row>
    <row r="114" spans="2:38">
      <c r="B114" s="324" t="s">
        <v>1045</v>
      </c>
      <c r="C114" s="12">
        <f>IF(C$110="Ano 2",$E$77,0)*(1+Aux.BDI!$G$49)</f>
        <v>0</v>
      </c>
      <c r="D114" s="12">
        <f>IF(D$110="Ano 2",$E$77,0)*(1+Aux.BDI!$G$49)</f>
        <v>0</v>
      </c>
      <c r="E114" s="12">
        <f>IF(E$110="Ano 2",$E$77,0)*(1+Aux.BDI!$G$49)</f>
        <v>2849.8408243801609</v>
      </c>
      <c r="F114" s="12">
        <f>IF(F$110="Ano 2",$E$77,0)*(1+Aux.BDI!$G$49)</f>
        <v>0</v>
      </c>
      <c r="G114" s="12">
        <f>IF(G$110="Ano 2",$E$77,0)*(1+Aux.BDI!$G$49)</f>
        <v>0</v>
      </c>
      <c r="H114" s="12">
        <f>IF(H$110="Ano 2",$E$77,0)*(1+Aux.BDI!$G$49)</f>
        <v>0</v>
      </c>
      <c r="I114" s="12">
        <f>IF(I$110="Ano 2",$E$77,0)*(1+Aux.BDI!$G$49)</f>
        <v>0</v>
      </c>
      <c r="J114" s="12">
        <f>IF(J$110="Ano 2",$E$77,0)*(1+Aux.BDI!$G$49)</f>
        <v>0</v>
      </c>
      <c r="K114" s="12">
        <f>IF(K$110="Ano 2",$E$77,0)*(1+Aux.BDI!$G$49)</f>
        <v>0</v>
      </c>
      <c r="L114" s="12">
        <f>IF(L$110="Ano 2",$E$77,0)*(1+Aux.BDI!$G$49)</f>
        <v>0</v>
      </c>
      <c r="M114" s="12">
        <f>IF(M$110="Ano 2",$E$77,0)*(1+Aux.BDI!$G$49)</f>
        <v>0</v>
      </c>
      <c r="N114" s="12">
        <f>IF(N$110="Ano 2",$E$77,0)*(1+Aux.BDI!$G$49)</f>
        <v>0</v>
      </c>
      <c r="O114" s="12">
        <f>IF(O$110="Ano 2",$E$77,0)*(1+Aux.BDI!$G$49)</f>
        <v>0</v>
      </c>
      <c r="P114" s="12">
        <f>IF(P$110="Ano 2",$E$77,0)*(1+Aux.BDI!$G$49)</f>
        <v>0</v>
      </c>
      <c r="Q114" s="12">
        <f>IF(Q$110="Ano 2",$E$77,0)*(1+Aux.BDI!$G$49)</f>
        <v>0</v>
      </c>
      <c r="R114" s="12">
        <f>IF(R$110="Ano 2",$E$77,0)*(1+Aux.BDI!$G$49)</f>
        <v>0</v>
      </c>
      <c r="S114" s="12">
        <f>IF(S$110="Ano 2",$E$77,0)*(1+Aux.BDI!$G$49)</f>
        <v>0</v>
      </c>
      <c r="T114" s="12">
        <f>IF(T$110="Ano 2",$E$77,0)*(1+Aux.BDI!$G$49)</f>
        <v>0</v>
      </c>
      <c r="U114" s="12">
        <f>IF(U$110="Ano 2",$E$77,0)*(1+Aux.BDI!$G$49)</f>
        <v>0</v>
      </c>
      <c r="V114" s="12">
        <f>IF(V$110="Ano 2",$E$77,0)*(1+Aux.BDI!$G$49)</f>
        <v>0</v>
      </c>
      <c r="W114" s="12">
        <f>IF(W$110="Ano 2",$E$77,0)*(1+Aux.BDI!$G$49)</f>
        <v>0</v>
      </c>
      <c r="X114" s="12">
        <f>IF(X$110="Ano 2",$E$77,0)*(1+Aux.BDI!$G$49)</f>
        <v>0</v>
      </c>
      <c r="Y114" s="12">
        <f>IF(Y$110="Ano 2",$E$77,0)*(1+Aux.BDI!$G$49)</f>
        <v>0</v>
      </c>
      <c r="Z114" s="12">
        <f>IF(Z$110="Ano 2",$E$77,0)*(1+Aux.BDI!$G$49)</f>
        <v>0</v>
      </c>
      <c r="AA114" s="12">
        <f>IF(AA$110="Ano 2",$E$77,0)*(1+Aux.BDI!$G$49)</f>
        <v>0</v>
      </c>
      <c r="AB114" s="12">
        <f>IF(AB$110="Ano 2",$E$77,0)*(1+Aux.BDI!$G$49)</f>
        <v>0</v>
      </c>
      <c r="AC114" s="12">
        <f>IF(AC$110="Ano 2",$E$77,0)*(1+Aux.BDI!$G$49)</f>
        <v>0</v>
      </c>
      <c r="AD114" s="12">
        <f>IF(AD$110="Ano 2",$E$77,0)*(1+Aux.BDI!$G$49)</f>
        <v>0</v>
      </c>
      <c r="AE114" s="12">
        <f>IF(AE$110="Ano 2",$E$77,0)*(1+Aux.BDI!$G$49)</f>
        <v>0</v>
      </c>
      <c r="AF114" s="12">
        <f>IF(AF$110="Ano 2",$E$77,0)*(1+Aux.BDI!$G$49)</f>
        <v>0</v>
      </c>
      <c r="AG114" s="12">
        <f>IF(AG$110="Ano 2",$E$77,0)*(1+Aux.BDI!$G$49)</f>
        <v>0</v>
      </c>
      <c r="AH114" s="12">
        <f>IF(AH$110="Ano 2",$E$77,0)*(1+Aux.BDI!$G$49)</f>
        <v>0</v>
      </c>
      <c r="AI114" s="12">
        <f>IF(AI$110="Ano 2",$E$77,0)*(1+Aux.BDI!$G$49)</f>
        <v>0</v>
      </c>
      <c r="AJ114" s="12">
        <f>IF(AJ$110="Ano 2",$E$77,0)*(1+Aux.BDI!$G$49)</f>
        <v>0</v>
      </c>
      <c r="AK114" s="12">
        <f>IF(AK$110="Ano 2",$E$77,0)*(1+Aux.BDI!$G$49)</f>
        <v>0</v>
      </c>
      <c r="AL114" s="12">
        <f>IF(AL$110="Ano 2",$E$77,0)*(1+Aux.BDI!$G$49)</f>
        <v>0</v>
      </c>
    </row>
    <row r="115" spans="2:38">
      <c r="B115" s="324" t="s">
        <v>1046</v>
      </c>
      <c r="C115" s="12">
        <f>IF(C$110="Ano 2",$E$78,0)*(1+Aux.BDI!$G$49)</f>
        <v>0</v>
      </c>
      <c r="D115" s="12">
        <f>IF(D$110="Ano 2",$E$78,0)*(1+Aux.BDI!$G$49)</f>
        <v>0</v>
      </c>
      <c r="E115" s="12">
        <f>IF(E$110="Ano 2",$E$78,0)*(1+Aux.BDI!$G$49)</f>
        <v>3973.2198316030185</v>
      </c>
      <c r="F115" s="12">
        <f>IF(F$110="Ano 2",$E$78,0)*(1+Aux.BDI!$G$49)</f>
        <v>0</v>
      </c>
      <c r="G115" s="12">
        <f>IF(G$110="Ano 2",$E$78,0)*(1+Aux.BDI!$G$49)</f>
        <v>0</v>
      </c>
      <c r="H115" s="12">
        <f>IF(H$110="Ano 2",$E$78,0)*(1+Aux.BDI!$G$49)</f>
        <v>0</v>
      </c>
      <c r="I115" s="12">
        <f>IF(I$110="Ano 2",$E$78,0)*(1+Aux.BDI!$G$49)</f>
        <v>0</v>
      </c>
      <c r="J115" s="12">
        <f>IF(J$110="Ano 2",$E$78,0)*(1+Aux.BDI!$G$49)</f>
        <v>0</v>
      </c>
      <c r="K115" s="12">
        <f>IF(K$110="Ano 2",$E$78,0)*(1+Aux.BDI!$G$49)</f>
        <v>0</v>
      </c>
      <c r="L115" s="12">
        <f>IF(L$110="Ano 2",$E$78,0)*(1+Aux.BDI!$G$49)</f>
        <v>0</v>
      </c>
      <c r="M115" s="12">
        <f>IF(M$110="Ano 2",$E$78,0)*(1+Aux.BDI!$G$49)</f>
        <v>0</v>
      </c>
      <c r="N115" s="12">
        <f>IF(N$110="Ano 2",$E$78,0)*(1+Aux.BDI!$G$49)</f>
        <v>0</v>
      </c>
      <c r="O115" s="12">
        <f>IF(O$110="Ano 2",$E$78,0)*(1+Aux.BDI!$G$49)</f>
        <v>0</v>
      </c>
      <c r="P115" s="12">
        <f>IF(P$110="Ano 2",$E$78,0)*(1+Aux.BDI!$G$49)</f>
        <v>0</v>
      </c>
      <c r="Q115" s="12">
        <f>IF(Q$110="Ano 2",$E$78,0)*(1+Aux.BDI!$G$49)</f>
        <v>0</v>
      </c>
      <c r="R115" s="12">
        <f>IF(R$110="Ano 2",$E$78,0)*(1+Aux.BDI!$G$49)</f>
        <v>0</v>
      </c>
      <c r="S115" s="12">
        <f>IF(S$110="Ano 2",$E$78,0)*(1+Aux.BDI!$G$49)</f>
        <v>0</v>
      </c>
      <c r="T115" s="12">
        <f>IF(T$110="Ano 2",$E$78,0)*(1+Aux.BDI!$G$49)</f>
        <v>0</v>
      </c>
      <c r="U115" s="12">
        <f>IF(U$110="Ano 2",$E$78,0)*(1+Aux.BDI!$G$49)</f>
        <v>0</v>
      </c>
      <c r="V115" s="12">
        <f>IF(V$110="Ano 2",$E$78,0)*(1+Aux.BDI!$G$49)</f>
        <v>0</v>
      </c>
      <c r="W115" s="12">
        <f>IF(W$110="Ano 2",$E$78,0)*(1+Aux.BDI!$G$49)</f>
        <v>0</v>
      </c>
      <c r="X115" s="12">
        <f>IF(X$110="Ano 2",$E$78,0)*(1+Aux.BDI!$G$49)</f>
        <v>0</v>
      </c>
      <c r="Y115" s="12">
        <f>IF(Y$110="Ano 2",$E$78,0)*(1+Aux.BDI!$G$49)</f>
        <v>0</v>
      </c>
      <c r="Z115" s="12">
        <f>IF(Z$110="Ano 2",$E$78,0)*(1+Aux.BDI!$G$49)</f>
        <v>0</v>
      </c>
      <c r="AA115" s="12">
        <f>IF(AA$110="Ano 2",$E$78,0)*(1+Aux.BDI!$G$49)</f>
        <v>0</v>
      </c>
      <c r="AB115" s="12">
        <f>IF(AB$110="Ano 2",$E$78,0)*(1+Aux.BDI!$G$49)</f>
        <v>0</v>
      </c>
      <c r="AC115" s="12">
        <f>IF(AC$110="Ano 2",$E$78,0)*(1+Aux.BDI!$G$49)</f>
        <v>0</v>
      </c>
      <c r="AD115" s="12">
        <f>IF(AD$110="Ano 2",$E$78,0)*(1+Aux.BDI!$G$49)</f>
        <v>0</v>
      </c>
      <c r="AE115" s="12">
        <f>IF(AE$110="Ano 2",$E$78,0)*(1+Aux.BDI!$G$49)</f>
        <v>0</v>
      </c>
      <c r="AF115" s="12">
        <f>IF(AF$110="Ano 2",$E$78,0)*(1+Aux.BDI!$G$49)</f>
        <v>0</v>
      </c>
      <c r="AG115" s="12">
        <f>IF(AG$110="Ano 2",$E$78,0)*(1+Aux.BDI!$G$49)</f>
        <v>0</v>
      </c>
      <c r="AH115" s="12">
        <f>IF(AH$110="Ano 2",$E$78,0)*(1+Aux.BDI!$G$49)</f>
        <v>0</v>
      </c>
      <c r="AI115" s="12">
        <f>IF(AI$110="Ano 2",$E$78,0)*(1+Aux.BDI!$G$49)</f>
        <v>0</v>
      </c>
      <c r="AJ115" s="12">
        <f>IF(AJ$110="Ano 2",$E$78,0)*(1+Aux.BDI!$G$49)</f>
        <v>0</v>
      </c>
      <c r="AK115" s="12">
        <f>IF(AK$110="Ano 2",$E$78,0)*(1+Aux.BDI!$G$49)</f>
        <v>0</v>
      </c>
      <c r="AL115" s="12">
        <f>IF(AL$110="Ano 2",$E$78,0)*(1+Aux.BDI!$G$49)</f>
        <v>0</v>
      </c>
    </row>
    <row r="116" spans="2:38">
      <c r="B116" s="324" t="s">
        <v>1047</v>
      </c>
      <c r="C116" s="12">
        <f>IF(C$110="Ano 2",$E$79,0)*(1+Aux.BDI!$G$49)</f>
        <v>0</v>
      </c>
      <c r="D116" s="12">
        <f>IF(D$110="Ano 2",$E$79,0)*(1+Aux.BDI!$G$49)</f>
        <v>0</v>
      </c>
      <c r="E116" s="12">
        <f>IF(E$110="Ano 2",$E$79,0)*(1+Aux.BDI!$G$49)</f>
        <v>6408.5900173461987</v>
      </c>
      <c r="F116" s="12">
        <f>IF(F$110="Ano 2",$E$79,0)*(1+Aux.BDI!$G$49)</f>
        <v>0</v>
      </c>
      <c r="G116" s="12">
        <f>IF(G$110="Ano 2",$E$79,0)*(1+Aux.BDI!$G$49)</f>
        <v>0</v>
      </c>
      <c r="H116" s="12">
        <f>IF(H$110="Ano 2",$E$79,0)*(1+Aux.BDI!$G$49)</f>
        <v>0</v>
      </c>
      <c r="I116" s="12">
        <f>IF(I$110="Ano 2",$E$79,0)*(1+Aux.BDI!$G$49)</f>
        <v>0</v>
      </c>
      <c r="J116" s="12">
        <f>IF(J$110="Ano 2",$E$79,0)*(1+Aux.BDI!$G$49)</f>
        <v>0</v>
      </c>
      <c r="K116" s="12">
        <f>IF(K$110="Ano 2",$E$79,0)*(1+Aux.BDI!$G$49)</f>
        <v>0</v>
      </c>
      <c r="L116" s="12">
        <f>IF(L$110="Ano 2",$E$79,0)*(1+Aux.BDI!$G$49)</f>
        <v>0</v>
      </c>
      <c r="M116" s="12">
        <f>IF(M$110="Ano 2",$E$79,0)*(1+Aux.BDI!$G$49)</f>
        <v>0</v>
      </c>
      <c r="N116" s="12">
        <f>IF(N$110="Ano 2",$E$79,0)*(1+Aux.BDI!$G$49)</f>
        <v>0</v>
      </c>
      <c r="O116" s="12">
        <f>IF(O$110="Ano 2",$E$79,0)*(1+Aux.BDI!$G$49)</f>
        <v>0</v>
      </c>
      <c r="P116" s="12">
        <f>IF(P$110="Ano 2",$E$79,0)*(1+Aux.BDI!$G$49)</f>
        <v>0</v>
      </c>
      <c r="Q116" s="12">
        <f>IF(Q$110="Ano 2",$E$79,0)*(1+Aux.BDI!$G$49)</f>
        <v>0</v>
      </c>
      <c r="R116" s="12">
        <f>IF(R$110="Ano 2",$E$79,0)*(1+Aux.BDI!$G$49)</f>
        <v>0</v>
      </c>
      <c r="S116" s="12">
        <f>IF(S$110="Ano 2",$E$79,0)*(1+Aux.BDI!$G$49)</f>
        <v>0</v>
      </c>
      <c r="T116" s="12">
        <f>IF(T$110="Ano 2",$E$79,0)*(1+Aux.BDI!$G$49)</f>
        <v>0</v>
      </c>
      <c r="U116" s="12">
        <f>IF(U$110="Ano 2",$E$79,0)*(1+Aux.BDI!$G$49)</f>
        <v>0</v>
      </c>
      <c r="V116" s="12">
        <f>IF(V$110="Ano 2",$E$79,0)*(1+Aux.BDI!$G$49)</f>
        <v>0</v>
      </c>
      <c r="W116" s="12">
        <f>IF(W$110="Ano 2",$E$79,0)*(1+Aux.BDI!$G$49)</f>
        <v>0</v>
      </c>
      <c r="X116" s="12">
        <f>IF(X$110="Ano 2",$E$79,0)*(1+Aux.BDI!$G$49)</f>
        <v>0</v>
      </c>
      <c r="Y116" s="12">
        <f>IF(Y$110="Ano 2",$E$79,0)*(1+Aux.BDI!$G$49)</f>
        <v>0</v>
      </c>
      <c r="Z116" s="12">
        <f>IF(Z$110="Ano 2",$E$79,0)*(1+Aux.BDI!$G$49)</f>
        <v>0</v>
      </c>
      <c r="AA116" s="12">
        <f>IF(AA$110="Ano 2",$E$79,0)*(1+Aux.BDI!$G$49)</f>
        <v>0</v>
      </c>
      <c r="AB116" s="12">
        <f>IF(AB$110="Ano 2",$E$79,0)*(1+Aux.BDI!$G$49)</f>
        <v>0</v>
      </c>
      <c r="AC116" s="12">
        <f>IF(AC$110="Ano 2",$E$79,0)*(1+Aux.BDI!$G$49)</f>
        <v>0</v>
      </c>
      <c r="AD116" s="12">
        <f>IF(AD$110="Ano 2",$E$79,0)*(1+Aux.BDI!$G$49)</f>
        <v>0</v>
      </c>
      <c r="AE116" s="12">
        <f>IF(AE$110="Ano 2",$E$79,0)*(1+Aux.BDI!$G$49)</f>
        <v>0</v>
      </c>
      <c r="AF116" s="12">
        <f>IF(AF$110="Ano 2",$E$79,0)*(1+Aux.BDI!$G$49)</f>
        <v>0</v>
      </c>
      <c r="AG116" s="12">
        <f>IF(AG$110="Ano 2",$E$79,0)*(1+Aux.BDI!$G$49)</f>
        <v>0</v>
      </c>
      <c r="AH116" s="12">
        <f>IF(AH$110="Ano 2",$E$79,0)*(1+Aux.BDI!$G$49)</f>
        <v>0</v>
      </c>
      <c r="AI116" s="12">
        <f>IF(AI$110="Ano 2",$E$79,0)*(1+Aux.BDI!$G$49)</f>
        <v>0</v>
      </c>
      <c r="AJ116" s="12">
        <f>IF(AJ$110="Ano 2",$E$79,0)*(1+Aux.BDI!$G$49)</f>
        <v>0</v>
      </c>
      <c r="AK116" s="12">
        <f>IF(AK$110="Ano 2",$E$79,0)*(1+Aux.BDI!$G$49)</f>
        <v>0</v>
      </c>
      <c r="AL116" s="12">
        <f>IF(AL$110="Ano 2",$E$79,0)*(1+Aux.BDI!$G$49)</f>
        <v>0</v>
      </c>
    </row>
    <row r="117" spans="2:38">
      <c r="B117" s="324" t="s">
        <v>717</v>
      </c>
      <c r="C117" s="12">
        <f>IF(C$110="Ano 2",$E$80,0)*(1+Aux.BDI!$G$49)</f>
        <v>0</v>
      </c>
      <c r="D117" s="12">
        <f>IF(D$110="Ano 2",$E$80,0)*(1+Aux.BDI!$G$49)</f>
        <v>0</v>
      </c>
      <c r="E117" s="12">
        <f>IF(E$110="Ano 2",$E$80,0)*(1+Aux.BDI!$G$49)</f>
        <v>1481.9034053100806</v>
      </c>
      <c r="F117" s="12">
        <f>IF(F$110="Ano 2",$E$80,0)*(1+Aux.BDI!$G$49)</f>
        <v>0</v>
      </c>
      <c r="G117" s="12">
        <f>IF(G$110="Ano 2",$E$80,0)*(1+Aux.BDI!$G$49)</f>
        <v>0</v>
      </c>
      <c r="H117" s="12">
        <f>IF(H$110="Ano 2",$E$80,0)*(1+Aux.BDI!$G$49)</f>
        <v>0</v>
      </c>
      <c r="I117" s="12">
        <f>IF(I$110="Ano 2",$E$80,0)*(1+Aux.BDI!$G$49)</f>
        <v>0</v>
      </c>
      <c r="J117" s="12">
        <f>IF(J$110="Ano 2",$E$80,0)*(1+Aux.BDI!$G$49)</f>
        <v>0</v>
      </c>
      <c r="K117" s="12">
        <f>IF(K$110="Ano 2",$E$80,0)*(1+Aux.BDI!$G$49)</f>
        <v>0</v>
      </c>
      <c r="L117" s="12">
        <f>IF(L$110="Ano 2",$E$80,0)*(1+Aux.BDI!$G$49)</f>
        <v>0</v>
      </c>
      <c r="M117" s="12">
        <f>IF(M$110="Ano 2",$E$80,0)*(1+Aux.BDI!$G$49)</f>
        <v>0</v>
      </c>
      <c r="N117" s="12">
        <f>IF(N$110="Ano 2",$E$80,0)*(1+Aux.BDI!$G$49)</f>
        <v>0</v>
      </c>
      <c r="O117" s="12">
        <f>IF(O$110="Ano 2",$E$80,0)*(1+Aux.BDI!$G$49)</f>
        <v>0</v>
      </c>
      <c r="P117" s="12">
        <f>IF(P$110="Ano 2",$E$80,0)*(1+Aux.BDI!$G$49)</f>
        <v>0</v>
      </c>
      <c r="Q117" s="12">
        <f>IF(Q$110="Ano 2",$E$80,0)*(1+Aux.BDI!$G$49)</f>
        <v>0</v>
      </c>
      <c r="R117" s="12">
        <f>IF(R$110="Ano 2",$E$80,0)*(1+Aux.BDI!$G$49)</f>
        <v>0</v>
      </c>
      <c r="S117" s="12">
        <f>IF(S$110="Ano 2",$E$80,0)*(1+Aux.BDI!$G$49)</f>
        <v>0</v>
      </c>
      <c r="T117" s="12">
        <f>IF(T$110="Ano 2",$E$80,0)*(1+Aux.BDI!$G$49)</f>
        <v>0</v>
      </c>
      <c r="U117" s="12">
        <f>IF(U$110="Ano 2",$E$80,0)*(1+Aux.BDI!$G$49)</f>
        <v>0</v>
      </c>
      <c r="V117" s="12">
        <f>IF(V$110="Ano 2",$E$80,0)*(1+Aux.BDI!$G$49)</f>
        <v>0</v>
      </c>
      <c r="W117" s="12">
        <f>IF(W$110="Ano 2",$E$80,0)*(1+Aux.BDI!$G$49)</f>
        <v>0</v>
      </c>
      <c r="X117" s="12">
        <f>IF(X$110="Ano 2",$E$80,0)*(1+Aux.BDI!$G$49)</f>
        <v>0</v>
      </c>
      <c r="Y117" s="12">
        <f>IF(Y$110="Ano 2",$E$80,0)*(1+Aux.BDI!$G$49)</f>
        <v>0</v>
      </c>
      <c r="Z117" s="12">
        <f>IF(Z$110="Ano 2",$E$80,0)*(1+Aux.BDI!$G$49)</f>
        <v>0</v>
      </c>
      <c r="AA117" s="12">
        <f>IF(AA$110="Ano 2",$E$80,0)*(1+Aux.BDI!$G$49)</f>
        <v>0</v>
      </c>
      <c r="AB117" s="12">
        <f>IF(AB$110="Ano 2",$E$80,0)*(1+Aux.BDI!$G$49)</f>
        <v>0</v>
      </c>
      <c r="AC117" s="12">
        <f>IF(AC$110="Ano 2",$E$80,0)*(1+Aux.BDI!$G$49)</f>
        <v>0</v>
      </c>
      <c r="AD117" s="12">
        <f>IF(AD$110="Ano 2",$E$80,0)*(1+Aux.BDI!$G$49)</f>
        <v>0</v>
      </c>
      <c r="AE117" s="12">
        <f>IF(AE$110="Ano 2",$E$80,0)*(1+Aux.BDI!$G$49)</f>
        <v>0</v>
      </c>
      <c r="AF117" s="12">
        <f>IF(AF$110="Ano 2",$E$80,0)*(1+Aux.BDI!$G$49)</f>
        <v>0</v>
      </c>
      <c r="AG117" s="12">
        <f>IF(AG$110="Ano 2",$E$80,0)*(1+Aux.BDI!$G$49)</f>
        <v>0</v>
      </c>
      <c r="AH117" s="12">
        <f>IF(AH$110="Ano 2",$E$80,0)*(1+Aux.BDI!$G$49)</f>
        <v>0</v>
      </c>
      <c r="AI117" s="12">
        <f>IF(AI$110="Ano 2",$E$80,0)*(1+Aux.BDI!$G$49)</f>
        <v>0</v>
      </c>
      <c r="AJ117" s="12">
        <f>IF(AJ$110="Ano 2",$E$80,0)*(1+Aux.BDI!$G$49)</f>
        <v>0</v>
      </c>
      <c r="AK117" s="12">
        <f>IF(AK$110="Ano 2",$E$80,0)*(1+Aux.BDI!$G$49)</f>
        <v>0</v>
      </c>
      <c r="AL117" s="12">
        <f>IF(AL$110="Ano 2",$E$80,0)*(1+Aux.BDI!$G$49)</f>
        <v>0</v>
      </c>
    </row>
    <row r="118" spans="2:38">
      <c r="B118" s="324" t="s">
        <v>1048</v>
      </c>
      <c r="C118" s="12">
        <f>IF(C$110="Ano 2",$E$81,0)*(1+Aux.BDI!$G$49)</f>
        <v>0</v>
      </c>
      <c r="D118" s="12">
        <f>IF(D$110="Ano 2",$E$81,0)*(1+Aux.BDI!$G$49)</f>
        <v>0</v>
      </c>
      <c r="E118" s="12">
        <f>IF(E$110="Ano 2",$E$81,0)*(1+Aux.BDI!$G$49)</f>
        <v>1608.3488206363338</v>
      </c>
      <c r="F118" s="12">
        <f>IF(F$110="Ano 2",$E$81,0)*(1+Aux.BDI!$G$49)</f>
        <v>0</v>
      </c>
      <c r="G118" s="12">
        <f>IF(G$110="Ano 2",$E$81,0)*(1+Aux.BDI!$G$49)</f>
        <v>0</v>
      </c>
      <c r="H118" s="12">
        <f>IF(H$110="Ano 2",$E$81,0)*(1+Aux.BDI!$G$49)</f>
        <v>0</v>
      </c>
      <c r="I118" s="12">
        <f>IF(I$110="Ano 2",$E$81,0)*(1+Aux.BDI!$G$49)</f>
        <v>0</v>
      </c>
      <c r="J118" s="12">
        <f>IF(J$110="Ano 2",$E$81,0)*(1+Aux.BDI!$G$49)</f>
        <v>0</v>
      </c>
      <c r="K118" s="12">
        <f>IF(K$110="Ano 2",$E$81,0)*(1+Aux.BDI!$G$49)</f>
        <v>0</v>
      </c>
      <c r="L118" s="12">
        <f>IF(L$110="Ano 2",$E$81,0)*(1+Aux.BDI!$G$49)</f>
        <v>0</v>
      </c>
      <c r="M118" s="12">
        <f>IF(M$110="Ano 2",$E$81,0)*(1+Aux.BDI!$G$49)</f>
        <v>0</v>
      </c>
      <c r="N118" s="12">
        <f>IF(N$110="Ano 2",$E$81,0)*(1+Aux.BDI!$G$49)</f>
        <v>0</v>
      </c>
      <c r="O118" s="12">
        <f>IF(O$110="Ano 2",$E$81,0)*(1+Aux.BDI!$G$49)</f>
        <v>0</v>
      </c>
      <c r="P118" s="12">
        <f>IF(P$110="Ano 2",$E$81,0)*(1+Aux.BDI!$G$49)</f>
        <v>0</v>
      </c>
      <c r="Q118" s="12">
        <f>IF(Q$110="Ano 2",$E$81,0)*(1+Aux.BDI!$G$49)</f>
        <v>0</v>
      </c>
      <c r="R118" s="12">
        <f>IF(R$110="Ano 2",$E$81,0)*(1+Aux.BDI!$G$49)</f>
        <v>0</v>
      </c>
      <c r="S118" s="12">
        <f>IF(S$110="Ano 2",$E$81,0)*(1+Aux.BDI!$G$49)</f>
        <v>0</v>
      </c>
      <c r="T118" s="12">
        <f>IF(T$110="Ano 2",$E$81,0)*(1+Aux.BDI!$G$49)</f>
        <v>0</v>
      </c>
      <c r="U118" s="12">
        <f>IF(U$110="Ano 2",$E$81,0)*(1+Aux.BDI!$G$49)</f>
        <v>0</v>
      </c>
      <c r="V118" s="12">
        <f>IF(V$110="Ano 2",$E$81,0)*(1+Aux.BDI!$G$49)</f>
        <v>0</v>
      </c>
      <c r="W118" s="12">
        <f>IF(W$110="Ano 2",$E$81,0)*(1+Aux.BDI!$G$49)</f>
        <v>0</v>
      </c>
      <c r="X118" s="12">
        <f>IF(X$110="Ano 2",$E$81,0)*(1+Aux.BDI!$G$49)</f>
        <v>0</v>
      </c>
      <c r="Y118" s="12">
        <f>IF(Y$110="Ano 2",$E$81,0)*(1+Aux.BDI!$G$49)</f>
        <v>0</v>
      </c>
      <c r="Z118" s="12">
        <f>IF(Z$110="Ano 2",$E$81,0)*(1+Aux.BDI!$G$49)</f>
        <v>0</v>
      </c>
      <c r="AA118" s="12">
        <f>IF(AA$110="Ano 2",$E$81,0)*(1+Aux.BDI!$G$49)</f>
        <v>0</v>
      </c>
      <c r="AB118" s="12">
        <f>IF(AB$110="Ano 2",$E$81,0)*(1+Aux.BDI!$G$49)</f>
        <v>0</v>
      </c>
      <c r="AC118" s="12">
        <f>IF(AC$110="Ano 2",$E$81,0)*(1+Aux.BDI!$G$49)</f>
        <v>0</v>
      </c>
      <c r="AD118" s="12">
        <f>IF(AD$110="Ano 2",$E$81,0)*(1+Aux.BDI!$G$49)</f>
        <v>0</v>
      </c>
      <c r="AE118" s="12">
        <f>IF(AE$110="Ano 2",$E$81,0)*(1+Aux.BDI!$G$49)</f>
        <v>0</v>
      </c>
      <c r="AF118" s="12">
        <f>IF(AF$110="Ano 2",$E$81,0)*(1+Aux.BDI!$G$49)</f>
        <v>0</v>
      </c>
      <c r="AG118" s="12">
        <f>IF(AG$110="Ano 2",$E$81,0)*(1+Aux.BDI!$G$49)</f>
        <v>0</v>
      </c>
      <c r="AH118" s="12">
        <f>IF(AH$110="Ano 2",$E$81,0)*(1+Aux.BDI!$G$49)</f>
        <v>0</v>
      </c>
      <c r="AI118" s="12">
        <f>IF(AI$110="Ano 2",$E$81,0)*(1+Aux.BDI!$G$49)</f>
        <v>0</v>
      </c>
      <c r="AJ118" s="12">
        <f>IF(AJ$110="Ano 2",$E$81,0)*(1+Aux.BDI!$G$49)</f>
        <v>0</v>
      </c>
      <c r="AK118" s="12">
        <f>IF(AK$110="Ano 2",$E$81,0)*(1+Aux.BDI!$G$49)</f>
        <v>0</v>
      </c>
      <c r="AL118" s="12">
        <f>IF(AL$110="Ano 2",$E$81,0)*(1+Aux.BDI!$G$49)</f>
        <v>0</v>
      </c>
    </row>
    <row r="119" spans="2:38">
      <c r="B119" s="324" t="s">
        <v>1049</v>
      </c>
      <c r="C119" s="12">
        <f>IF(C$110="Ano 2",$E$82,0)*(1+Aux.BDI!$G$49)</f>
        <v>0</v>
      </c>
      <c r="D119" s="12">
        <f>IF(D$110="Ano 2",$E$82,0)*(1+Aux.BDI!$G$49)</f>
        <v>0</v>
      </c>
      <c r="E119" s="12">
        <f>IF(E$110="Ano 2",$E$82,0)*(1+Aux.BDI!$G$49)</f>
        <v>641.59624800679239</v>
      </c>
      <c r="F119" s="12">
        <f>IF(F$110="Ano 2",$E$82,0)*(1+Aux.BDI!$G$49)</f>
        <v>0</v>
      </c>
      <c r="G119" s="12">
        <f>IF(G$110="Ano 2",$E$82,0)*(1+Aux.BDI!$G$49)</f>
        <v>0</v>
      </c>
      <c r="H119" s="12">
        <f>IF(H$110="Ano 2",$E$82,0)*(1+Aux.BDI!$G$49)</f>
        <v>0</v>
      </c>
      <c r="I119" s="12">
        <f>IF(I$110="Ano 2",$E$82,0)*(1+Aux.BDI!$G$49)</f>
        <v>0</v>
      </c>
      <c r="J119" s="12">
        <f>IF(J$110="Ano 2",$E$82,0)*(1+Aux.BDI!$G$49)</f>
        <v>0</v>
      </c>
      <c r="K119" s="12">
        <f>IF(K$110="Ano 2",$E$82,0)*(1+Aux.BDI!$G$49)</f>
        <v>0</v>
      </c>
      <c r="L119" s="12">
        <f>IF(L$110="Ano 2",$E$82,0)*(1+Aux.BDI!$G$49)</f>
        <v>0</v>
      </c>
      <c r="M119" s="12">
        <f>IF(M$110="Ano 2",$E$82,0)*(1+Aux.BDI!$G$49)</f>
        <v>0</v>
      </c>
      <c r="N119" s="12">
        <f>IF(N$110="Ano 2",$E$82,0)*(1+Aux.BDI!$G$49)</f>
        <v>0</v>
      </c>
      <c r="O119" s="12">
        <f>IF(O$110="Ano 2",$E$82,0)*(1+Aux.BDI!$G$49)</f>
        <v>0</v>
      </c>
      <c r="P119" s="12">
        <f>IF(P$110="Ano 2",$E$82,0)*(1+Aux.BDI!$G$49)</f>
        <v>0</v>
      </c>
      <c r="Q119" s="12">
        <f>IF(Q$110="Ano 2",$E$82,0)*(1+Aux.BDI!$G$49)</f>
        <v>0</v>
      </c>
      <c r="R119" s="12">
        <f>IF(R$110="Ano 2",$E$82,0)*(1+Aux.BDI!$G$49)</f>
        <v>0</v>
      </c>
      <c r="S119" s="12">
        <f>IF(S$110="Ano 2",$E$82,0)*(1+Aux.BDI!$G$49)</f>
        <v>0</v>
      </c>
      <c r="T119" s="12">
        <f>IF(T$110="Ano 2",$E$82,0)*(1+Aux.BDI!$G$49)</f>
        <v>0</v>
      </c>
      <c r="U119" s="12">
        <f>IF(U$110="Ano 2",$E$82,0)*(1+Aux.BDI!$G$49)</f>
        <v>0</v>
      </c>
      <c r="V119" s="12">
        <f>IF(V$110="Ano 2",$E$82,0)*(1+Aux.BDI!$G$49)</f>
        <v>0</v>
      </c>
      <c r="W119" s="12">
        <f>IF(W$110="Ano 2",$E$82,0)*(1+Aux.BDI!$G$49)</f>
        <v>0</v>
      </c>
      <c r="X119" s="12">
        <f>IF(X$110="Ano 2",$E$82,0)*(1+Aux.BDI!$G$49)</f>
        <v>0</v>
      </c>
      <c r="Y119" s="12">
        <f>IF(Y$110="Ano 2",$E$82,0)*(1+Aux.BDI!$G$49)</f>
        <v>0</v>
      </c>
      <c r="Z119" s="12">
        <f>IF(Z$110="Ano 2",$E$82,0)*(1+Aux.BDI!$G$49)</f>
        <v>0</v>
      </c>
      <c r="AA119" s="12">
        <f>IF(AA$110="Ano 2",$E$82,0)*(1+Aux.BDI!$G$49)</f>
        <v>0</v>
      </c>
      <c r="AB119" s="12">
        <f>IF(AB$110="Ano 2",$E$82,0)*(1+Aux.BDI!$G$49)</f>
        <v>0</v>
      </c>
      <c r="AC119" s="12">
        <f>IF(AC$110="Ano 2",$E$82,0)*(1+Aux.BDI!$G$49)</f>
        <v>0</v>
      </c>
      <c r="AD119" s="12">
        <f>IF(AD$110="Ano 2",$E$82,0)*(1+Aux.BDI!$G$49)</f>
        <v>0</v>
      </c>
      <c r="AE119" s="12">
        <f>IF(AE$110="Ano 2",$E$82,0)*(1+Aux.BDI!$G$49)</f>
        <v>0</v>
      </c>
      <c r="AF119" s="12">
        <f>IF(AF$110="Ano 2",$E$82,0)*(1+Aux.BDI!$G$49)</f>
        <v>0</v>
      </c>
      <c r="AG119" s="12">
        <f>IF(AG$110="Ano 2",$E$82,0)*(1+Aux.BDI!$G$49)</f>
        <v>0</v>
      </c>
      <c r="AH119" s="12">
        <f>IF(AH$110="Ano 2",$E$82,0)*(1+Aux.BDI!$G$49)</f>
        <v>0</v>
      </c>
      <c r="AI119" s="12">
        <f>IF(AI$110="Ano 2",$E$82,0)*(1+Aux.BDI!$G$49)</f>
        <v>0</v>
      </c>
      <c r="AJ119" s="12">
        <f>IF(AJ$110="Ano 2",$E$82,0)*(1+Aux.BDI!$G$49)</f>
        <v>0</v>
      </c>
      <c r="AK119" s="12">
        <f>IF(AK$110="Ano 2",$E$82,0)*(1+Aux.BDI!$G$49)</f>
        <v>0</v>
      </c>
      <c r="AL119" s="12">
        <f>IF(AL$110="Ano 2",$E$82,0)*(1+Aux.BDI!$G$49)</f>
        <v>0</v>
      </c>
    </row>
    <row r="120" spans="2:38">
      <c r="B120" s="324" t="s">
        <v>1050</v>
      </c>
      <c r="C120" s="12">
        <f>IF(C$110="Ano 2",$E$83,0)*(1+Aux.BDI!$G$49)</f>
        <v>0</v>
      </c>
      <c r="D120" s="12">
        <f>IF(D$110="Ano 2",$E$83,0)*(1+Aux.BDI!$G$49)</f>
        <v>0</v>
      </c>
      <c r="E120" s="12">
        <f>IF(E$110="Ano 2",$E$83,0)*(1+Aux.BDI!$G$49)</f>
        <v>1055.4909129936386</v>
      </c>
      <c r="F120" s="12">
        <f>IF(F$110="Ano 2",$E$83,0)*(1+Aux.BDI!$G$49)</f>
        <v>0</v>
      </c>
      <c r="G120" s="12">
        <f>IF(G$110="Ano 2",$E$83,0)*(1+Aux.BDI!$G$49)</f>
        <v>0</v>
      </c>
      <c r="H120" s="12">
        <f>IF(H$110="Ano 2",$E$83,0)*(1+Aux.BDI!$G$49)</f>
        <v>0</v>
      </c>
      <c r="I120" s="12">
        <f>IF(I$110="Ano 2",$E$83,0)*(1+Aux.BDI!$G$49)</f>
        <v>0</v>
      </c>
      <c r="J120" s="12">
        <f>IF(J$110="Ano 2",$E$83,0)*(1+Aux.BDI!$G$49)</f>
        <v>0</v>
      </c>
      <c r="K120" s="12">
        <f>IF(K$110="Ano 2",$E$83,0)*(1+Aux.BDI!$G$49)</f>
        <v>0</v>
      </c>
      <c r="L120" s="12">
        <f>IF(L$110="Ano 2",$E$83,0)*(1+Aux.BDI!$G$49)</f>
        <v>0</v>
      </c>
      <c r="M120" s="12">
        <f>IF(M$110="Ano 2",$E$83,0)*(1+Aux.BDI!$G$49)</f>
        <v>0</v>
      </c>
      <c r="N120" s="12">
        <f>IF(N$110="Ano 2",$E$83,0)*(1+Aux.BDI!$G$49)</f>
        <v>0</v>
      </c>
      <c r="O120" s="12">
        <f>IF(O$110="Ano 2",$E$83,0)*(1+Aux.BDI!$G$49)</f>
        <v>0</v>
      </c>
      <c r="P120" s="12">
        <f>IF(P$110="Ano 2",$E$83,0)*(1+Aux.BDI!$G$49)</f>
        <v>0</v>
      </c>
      <c r="Q120" s="12">
        <f>IF(Q$110="Ano 2",$E$83,0)*(1+Aux.BDI!$G$49)</f>
        <v>0</v>
      </c>
      <c r="R120" s="12">
        <f>IF(R$110="Ano 2",$E$83,0)*(1+Aux.BDI!$G$49)</f>
        <v>0</v>
      </c>
      <c r="S120" s="12">
        <f>IF(S$110="Ano 2",$E$83,0)*(1+Aux.BDI!$G$49)</f>
        <v>0</v>
      </c>
      <c r="T120" s="12">
        <f>IF(T$110="Ano 2",$E$83,0)*(1+Aux.BDI!$G$49)</f>
        <v>0</v>
      </c>
      <c r="U120" s="12">
        <f>IF(U$110="Ano 2",$E$83,0)*(1+Aux.BDI!$G$49)</f>
        <v>0</v>
      </c>
      <c r="V120" s="12">
        <f>IF(V$110="Ano 2",$E$83,0)*(1+Aux.BDI!$G$49)</f>
        <v>0</v>
      </c>
      <c r="W120" s="12">
        <f>IF(W$110="Ano 2",$E$83,0)*(1+Aux.BDI!$G$49)</f>
        <v>0</v>
      </c>
      <c r="X120" s="12">
        <f>IF(X$110="Ano 2",$E$83,0)*(1+Aux.BDI!$G$49)</f>
        <v>0</v>
      </c>
      <c r="Y120" s="12">
        <f>IF(Y$110="Ano 2",$E$83,0)*(1+Aux.BDI!$G$49)</f>
        <v>0</v>
      </c>
      <c r="Z120" s="12">
        <f>IF(Z$110="Ano 2",$E$83,0)*(1+Aux.BDI!$G$49)</f>
        <v>0</v>
      </c>
      <c r="AA120" s="12">
        <f>IF(AA$110="Ano 2",$E$83,0)*(1+Aux.BDI!$G$49)</f>
        <v>0</v>
      </c>
      <c r="AB120" s="12">
        <f>IF(AB$110="Ano 2",$E$83,0)*(1+Aux.BDI!$G$49)</f>
        <v>0</v>
      </c>
      <c r="AC120" s="12">
        <f>IF(AC$110="Ano 2",$E$83,0)*(1+Aux.BDI!$G$49)</f>
        <v>0</v>
      </c>
      <c r="AD120" s="12">
        <f>IF(AD$110="Ano 2",$E$83,0)*(1+Aux.BDI!$G$49)</f>
        <v>0</v>
      </c>
      <c r="AE120" s="12">
        <f>IF(AE$110="Ano 2",$E$83,0)*(1+Aux.BDI!$G$49)</f>
        <v>0</v>
      </c>
      <c r="AF120" s="12">
        <f>IF(AF$110="Ano 2",$E$83,0)*(1+Aux.BDI!$G$49)</f>
        <v>0</v>
      </c>
      <c r="AG120" s="12">
        <f>IF(AG$110="Ano 2",$E$83,0)*(1+Aux.BDI!$G$49)</f>
        <v>0</v>
      </c>
      <c r="AH120" s="12">
        <f>IF(AH$110="Ano 2",$E$83,0)*(1+Aux.BDI!$G$49)</f>
        <v>0</v>
      </c>
      <c r="AI120" s="12">
        <f>IF(AI$110="Ano 2",$E$83,0)*(1+Aux.BDI!$G$49)</f>
        <v>0</v>
      </c>
      <c r="AJ120" s="12">
        <f>IF(AJ$110="Ano 2",$E$83,0)*(1+Aux.BDI!$G$49)</f>
        <v>0</v>
      </c>
      <c r="AK120" s="12">
        <f>IF(AK$110="Ano 2",$E$83,0)*(1+Aux.BDI!$G$49)</f>
        <v>0</v>
      </c>
      <c r="AL120" s="12">
        <f>IF(AL$110="Ano 2",$E$83,0)*(1+Aux.BDI!$G$49)</f>
        <v>0</v>
      </c>
    </row>
    <row r="121" spans="2:38">
      <c r="B121" s="324" t="s">
        <v>1051</v>
      </c>
      <c r="C121" s="12">
        <f>IF(C$110="Ano 2",$E$84,0)*(1+Aux.BDI!$G$49)</f>
        <v>0</v>
      </c>
      <c r="D121" s="12">
        <f>IF(D$110="Ano 2",$E$84,0)*(1+Aux.BDI!$G$49)</f>
        <v>0</v>
      </c>
      <c r="E121" s="12">
        <f>IF(E$110="Ano 2",$E$84,0)*(1+Aux.BDI!$G$49)</f>
        <v>2757.6082438719131</v>
      </c>
      <c r="F121" s="12">
        <f>IF(F$110="Ano 2",$E$84,0)*(1+Aux.BDI!$G$49)</f>
        <v>0</v>
      </c>
      <c r="G121" s="12">
        <f>IF(G$110="Ano 2",$E$84,0)*(1+Aux.BDI!$G$49)</f>
        <v>0</v>
      </c>
      <c r="H121" s="12">
        <f>IF(H$110="Ano 2",$E$84,0)*(1+Aux.BDI!$G$49)</f>
        <v>0</v>
      </c>
      <c r="I121" s="12">
        <f>IF(I$110="Ano 2",$E$84,0)*(1+Aux.BDI!$G$49)</f>
        <v>0</v>
      </c>
      <c r="J121" s="12">
        <f>IF(J$110="Ano 2",$E$84,0)*(1+Aux.BDI!$G$49)</f>
        <v>0</v>
      </c>
      <c r="K121" s="12">
        <f>IF(K$110="Ano 2",$E$84,0)*(1+Aux.BDI!$G$49)</f>
        <v>0</v>
      </c>
      <c r="L121" s="12">
        <f>IF(L$110="Ano 2",$E$84,0)*(1+Aux.BDI!$G$49)</f>
        <v>0</v>
      </c>
      <c r="M121" s="12">
        <f>IF(M$110="Ano 2",$E$84,0)*(1+Aux.BDI!$G$49)</f>
        <v>0</v>
      </c>
      <c r="N121" s="12">
        <f>IF(N$110="Ano 2",$E$84,0)*(1+Aux.BDI!$G$49)</f>
        <v>0</v>
      </c>
      <c r="O121" s="12">
        <f>IF(O$110="Ano 2",$E$84,0)*(1+Aux.BDI!$G$49)</f>
        <v>0</v>
      </c>
      <c r="P121" s="12">
        <f>IF(P$110="Ano 2",$E$84,0)*(1+Aux.BDI!$G$49)</f>
        <v>0</v>
      </c>
      <c r="Q121" s="12">
        <f>IF(Q$110="Ano 2",$E$84,0)*(1+Aux.BDI!$G$49)</f>
        <v>0</v>
      </c>
      <c r="R121" s="12">
        <f>IF(R$110="Ano 2",$E$84,0)*(1+Aux.BDI!$G$49)</f>
        <v>0</v>
      </c>
      <c r="S121" s="12">
        <f>IF(S$110="Ano 2",$E$84,0)*(1+Aux.BDI!$G$49)</f>
        <v>0</v>
      </c>
      <c r="T121" s="12">
        <f>IF(T$110="Ano 2",$E$84,0)*(1+Aux.BDI!$G$49)</f>
        <v>0</v>
      </c>
      <c r="U121" s="12">
        <f>IF(U$110="Ano 2",$E$84,0)*(1+Aux.BDI!$G$49)</f>
        <v>0</v>
      </c>
      <c r="V121" s="12">
        <f>IF(V$110="Ano 2",$E$84,0)*(1+Aux.BDI!$G$49)</f>
        <v>0</v>
      </c>
      <c r="W121" s="12">
        <f>IF(W$110="Ano 2",$E$84,0)*(1+Aux.BDI!$G$49)</f>
        <v>0</v>
      </c>
      <c r="X121" s="12">
        <f>IF(X$110="Ano 2",$E$84,0)*(1+Aux.BDI!$G$49)</f>
        <v>0</v>
      </c>
      <c r="Y121" s="12">
        <f>IF(Y$110="Ano 2",$E$84,0)*(1+Aux.BDI!$G$49)</f>
        <v>0</v>
      </c>
      <c r="Z121" s="12">
        <f>IF(Z$110="Ano 2",$E$84,0)*(1+Aux.BDI!$G$49)</f>
        <v>0</v>
      </c>
      <c r="AA121" s="12">
        <f>IF(AA$110="Ano 2",$E$84,0)*(1+Aux.BDI!$G$49)</f>
        <v>0</v>
      </c>
      <c r="AB121" s="12">
        <f>IF(AB$110="Ano 2",$E$84,0)*(1+Aux.BDI!$G$49)</f>
        <v>0</v>
      </c>
      <c r="AC121" s="12">
        <f>IF(AC$110="Ano 2",$E$84,0)*(1+Aux.BDI!$G$49)</f>
        <v>0</v>
      </c>
      <c r="AD121" s="12">
        <f>IF(AD$110="Ano 2",$E$84,0)*(1+Aux.BDI!$G$49)</f>
        <v>0</v>
      </c>
      <c r="AE121" s="12">
        <f>IF(AE$110="Ano 2",$E$84,0)*(1+Aux.BDI!$G$49)</f>
        <v>0</v>
      </c>
      <c r="AF121" s="12">
        <f>IF(AF$110="Ano 2",$E$84,0)*(1+Aux.BDI!$G$49)</f>
        <v>0</v>
      </c>
      <c r="AG121" s="12">
        <f>IF(AG$110="Ano 2",$E$84,0)*(1+Aux.BDI!$G$49)</f>
        <v>0</v>
      </c>
      <c r="AH121" s="12">
        <f>IF(AH$110="Ano 2",$E$84,0)*(1+Aux.BDI!$G$49)</f>
        <v>0</v>
      </c>
      <c r="AI121" s="12">
        <f>IF(AI$110="Ano 2",$E$84,0)*(1+Aux.BDI!$G$49)</f>
        <v>0</v>
      </c>
      <c r="AJ121" s="12">
        <f>IF(AJ$110="Ano 2",$E$84,0)*(1+Aux.BDI!$G$49)</f>
        <v>0</v>
      </c>
      <c r="AK121" s="12">
        <f>IF(AK$110="Ano 2",$E$84,0)*(1+Aux.BDI!$G$49)</f>
        <v>0</v>
      </c>
      <c r="AL121" s="12">
        <f>IF(AL$110="Ano 2",$E$84,0)*(1+Aux.BDI!$G$49)</f>
        <v>0</v>
      </c>
    </row>
    <row r="122" spans="2:38">
      <c r="B122" s="324" t="s">
        <v>1052</v>
      </c>
      <c r="C122" s="12">
        <f>IF(C$110="Ano 2",$E$85,0)*(1+Aux.BDI!$G$49)</f>
        <v>0</v>
      </c>
      <c r="D122" s="12">
        <f>IF(D$110="Ano 2",$E$85,0)*(1+Aux.BDI!$G$49)</f>
        <v>0</v>
      </c>
      <c r="E122" s="12">
        <f>IF(E$110="Ano 2",$E$85,0)*(1+Aux.BDI!$G$49)</f>
        <v>2089.6324026889479</v>
      </c>
      <c r="F122" s="12">
        <f>IF(F$110="Ano 2",$E$85,0)*(1+Aux.BDI!$G$49)</f>
        <v>0</v>
      </c>
      <c r="G122" s="12">
        <f>IF(G$110="Ano 2",$E$85,0)*(1+Aux.BDI!$G$49)</f>
        <v>0</v>
      </c>
      <c r="H122" s="12">
        <f>IF(H$110="Ano 2",$E$85,0)*(1+Aux.BDI!$G$49)</f>
        <v>0</v>
      </c>
      <c r="I122" s="12">
        <f>IF(I$110="Ano 2",$E$85,0)*(1+Aux.BDI!$G$49)</f>
        <v>0</v>
      </c>
      <c r="J122" s="12">
        <f>IF(J$110="Ano 2",$E$85,0)*(1+Aux.BDI!$G$49)</f>
        <v>0</v>
      </c>
      <c r="K122" s="12">
        <f>IF(K$110="Ano 2",$E$85,0)*(1+Aux.BDI!$G$49)</f>
        <v>0</v>
      </c>
      <c r="L122" s="12">
        <f>IF(L$110="Ano 2",$E$85,0)*(1+Aux.BDI!$G$49)</f>
        <v>0</v>
      </c>
      <c r="M122" s="12">
        <f>IF(M$110="Ano 2",$E$85,0)*(1+Aux.BDI!$G$49)</f>
        <v>0</v>
      </c>
      <c r="N122" s="12">
        <f>IF(N$110="Ano 2",$E$85,0)*(1+Aux.BDI!$G$49)</f>
        <v>0</v>
      </c>
      <c r="O122" s="12">
        <f>IF(O$110="Ano 2",$E$85,0)*(1+Aux.BDI!$G$49)</f>
        <v>0</v>
      </c>
      <c r="P122" s="12">
        <f>IF(P$110="Ano 2",$E$85,0)*(1+Aux.BDI!$G$49)</f>
        <v>0</v>
      </c>
      <c r="Q122" s="12">
        <f>IF(Q$110="Ano 2",$E$85,0)*(1+Aux.BDI!$G$49)</f>
        <v>0</v>
      </c>
      <c r="R122" s="12">
        <f>IF(R$110="Ano 2",$E$85,0)*(1+Aux.BDI!$G$49)</f>
        <v>0</v>
      </c>
      <c r="S122" s="12">
        <f>IF(S$110="Ano 2",$E$85,0)*(1+Aux.BDI!$G$49)</f>
        <v>0</v>
      </c>
      <c r="T122" s="12">
        <f>IF(T$110="Ano 2",$E$85,0)*(1+Aux.BDI!$G$49)</f>
        <v>0</v>
      </c>
      <c r="U122" s="12">
        <f>IF(U$110="Ano 2",$E$85,0)*(1+Aux.BDI!$G$49)</f>
        <v>0</v>
      </c>
      <c r="V122" s="12">
        <f>IF(V$110="Ano 2",$E$85,0)*(1+Aux.BDI!$G$49)</f>
        <v>0</v>
      </c>
      <c r="W122" s="12">
        <f>IF(W$110="Ano 2",$E$85,0)*(1+Aux.BDI!$G$49)</f>
        <v>0</v>
      </c>
      <c r="X122" s="12">
        <f>IF(X$110="Ano 2",$E$85,0)*(1+Aux.BDI!$G$49)</f>
        <v>0</v>
      </c>
      <c r="Y122" s="12">
        <f>IF(Y$110="Ano 2",$E$85,0)*(1+Aux.BDI!$G$49)</f>
        <v>0</v>
      </c>
      <c r="Z122" s="12">
        <f>IF(Z$110="Ano 2",$E$85,0)*(1+Aux.BDI!$G$49)</f>
        <v>0</v>
      </c>
      <c r="AA122" s="12">
        <f>IF(AA$110="Ano 2",$E$85,0)*(1+Aux.BDI!$G$49)</f>
        <v>0</v>
      </c>
      <c r="AB122" s="12">
        <f>IF(AB$110="Ano 2",$E$85,0)*(1+Aux.BDI!$G$49)</f>
        <v>0</v>
      </c>
      <c r="AC122" s="12">
        <f>IF(AC$110="Ano 2",$E$85,0)*(1+Aux.BDI!$G$49)</f>
        <v>0</v>
      </c>
      <c r="AD122" s="12">
        <f>IF(AD$110="Ano 2",$E$85,0)*(1+Aux.BDI!$G$49)</f>
        <v>0</v>
      </c>
      <c r="AE122" s="12">
        <f>IF(AE$110="Ano 2",$E$85,0)*(1+Aux.BDI!$G$49)</f>
        <v>0</v>
      </c>
      <c r="AF122" s="12">
        <f>IF(AF$110="Ano 2",$E$85,0)*(1+Aux.BDI!$G$49)</f>
        <v>0</v>
      </c>
      <c r="AG122" s="12">
        <f>IF(AG$110="Ano 2",$E$85,0)*(1+Aux.BDI!$G$49)</f>
        <v>0</v>
      </c>
      <c r="AH122" s="12">
        <f>IF(AH$110="Ano 2",$E$85,0)*(1+Aux.BDI!$G$49)</f>
        <v>0</v>
      </c>
      <c r="AI122" s="12">
        <f>IF(AI$110="Ano 2",$E$85,0)*(1+Aux.BDI!$G$49)</f>
        <v>0</v>
      </c>
      <c r="AJ122" s="12">
        <f>IF(AJ$110="Ano 2",$E$85,0)*(1+Aux.BDI!$G$49)</f>
        <v>0</v>
      </c>
      <c r="AK122" s="12">
        <f>IF(AK$110="Ano 2",$E$85,0)*(1+Aux.BDI!$G$49)</f>
        <v>0</v>
      </c>
      <c r="AL122" s="12">
        <f>IF(AL$110="Ano 2",$E$85,0)*(1+Aux.BDI!$G$49)</f>
        <v>0</v>
      </c>
    </row>
    <row r="123" spans="2:38">
      <c r="B123" s="324" t="s">
        <v>1053</v>
      </c>
      <c r="C123" s="12">
        <f>IF(C$110="Ano 2",$E$86,0)*(1+Aux.BDI!$G$49)</f>
        <v>0</v>
      </c>
      <c r="D123" s="12">
        <f>IF(D$110="Ano 2",$E$86,0)*(1+Aux.BDI!$G$49)</f>
        <v>0</v>
      </c>
      <c r="E123" s="12">
        <f>IF(E$110="Ano 2",$E$86,0)*(1+Aux.BDI!$G$49)</f>
        <v>3063.2006635117509</v>
      </c>
      <c r="F123" s="12">
        <f>IF(F$110="Ano 2",$E$86,0)*(1+Aux.BDI!$G$49)</f>
        <v>0</v>
      </c>
      <c r="G123" s="12">
        <f>IF(G$110="Ano 2",$E$86,0)*(1+Aux.BDI!$G$49)</f>
        <v>0</v>
      </c>
      <c r="H123" s="12">
        <f>IF(H$110="Ano 2",$E$86,0)*(1+Aux.BDI!$G$49)</f>
        <v>0</v>
      </c>
      <c r="I123" s="12">
        <f>IF(I$110="Ano 2",$E$86,0)*(1+Aux.BDI!$G$49)</f>
        <v>0</v>
      </c>
      <c r="J123" s="12">
        <f>IF(J$110="Ano 2",$E$86,0)*(1+Aux.BDI!$G$49)</f>
        <v>0</v>
      </c>
      <c r="K123" s="12">
        <f>IF(K$110="Ano 2",$E$86,0)*(1+Aux.BDI!$G$49)</f>
        <v>0</v>
      </c>
      <c r="L123" s="12">
        <f>IF(L$110="Ano 2",$E$86,0)*(1+Aux.BDI!$G$49)</f>
        <v>0</v>
      </c>
      <c r="M123" s="12">
        <f>IF(M$110="Ano 2",$E$86,0)*(1+Aux.BDI!$G$49)</f>
        <v>0</v>
      </c>
      <c r="N123" s="12">
        <f>IF(N$110="Ano 2",$E$86,0)*(1+Aux.BDI!$G$49)</f>
        <v>0</v>
      </c>
      <c r="O123" s="12">
        <f>IF(O$110="Ano 2",$E$86,0)*(1+Aux.BDI!$G$49)</f>
        <v>0</v>
      </c>
      <c r="P123" s="12">
        <f>IF(P$110="Ano 2",$E$86,0)*(1+Aux.BDI!$G$49)</f>
        <v>0</v>
      </c>
      <c r="Q123" s="12">
        <f>IF(Q$110="Ano 2",$E$86,0)*(1+Aux.BDI!$G$49)</f>
        <v>0</v>
      </c>
      <c r="R123" s="12">
        <f>IF(R$110="Ano 2",$E$86,0)*(1+Aux.BDI!$G$49)</f>
        <v>0</v>
      </c>
      <c r="S123" s="12">
        <f>IF(S$110="Ano 2",$E$86,0)*(1+Aux.BDI!$G$49)</f>
        <v>0</v>
      </c>
      <c r="T123" s="12">
        <f>IF(T$110="Ano 2",$E$86,0)*(1+Aux.BDI!$G$49)</f>
        <v>0</v>
      </c>
      <c r="U123" s="12">
        <f>IF(U$110="Ano 2",$E$86,0)*(1+Aux.BDI!$G$49)</f>
        <v>0</v>
      </c>
      <c r="V123" s="12">
        <f>IF(V$110="Ano 2",$E$86,0)*(1+Aux.BDI!$G$49)</f>
        <v>0</v>
      </c>
      <c r="W123" s="12">
        <f>IF(W$110="Ano 2",$E$86,0)*(1+Aux.BDI!$G$49)</f>
        <v>0</v>
      </c>
      <c r="X123" s="12">
        <f>IF(X$110="Ano 2",$E$86,0)*(1+Aux.BDI!$G$49)</f>
        <v>0</v>
      </c>
      <c r="Y123" s="12">
        <f>IF(Y$110="Ano 2",$E$86,0)*(1+Aux.BDI!$G$49)</f>
        <v>0</v>
      </c>
      <c r="Z123" s="12">
        <f>IF(Z$110="Ano 2",$E$86,0)*(1+Aux.BDI!$G$49)</f>
        <v>0</v>
      </c>
      <c r="AA123" s="12">
        <f>IF(AA$110="Ano 2",$E$86,0)*(1+Aux.BDI!$G$49)</f>
        <v>0</v>
      </c>
      <c r="AB123" s="12">
        <f>IF(AB$110="Ano 2",$E$86,0)*(1+Aux.BDI!$G$49)</f>
        <v>0</v>
      </c>
      <c r="AC123" s="12">
        <f>IF(AC$110="Ano 2",$E$86,0)*(1+Aux.BDI!$G$49)</f>
        <v>0</v>
      </c>
      <c r="AD123" s="12">
        <f>IF(AD$110="Ano 2",$E$86,0)*(1+Aux.BDI!$G$49)</f>
        <v>0</v>
      </c>
      <c r="AE123" s="12">
        <f>IF(AE$110="Ano 2",$E$86,0)*(1+Aux.BDI!$G$49)</f>
        <v>0</v>
      </c>
      <c r="AF123" s="12">
        <f>IF(AF$110="Ano 2",$E$86,0)*(1+Aux.BDI!$G$49)</f>
        <v>0</v>
      </c>
      <c r="AG123" s="12">
        <f>IF(AG$110="Ano 2",$E$86,0)*(1+Aux.BDI!$G$49)</f>
        <v>0</v>
      </c>
      <c r="AH123" s="12">
        <f>IF(AH$110="Ano 2",$E$86,0)*(1+Aux.BDI!$G$49)</f>
        <v>0</v>
      </c>
      <c r="AI123" s="12">
        <f>IF(AI$110="Ano 2",$E$86,0)*(1+Aux.BDI!$G$49)</f>
        <v>0</v>
      </c>
      <c r="AJ123" s="12">
        <f>IF(AJ$110="Ano 2",$E$86,0)*(1+Aux.BDI!$G$49)</f>
        <v>0</v>
      </c>
      <c r="AK123" s="12">
        <f>IF(AK$110="Ano 2",$E$86,0)*(1+Aux.BDI!$G$49)</f>
        <v>0</v>
      </c>
      <c r="AL123" s="12">
        <f>IF(AL$110="Ano 2",$E$86,0)*(1+Aux.BDI!$G$49)</f>
        <v>0</v>
      </c>
    </row>
    <row r="124" spans="2:38">
      <c r="B124" s="324" t="s">
        <v>1054</v>
      </c>
      <c r="C124" s="12">
        <f>IF(C$110="Ano 2",$E$87,0)*(1+Aux.BDI!$G$49)</f>
        <v>0</v>
      </c>
      <c r="D124" s="12">
        <f>IF(D$110="Ano 2",$E$87,0)*(1+Aux.BDI!$G$49)</f>
        <v>0</v>
      </c>
      <c r="E124" s="12">
        <f>IF(E$110="Ano 2",$E$87,0)*(1+Aux.BDI!$G$49)</f>
        <v>2254.7448490609158</v>
      </c>
      <c r="F124" s="12">
        <f>IF(F$110="Ano 2",$E$87,0)*(1+Aux.BDI!$G$49)</f>
        <v>0</v>
      </c>
      <c r="G124" s="12">
        <f>IF(G$110="Ano 2",$E$87,0)*(1+Aux.BDI!$G$49)</f>
        <v>0</v>
      </c>
      <c r="H124" s="12">
        <f>IF(H$110="Ano 2",$E$87,0)*(1+Aux.BDI!$G$49)</f>
        <v>0</v>
      </c>
      <c r="I124" s="12">
        <f>IF(I$110="Ano 2",$E$87,0)*(1+Aux.BDI!$G$49)</f>
        <v>0</v>
      </c>
      <c r="J124" s="12">
        <f>IF(J$110="Ano 2",$E$87,0)*(1+Aux.BDI!$G$49)</f>
        <v>0</v>
      </c>
      <c r="K124" s="12">
        <f>IF(K$110="Ano 2",$E$87,0)*(1+Aux.BDI!$G$49)</f>
        <v>0</v>
      </c>
      <c r="L124" s="12">
        <f>IF(L$110="Ano 2",$E$87,0)*(1+Aux.BDI!$G$49)</f>
        <v>0</v>
      </c>
      <c r="M124" s="12">
        <f>IF(M$110="Ano 2",$E$87,0)*(1+Aux.BDI!$G$49)</f>
        <v>0</v>
      </c>
      <c r="N124" s="12">
        <f>IF(N$110="Ano 2",$E$87,0)*(1+Aux.BDI!$G$49)</f>
        <v>0</v>
      </c>
      <c r="O124" s="12">
        <f>IF(O$110="Ano 2",$E$87,0)*(1+Aux.BDI!$G$49)</f>
        <v>0</v>
      </c>
      <c r="P124" s="12">
        <f>IF(P$110="Ano 2",$E$87,0)*(1+Aux.BDI!$G$49)</f>
        <v>0</v>
      </c>
      <c r="Q124" s="12">
        <f>IF(Q$110="Ano 2",$E$87,0)*(1+Aux.BDI!$G$49)</f>
        <v>0</v>
      </c>
      <c r="R124" s="12">
        <f>IF(R$110="Ano 2",$E$87,0)*(1+Aux.BDI!$G$49)</f>
        <v>0</v>
      </c>
      <c r="S124" s="12">
        <f>IF(S$110="Ano 2",$E$87,0)*(1+Aux.BDI!$G$49)</f>
        <v>0</v>
      </c>
      <c r="T124" s="12">
        <f>IF(T$110="Ano 2",$E$87,0)*(1+Aux.BDI!$G$49)</f>
        <v>0</v>
      </c>
      <c r="U124" s="12">
        <f>IF(U$110="Ano 2",$E$87,0)*(1+Aux.BDI!$G$49)</f>
        <v>0</v>
      </c>
      <c r="V124" s="12">
        <f>IF(V$110="Ano 2",$E$87,0)*(1+Aux.BDI!$G$49)</f>
        <v>0</v>
      </c>
      <c r="W124" s="12">
        <f>IF(W$110="Ano 2",$E$87,0)*(1+Aux.BDI!$G$49)</f>
        <v>0</v>
      </c>
      <c r="X124" s="12">
        <f>IF(X$110="Ano 2",$E$87,0)*(1+Aux.BDI!$G$49)</f>
        <v>0</v>
      </c>
      <c r="Y124" s="12">
        <f>IF(Y$110="Ano 2",$E$87,0)*(1+Aux.BDI!$G$49)</f>
        <v>0</v>
      </c>
      <c r="Z124" s="12">
        <f>IF(Z$110="Ano 2",$E$87,0)*(1+Aux.BDI!$G$49)</f>
        <v>0</v>
      </c>
      <c r="AA124" s="12">
        <f>IF(AA$110="Ano 2",$E$87,0)*(1+Aux.BDI!$G$49)</f>
        <v>0</v>
      </c>
      <c r="AB124" s="12">
        <f>IF(AB$110="Ano 2",$E$87,0)*(1+Aux.BDI!$G$49)</f>
        <v>0</v>
      </c>
      <c r="AC124" s="12">
        <f>IF(AC$110="Ano 2",$E$87,0)*(1+Aux.BDI!$G$49)</f>
        <v>0</v>
      </c>
      <c r="AD124" s="12">
        <f>IF(AD$110="Ano 2",$E$87,0)*(1+Aux.BDI!$G$49)</f>
        <v>0</v>
      </c>
      <c r="AE124" s="12">
        <f>IF(AE$110="Ano 2",$E$87,0)*(1+Aux.BDI!$G$49)</f>
        <v>0</v>
      </c>
      <c r="AF124" s="12">
        <f>IF(AF$110="Ano 2",$E$87,0)*(1+Aux.BDI!$G$49)</f>
        <v>0</v>
      </c>
      <c r="AG124" s="12">
        <f>IF(AG$110="Ano 2",$E$87,0)*(1+Aux.BDI!$G$49)</f>
        <v>0</v>
      </c>
      <c r="AH124" s="12">
        <f>IF(AH$110="Ano 2",$E$87,0)*(1+Aux.BDI!$G$49)</f>
        <v>0</v>
      </c>
      <c r="AI124" s="12">
        <f>IF(AI$110="Ano 2",$E$87,0)*(1+Aux.BDI!$G$49)</f>
        <v>0</v>
      </c>
      <c r="AJ124" s="12">
        <f>IF(AJ$110="Ano 2",$E$87,0)*(1+Aux.BDI!$G$49)</f>
        <v>0</v>
      </c>
      <c r="AK124" s="12">
        <f>IF(AK$110="Ano 2",$E$87,0)*(1+Aux.BDI!$G$49)</f>
        <v>0</v>
      </c>
      <c r="AL124" s="12">
        <f>IF(AL$110="Ano 2",$E$87,0)*(1+Aux.BDI!$G$49)</f>
        <v>0</v>
      </c>
    </row>
    <row r="125" spans="2:38">
      <c r="B125" s="324" t="s">
        <v>1055</v>
      </c>
      <c r="C125" s="12">
        <f>IF(C$110="Ano 2",$E$88,0)*(1+Aux.BDI!$G$49)</f>
        <v>0</v>
      </c>
      <c r="D125" s="12">
        <f>IF(D$110="Ano 2",$E$88,0)*(1+Aux.BDI!$G$49)</f>
        <v>0</v>
      </c>
      <c r="E125" s="12">
        <f>IF(E$110="Ano 2",$E$88,0)*(1+Aux.BDI!$G$49)</f>
        <v>2489.0355706384034</v>
      </c>
      <c r="F125" s="12">
        <f>IF(F$110="Ano 2",$E$88,0)*(1+Aux.BDI!$G$49)</f>
        <v>0</v>
      </c>
      <c r="G125" s="12">
        <f>IF(G$110="Ano 2",$E$88,0)*(1+Aux.BDI!$G$49)</f>
        <v>0</v>
      </c>
      <c r="H125" s="12">
        <f>IF(H$110="Ano 2",$E$88,0)*(1+Aux.BDI!$G$49)</f>
        <v>0</v>
      </c>
      <c r="I125" s="12">
        <f>IF(I$110="Ano 2",$E$88,0)*(1+Aux.BDI!$G$49)</f>
        <v>0</v>
      </c>
      <c r="J125" s="12">
        <f>IF(J$110="Ano 2",$E$88,0)*(1+Aux.BDI!$G$49)</f>
        <v>0</v>
      </c>
      <c r="K125" s="12">
        <f>IF(K$110="Ano 2",$E$88,0)*(1+Aux.BDI!$G$49)</f>
        <v>0</v>
      </c>
      <c r="L125" s="12">
        <f>IF(L$110="Ano 2",$E$88,0)*(1+Aux.BDI!$G$49)</f>
        <v>0</v>
      </c>
      <c r="M125" s="12">
        <f>IF(M$110="Ano 2",$E$88,0)*(1+Aux.BDI!$G$49)</f>
        <v>0</v>
      </c>
      <c r="N125" s="12">
        <f>IF(N$110="Ano 2",$E$88,0)*(1+Aux.BDI!$G$49)</f>
        <v>0</v>
      </c>
      <c r="O125" s="12">
        <f>IF(O$110="Ano 2",$E$88,0)*(1+Aux.BDI!$G$49)</f>
        <v>0</v>
      </c>
      <c r="P125" s="12">
        <f>IF(P$110="Ano 2",$E$88,0)*(1+Aux.BDI!$G$49)</f>
        <v>0</v>
      </c>
      <c r="Q125" s="12">
        <f>IF(Q$110="Ano 2",$E$88,0)*(1+Aux.BDI!$G$49)</f>
        <v>0</v>
      </c>
      <c r="R125" s="12">
        <f>IF(R$110="Ano 2",$E$88,0)*(1+Aux.BDI!$G$49)</f>
        <v>0</v>
      </c>
      <c r="S125" s="12">
        <f>IF(S$110="Ano 2",$E$88,0)*(1+Aux.BDI!$G$49)</f>
        <v>0</v>
      </c>
      <c r="T125" s="12">
        <f>IF(T$110="Ano 2",$E$88,0)*(1+Aux.BDI!$G$49)</f>
        <v>0</v>
      </c>
      <c r="U125" s="12">
        <f>IF(U$110="Ano 2",$E$88,0)*(1+Aux.BDI!$G$49)</f>
        <v>0</v>
      </c>
      <c r="V125" s="12">
        <f>IF(V$110="Ano 2",$E$88,0)*(1+Aux.BDI!$G$49)</f>
        <v>0</v>
      </c>
      <c r="W125" s="12">
        <f>IF(W$110="Ano 2",$E$88,0)*(1+Aux.BDI!$G$49)</f>
        <v>0</v>
      </c>
      <c r="X125" s="12">
        <f>IF(X$110="Ano 2",$E$88,0)*(1+Aux.BDI!$G$49)</f>
        <v>0</v>
      </c>
      <c r="Y125" s="12">
        <f>IF(Y$110="Ano 2",$E$88,0)*(1+Aux.BDI!$G$49)</f>
        <v>0</v>
      </c>
      <c r="Z125" s="12">
        <f>IF(Z$110="Ano 2",$E$88,0)*(1+Aux.BDI!$G$49)</f>
        <v>0</v>
      </c>
      <c r="AA125" s="12">
        <f>IF(AA$110="Ano 2",$E$88,0)*(1+Aux.BDI!$G$49)</f>
        <v>0</v>
      </c>
      <c r="AB125" s="12">
        <f>IF(AB$110="Ano 2",$E$88,0)*(1+Aux.BDI!$G$49)</f>
        <v>0</v>
      </c>
      <c r="AC125" s="12">
        <f>IF(AC$110="Ano 2",$E$88,0)*(1+Aux.BDI!$G$49)</f>
        <v>0</v>
      </c>
      <c r="AD125" s="12">
        <f>IF(AD$110="Ano 2",$E$88,0)*(1+Aux.BDI!$G$49)</f>
        <v>0</v>
      </c>
      <c r="AE125" s="12">
        <f>IF(AE$110="Ano 2",$E$88,0)*(1+Aux.BDI!$G$49)</f>
        <v>0</v>
      </c>
      <c r="AF125" s="12">
        <f>IF(AF$110="Ano 2",$E$88,0)*(1+Aux.BDI!$G$49)</f>
        <v>0</v>
      </c>
      <c r="AG125" s="12">
        <f>IF(AG$110="Ano 2",$E$88,0)*(1+Aux.BDI!$G$49)</f>
        <v>0</v>
      </c>
      <c r="AH125" s="12">
        <f>IF(AH$110="Ano 2",$E$88,0)*(1+Aux.BDI!$G$49)</f>
        <v>0</v>
      </c>
      <c r="AI125" s="12">
        <f>IF(AI$110="Ano 2",$E$88,0)*(1+Aux.BDI!$G$49)</f>
        <v>0</v>
      </c>
      <c r="AJ125" s="12">
        <f>IF(AJ$110="Ano 2",$E$88,0)*(1+Aux.BDI!$G$49)</f>
        <v>0</v>
      </c>
      <c r="AK125" s="12">
        <f>IF(AK$110="Ano 2",$E$88,0)*(1+Aux.BDI!$G$49)</f>
        <v>0</v>
      </c>
      <c r="AL125" s="12">
        <f>IF(AL$110="Ano 2",$E$88,0)*(1+Aux.BDI!$G$49)</f>
        <v>0</v>
      </c>
    </row>
    <row r="126" spans="2:38">
      <c r="B126" s="324" t="s">
        <v>1056</v>
      </c>
      <c r="C126" s="12">
        <f>IF(C$110="Ano 2",$E$89,0)*(1+Aux.BDI!$G$49)</f>
        <v>0</v>
      </c>
      <c r="D126" s="12">
        <f>IF(D$110="Ano 2",$E$89,0)*(1+Aux.BDI!$G$49)</f>
        <v>0</v>
      </c>
      <c r="E126" s="12">
        <f>IF(E$110="Ano 2",$E$89,0)*(1+Aux.BDI!$G$49)</f>
        <v>9740.2519991857662</v>
      </c>
      <c r="F126" s="12">
        <f>IF(F$110="Ano 2",$E$89,0)*(1+Aux.BDI!$G$49)</f>
        <v>0</v>
      </c>
      <c r="G126" s="12">
        <f>IF(G$110="Ano 2",$E$89,0)*(1+Aux.BDI!$G$49)</f>
        <v>0</v>
      </c>
      <c r="H126" s="12">
        <f>IF(H$110="Ano 2",$E$89,0)*(1+Aux.BDI!$G$49)</f>
        <v>0</v>
      </c>
      <c r="I126" s="12">
        <f>IF(I$110="Ano 2",$E$89,0)*(1+Aux.BDI!$G$49)</f>
        <v>0</v>
      </c>
      <c r="J126" s="12">
        <f>IF(J$110="Ano 2",$E$89,0)*(1+Aux.BDI!$G$49)</f>
        <v>0</v>
      </c>
      <c r="K126" s="12">
        <f>IF(K$110="Ano 2",$E$89,0)*(1+Aux.BDI!$G$49)</f>
        <v>0</v>
      </c>
      <c r="L126" s="12">
        <f>IF(L$110="Ano 2",$E$89,0)*(1+Aux.BDI!$G$49)</f>
        <v>0</v>
      </c>
      <c r="M126" s="12">
        <f>IF(M$110="Ano 2",$E$89,0)*(1+Aux.BDI!$G$49)</f>
        <v>0</v>
      </c>
      <c r="N126" s="12">
        <f>IF(N$110="Ano 2",$E$89,0)*(1+Aux.BDI!$G$49)</f>
        <v>0</v>
      </c>
      <c r="O126" s="12">
        <f>IF(O$110="Ano 2",$E$89,0)*(1+Aux.BDI!$G$49)</f>
        <v>0</v>
      </c>
      <c r="P126" s="12">
        <f>IF(P$110="Ano 2",$E$89,0)*(1+Aux.BDI!$G$49)</f>
        <v>0</v>
      </c>
      <c r="Q126" s="12">
        <f>IF(Q$110="Ano 2",$E$89,0)*(1+Aux.BDI!$G$49)</f>
        <v>0</v>
      </c>
      <c r="R126" s="12">
        <f>IF(R$110="Ano 2",$E$89,0)*(1+Aux.BDI!$G$49)</f>
        <v>0</v>
      </c>
      <c r="S126" s="12">
        <f>IF(S$110="Ano 2",$E$89,0)*(1+Aux.BDI!$G$49)</f>
        <v>0</v>
      </c>
      <c r="T126" s="12">
        <f>IF(T$110="Ano 2",$E$89,0)*(1+Aux.BDI!$G$49)</f>
        <v>0</v>
      </c>
      <c r="U126" s="12">
        <f>IF(U$110="Ano 2",$E$89,0)*(1+Aux.BDI!$G$49)</f>
        <v>0</v>
      </c>
      <c r="V126" s="12">
        <f>IF(V$110="Ano 2",$E$89,0)*(1+Aux.BDI!$G$49)</f>
        <v>0</v>
      </c>
      <c r="W126" s="12">
        <f>IF(W$110="Ano 2",$E$89,0)*(1+Aux.BDI!$G$49)</f>
        <v>0</v>
      </c>
      <c r="X126" s="12">
        <f>IF(X$110="Ano 2",$E$89,0)*(1+Aux.BDI!$G$49)</f>
        <v>0</v>
      </c>
      <c r="Y126" s="12">
        <f>IF(Y$110="Ano 2",$E$89,0)*(1+Aux.BDI!$G$49)</f>
        <v>0</v>
      </c>
      <c r="Z126" s="12">
        <f>IF(Z$110="Ano 2",$E$89,0)*(1+Aux.BDI!$G$49)</f>
        <v>0</v>
      </c>
      <c r="AA126" s="12">
        <f>IF(AA$110="Ano 2",$E$89,0)*(1+Aux.BDI!$G$49)</f>
        <v>0</v>
      </c>
      <c r="AB126" s="12">
        <f>IF(AB$110="Ano 2",$E$89,0)*(1+Aux.BDI!$G$49)</f>
        <v>0</v>
      </c>
      <c r="AC126" s="12">
        <f>IF(AC$110="Ano 2",$E$89,0)*(1+Aux.BDI!$G$49)</f>
        <v>0</v>
      </c>
      <c r="AD126" s="12">
        <f>IF(AD$110="Ano 2",$E$89,0)*(1+Aux.BDI!$G$49)</f>
        <v>0</v>
      </c>
      <c r="AE126" s="12">
        <f>IF(AE$110="Ano 2",$E$89,0)*(1+Aux.BDI!$G$49)</f>
        <v>0</v>
      </c>
      <c r="AF126" s="12">
        <f>IF(AF$110="Ano 2",$E$89,0)*(1+Aux.BDI!$G$49)</f>
        <v>0</v>
      </c>
      <c r="AG126" s="12">
        <f>IF(AG$110="Ano 2",$E$89,0)*(1+Aux.BDI!$G$49)</f>
        <v>0</v>
      </c>
      <c r="AH126" s="12">
        <f>IF(AH$110="Ano 2",$E$89,0)*(1+Aux.BDI!$G$49)</f>
        <v>0</v>
      </c>
      <c r="AI126" s="12">
        <f>IF(AI$110="Ano 2",$E$89,0)*(1+Aux.BDI!$G$49)</f>
        <v>0</v>
      </c>
      <c r="AJ126" s="12">
        <f>IF(AJ$110="Ano 2",$E$89,0)*(1+Aux.BDI!$G$49)</f>
        <v>0</v>
      </c>
      <c r="AK126" s="12">
        <f>IF(AK$110="Ano 2",$E$89,0)*(1+Aux.BDI!$G$49)</f>
        <v>0</v>
      </c>
      <c r="AL126" s="12">
        <f>IF(AL$110="Ano 2",$E$89,0)*(1+Aux.BDI!$G$49)</f>
        <v>0</v>
      </c>
    </row>
    <row r="129" spans="2:77">
      <c r="N129" s="320"/>
    </row>
    <row r="130" spans="2:77" ht="15.6">
      <c r="B130" s="789" t="s">
        <v>1413</v>
      </c>
    </row>
    <row r="131" spans="2:77" ht="10.15" customHeight="1">
      <c r="B131" s="789"/>
      <c r="E131" s="316" t="s">
        <v>84</v>
      </c>
      <c r="F131" s="316" t="s">
        <v>86</v>
      </c>
      <c r="G131" s="316" t="s">
        <v>92</v>
      </c>
      <c r="H131" s="316" t="s">
        <v>93</v>
      </c>
      <c r="I131" s="316" t="s">
        <v>94</v>
      </c>
      <c r="J131" s="316" t="s">
        <v>95</v>
      </c>
      <c r="K131" s="316" t="s">
        <v>96</v>
      </c>
      <c r="L131" s="316" t="s">
        <v>97</v>
      </c>
      <c r="M131" s="316" t="s">
        <v>98</v>
      </c>
      <c r="N131" s="316" t="s">
        <v>99</v>
      </c>
      <c r="O131" s="316" t="s">
        <v>100</v>
      </c>
      <c r="P131" s="316" t="s">
        <v>101</v>
      </c>
      <c r="Q131" s="316" t="s">
        <v>102</v>
      </c>
      <c r="R131" s="316" t="s">
        <v>103</v>
      </c>
      <c r="S131" s="316" t="s">
        <v>104</v>
      </c>
      <c r="T131" s="316" t="s">
        <v>105</v>
      </c>
      <c r="U131" s="316" t="s">
        <v>106</v>
      </c>
      <c r="V131" s="316" t="s">
        <v>107</v>
      </c>
      <c r="W131" s="316" t="s">
        <v>108</v>
      </c>
      <c r="X131" s="316" t="s">
        <v>109</v>
      </c>
      <c r="Y131" s="316" t="s">
        <v>110</v>
      </c>
      <c r="Z131" s="316" t="s">
        <v>111</v>
      </c>
      <c r="AA131" s="316" t="s">
        <v>112</v>
      </c>
      <c r="AB131" s="316" t="s">
        <v>113</v>
      </c>
      <c r="AC131" s="316" t="s">
        <v>114</v>
      </c>
      <c r="AD131" s="316" t="s">
        <v>115</v>
      </c>
      <c r="AE131" s="316" t="s">
        <v>116</v>
      </c>
      <c r="AF131" s="316" t="s">
        <v>117</v>
      </c>
      <c r="AG131" s="316" t="s">
        <v>118</v>
      </c>
      <c r="AH131" s="316" t="s">
        <v>119</v>
      </c>
      <c r="AI131" s="316" t="s">
        <v>120</v>
      </c>
      <c r="AJ131" s="316" t="s">
        <v>121</v>
      </c>
      <c r="AK131" s="316" t="s">
        <v>122</v>
      </c>
      <c r="AL131" s="316" t="s">
        <v>123</v>
      </c>
      <c r="AM131" s="316" t="s">
        <v>124</v>
      </c>
      <c r="AQ131" s="266">
        <v>1</v>
      </c>
      <c r="AR131" s="266">
        <v>2</v>
      </c>
      <c r="AS131" s="266">
        <v>3</v>
      </c>
      <c r="AT131" s="266">
        <v>4</v>
      </c>
      <c r="AU131" s="266">
        <v>5</v>
      </c>
      <c r="AV131" s="266">
        <v>6</v>
      </c>
      <c r="AW131" s="266">
        <v>7</v>
      </c>
      <c r="AX131" s="266">
        <v>8</v>
      </c>
      <c r="AY131" s="266">
        <v>9</v>
      </c>
      <c r="AZ131" s="266">
        <v>10</v>
      </c>
      <c r="BA131" s="266">
        <v>11</v>
      </c>
      <c r="BB131" s="266">
        <v>12</v>
      </c>
      <c r="BC131" s="266">
        <v>13</v>
      </c>
      <c r="BD131" s="266">
        <v>14</v>
      </c>
      <c r="BE131" s="266">
        <v>15</v>
      </c>
      <c r="BF131" s="266">
        <v>16</v>
      </c>
      <c r="BG131" s="266">
        <v>17</v>
      </c>
      <c r="BH131" s="266">
        <v>18</v>
      </c>
      <c r="BI131" s="266">
        <v>19</v>
      </c>
      <c r="BJ131" s="266">
        <v>20</v>
      </c>
      <c r="BK131" s="266">
        <v>21</v>
      </c>
      <c r="BL131" s="266">
        <v>22</v>
      </c>
      <c r="BM131" s="266">
        <v>23</v>
      </c>
      <c r="BN131" s="266">
        <v>24</v>
      </c>
      <c r="BO131" s="266">
        <v>25</v>
      </c>
      <c r="BP131" s="266">
        <v>26</v>
      </c>
      <c r="BQ131" s="266">
        <v>27</v>
      </c>
      <c r="BR131" s="266">
        <v>28</v>
      </c>
      <c r="BS131" s="266">
        <v>29</v>
      </c>
      <c r="BT131" s="266">
        <v>30</v>
      </c>
      <c r="BU131" s="266">
        <v>31</v>
      </c>
      <c r="BV131" s="266">
        <v>32</v>
      </c>
      <c r="BW131" s="266">
        <v>33</v>
      </c>
      <c r="BX131" s="266">
        <v>34</v>
      </c>
      <c r="BY131" s="266">
        <v>35</v>
      </c>
    </row>
    <row r="132" spans="2:77" ht="10.15" customHeight="1">
      <c r="E132" s="319">
        <f t="array" ref="E132:AM132">TRANSPOSE(D133:D167)</f>
        <v>0</v>
      </c>
      <c r="F132" s="319">
        <v>0</v>
      </c>
      <c r="G132" s="319">
        <v>11980.428554722606</v>
      </c>
      <c r="H132" s="319">
        <v>0</v>
      </c>
      <c r="I132" s="319">
        <v>0</v>
      </c>
      <c r="J132" s="319">
        <v>0</v>
      </c>
      <c r="K132" s="319">
        <v>0</v>
      </c>
      <c r="L132" s="319">
        <v>0</v>
      </c>
      <c r="M132" s="319">
        <v>0</v>
      </c>
      <c r="N132" s="319">
        <v>0</v>
      </c>
      <c r="O132" s="319">
        <v>0</v>
      </c>
      <c r="P132" s="319">
        <v>0</v>
      </c>
      <c r="Q132" s="319">
        <v>0</v>
      </c>
      <c r="R132" s="319">
        <v>0</v>
      </c>
      <c r="S132" s="319">
        <v>0</v>
      </c>
      <c r="T132" s="319">
        <v>0</v>
      </c>
      <c r="U132" s="319">
        <v>0</v>
      </c>
      <c r="V132" s="319">
        <v>0</v>
      </c>
      <c r="W132" s="319">
        <v>0</v>
      </c>
      <c r="X132" s="319">
        <v>0</v>
      </c>
      <c r="Y132" s="319">
        <v>0</v>
      </c>
      <c r="Z132" s="319">
        <v>0</v>
      </c>
      <c r="AA132" s="319">
        <v>0</v>
      </c>
      <c r="AB132" s="319">
        <v>0</v>
      </c>
      <c r="AC132" s="319">
        <v>0</v>
      </c>
      <c r="AD132" s="319">
        <v>0</v>
      </c>
      <c r="AE132" s="319">
        <v>0</v>
      </c>
      <c r="AF132" s="319">
        <v>0</v>
      </c>
      <c r="AG132" s="319">
        <v>0</v>
      </c>
      <c r="AH132" s="319">
        <v>0</v>
      </c>
      <c r="AI132" s="319">
        <v>0</v>
      </c>
      <c r="AJ132" s="319">
        <v>0</v>
      </c>
      <c r="AK132" s="319">
        <v>0</v>
      </c>
      <c r="AL132" s="319">
        <v>0</v>
      </c>
      <c r="AM132" s="319">
        <v>0</v>
      </c>
      <c r="AP132" s="266" t="s">
        <v>84</v>
      </c>
      <c r="AQ132" s="325">
        <v>0</v>
      </c>
      <c r="AR132" s="325">
        <v>0</v>
      </c>
      <c r="AS132" s="325">
        <v>0</v>
      </c>
      <c r="AT132" s="325">
        <v>0</v>
      </c>
      <c r="AU132" s="325">
        <v>0</v>
      </c>
      <c r="AV132" s="325">
        <v>0</v>
      </c>
      <c r="AW132" s="325">
        <v>0</v>
      </c>
      <c r="AX132" s="325">
        <v>0</v>
      </c>
      <c r="AY132" s="325">
        <v>0</v>
      </c>
      <c r="AZ132" s="325">
        <v>0</v>
      </c>
      <c r="BA132" s="325">
        <v>0</v>
      </c>
      <c r="BB132" s="325">
        <v>0</v>
      </c>
      <c r="BC132" s="325">
        <v>0</v>
      </c>
      <c r="BD132" s="325">
        <v>0</v>
      </c>
      <c r="BE132" s="325">
        <v>0</v>
      </c>
      <c r="BF132" s="325">
        <v>0</v>
      </c>
      <c r="BG132" s="325">
        <v>0</v>
      </c>
      <c r="BH132" s="325">
        <v>0</v>
      </c>
      <c r="BI132" s="325">
        <v>0</v>
      </c>
      <c r="BJ132" s="325">
        <v>0</v>
      </c>
      <c r="BK132" s="325">
        <v>0</v>
      </c>
      <c r="BL132" s="325">
        <v>0</v>
      </c>
      <c r="BM132" s="325">
        <v>0</v>
      </c>
      <c r="BN132" s="325">
        <v>0</v>
      </c>
      <c r="BO132" s="325">
        <v>0</v>
      </c>
      <c r="BP132" s="325">
        <v>0</v>
      </c>
      <c r="BQ132" s="325">
        <v>0</v>
      </c>
      <c r="BR132" s="325">
        <v>0</v>
      </c>
      <c r="BS132" s="325">
        <v>0</v>
      </c>
      <c r="BT132" s="325">
        <v>0</v>
      </c>
      <c r="BU132" s="325">
        <v>0</v>
      </c>
      <c r="BV132" s="325">
        <v>0</v>
      </c>
      <c r="BW132" s="325">
        <v>0</v>
      </c>
      <c r="BX132" s="325">
        <v>0</v>
      </c>
      <c r="BY132" s="325">
        <v>0</v>
      </c>
    </row>
    <row r="133" spans="2:77" ht="10.15" customHeight="1">
      <c r="B133" s="324" t="s">
        <v>84</v>
      </c>
      <c r="D133" s="319">
        <f t="shared" ref="D133:D166" si="14">SUM(E133:AM133)</f>
        <v>0</v>
      </c>
      <c r="E133" s="319">
        <f t="shared" ref="E133:E166" si="15">IFERROR((D$112+D$113+D$123+D$124)*AQ133,0)</f>
        <v>0</v>
      </c>
      <c r="F133" s="319">
        <f t="shared" ref="F133:F166" si="16">IFERROR((E$112+E$113+E$123+E$124)*AR133,0)</f>
        <v>0</v>
      </c>
      <c r="G133" s="319">
        <f t="shared" ref="G133:G166" si="17">IFERROR((F$112+F$113+F$123+F$124)*AS133,0)</f>
        <v>0</v>
      </c>
      <c r="H133" s="319">
        <f t="shared" ref="H133:H166" si="18">IFERROR((G$112+G$113+G$123+G$124)*AT133,0)</f>
        <v>0</v>
      </c>
      <c r="I133" s="319">
        <f t="shared" ref="I133:I166" si="19">IFERROR((H$112+H$113+H$123+H$124)*AU133,0)</f>
        <v>0</v>
      </c>
      <c r="J133" s="319">
        <f t="shared" ref="J133:J166" si="20">IFERROR((I$112+I$113+I$123+I$124)*AV133,0)</f>
        <v>0</v>
      </c>
      <c r="K133" s="319">
        <f t="shared" ref="K133:K166" si="21">IFERROR((J$112+J$113+J$123+J$124)*AW133,0)</f>
        <v>0</v>
      </c>
      <c r="L133" s="319">
        <f t="shared" ref="L133:L166" si="22">IFERROR((K$112+K$113+K$123+K$124)*AX133,0)</f>
        <v>0</v>
      </c>
      <c r="M133" s="319">
        <f t="shared" ref="M133:M166" si="23">IFERROR((L$112+L$113+L$123+L$124)*AY133,0)</f>
        <v>0</v>
      </c>
      <c r="N133" s="319">
        <f t="shared" ref="N133:N166" si="24">IFERROR((M$112+M$113+M$123+M$124)*AZ133,0)</f>
        <v>0</v>
      </c>
      <c r="O133" s="319">
        <f t="shared" ref="O133:O166" si="25">IFERROR((N$112+N$113+N$123+N$124)*BA133,0)</f>
        <v>0</v>
      </c>
      <c r="P133" s="319">
        <f t="shared" ref="P133:P166" si="26">IFERROR((O$112+O$113+O$123+O$124)*BB133,0)</f>
        <v>0</v>
      </c>
      <c r="Q133" s="319">
        <f t="shared" ref="Q133:Q166" si="27">IFERROR((P$112+P$113+P$123+P$124)*BC133,0)</f>
        <v>0</v>
      </c>
      <c r="R133" s="319">
        <f t="shared" ref="R133:R166" si="28">IFERROR((Q$112+Q$113+Q$123+Q$124)*BD133,0)</f>
        <v>0</v>
      </c>
      <c r="S133" s="319">
        <f t="shared" ref="S133:S166" si="29">IFERROR((R$112+R$113+R$123+R$124)*BE133,0)</f>
        <v>0</v>
      </c>
      <c r="T133" s="319">
        <f t="shared" ref="T133:T166" si="30">IFERROR((S$112+S$113+S$123+S$124)*BF133,0)</f>
        <v>0</v>
      </c>
      <c r="U133" s="319">
        <f t="shared" ref="U133:U166" si="31">IFERROR((T$112+T$113+T$123+T$124)*BG133,0)</f>
        <v>0</v>
      </c>
      <c r="V133" s="319">
        <f t="shared" ref="V133:V166" si="32">IFERROR((U$112+U$113+U$123+U$124)*BH133,0)</f>
        <v>0</v>
      </c>
      <c r="W133" s="319">
        <f t="shared" ref="W133:W166" si="33">IFERROR((V$112+V$113+V$123+V$124)*BI133,0)</f>
        <v>0</v>
      </c>
      <c r="X133" s="319">
        <f t="shared" ref="X133:X166" si="34">IFERROR((W$112+W$113+W$123+W$124)*BJ133,0)</f>
        <v>0</v>
      </c>
      <c r="Y133" s="319">
        <f t="shared" ref="Y133:Y166" si="35">IFERROR((X$112+X$113+X$123+X$124)*BK133,0)</f>
        <v>0</v>
      </c>
      <c r="Z133" s="319">
        <f t="shared" ref="Z133:Z166" si="36">IFERROR((Y$112+Y$113+Y$123+Y$124)*BL133,0)</f>
        <v>0</v>
      </c>
      <c r="AA133" s="319">
        <f t="shared" ref="AA133:AA166" si="37">IFERROR((Z$112+Z$113+Z$123+Z$124)*BM133,0)</f>
        <v>0</v>
      </c>
      <c r="AB133" s="319">
        <f t="shared" ref="AB133:AB166" si="38">IFERROR((AA$112+AA$113+AA$123+AA$124)*BN133,0)</f>
        <v>0</v>
      </c>
      <c r="AC133" s="319">
        <f t="shared" ref="AC133:AC166" si="39">IFERROR((AB$112+AB$113+AB$123+AB$124)*BO133,0)</f>
        <v>0</v>
      </c>
      <c r="AD133" s="319">
        <f t="shared" ref="AD133:AD166" si="40">IFERROR((AC$112+AC$113+AC$123+AC$124)*BP133,0)</f>
        <v>0</v>
      </c>
      <c r="AE133" s="319">
        <f t="shared" ref="AE133:AE166" si="41">IFERROR((AD$112+AD$113+AD$123+AD$124)*BQ133,0)</f>
        <v>0</v>
      </c>
      <c r="AF133" s="319">
        <f t="shared" ref="AF133:AF166" si="42">IFERROR((AE$112+AE$113+AE$123+AE$124)*BR133,0)</f>
        <v>0</v>
      </c>
      <c r="AG133" s="319">
        <f t="shared" ref="AG133:AG166" si="43">IFERROR((AF$112+AF$113+AF$123+AF$124)*BS133,0)</f>
        <v>0</v>
      </c>
      <c r="AH133" s="319">
        <f t="shared" ref="AH133:AH166" si="44">IFERROR((AG$112+AG$113+AG$123+AG$124)*BT133,0)</f>
        <v>0</v>
      </c>
      <c r="AI133" s="319">
        <f t="shared" ref="AI133:AI166" si="45">IFERROR((AH$112+AH$113+AH$123+AH$124)*BU133,0)</f>
        <v>0</v>
      </c>
      <c r="AJ133" s="319">
        <f t="shared" ref="AJ133:AJ166" si="46">IFERROR((AI$112+AI$113+AI$123+AI$124)*BV133,0)</f>
        <v>0</v>
      </c>
      <c r="AK133" s="319">
        <f t="shared" ref="AK133:AK166" si="47">IFERROR((AJ$112+AJ$113+AJ$123+AJ$124)*BW133,0)</f>
        <v>0</v>
      </c>
      <c r="AL133" s="319">
        <f t="shared" ref="AL133:AL166" si="48">IFERROR((AK$112+AK$113+AK$123+AK$124)*BX133,0)</f>
        <v>0</v>
      </c>
      <c r="AM133" s="319">
        <f t="shared" ref="AM133:AM166" si="49">IFERROR((AL$112+AL$113+AL$123+AL$124)*BY133,0)</f>
        <v>0</v>
      </c>
      <c r="AP133" s="266" t="s">
        <v>86</v>
      </c>
      <c r="AQ133" s="325">
        <v>0</v>
      </c>
      <c r="AR133" s="325">
        <v>0</v>
      </c>
      <c r="AS133" s="325">
        <v>0</v>
      </c>
      <c r="AT133" s="325">
        <v>0</v>
      </c>
      <c r="AU133" s="325">
        <v>0</v>
      </c>
      <c r="AV133" s="325">
        <v>0</v>
      </c>
      <c r="AW133" s="325">
        <v>0</v>
      </c>
      <c r="AX133" s="325">
        <v>0</v>
      </c>
      <c r="AY133" s="325">
        <v>0</v>
      </c>
      <c r="AZ133" s="325">
        <v>0</v>
      </c>
      <c r="BA133" s="325">
        <v>0</v>
      </c>
      <c r="BB133" s="325">
        <v>0</v>
      </c>
      <c r="BC133" s="325">
        <v>0</v>
      </c>
      <c r="BD133" s="325">
        <v>0</v>
      </c>
      <c r="BE133" s="325">
        <v>0</v>
      </c>
      <c r="BF133" s="325">
        <v>0</v>
      </c>
      <c r="BG133" s="325">
        <v>0</v>
      </c>
      <c r="BH133" s="325">
        <v>0</v>
      </c>
      <c r="BI133" s="325">
        <v>0</v>
      </c>
      <c r="BJ133" s="325">
        <v>0</v>
      </c>
      <c r="BK133" s="325">
        <v>0</v>
      </c>
      <c r="BL133" s="325">
        <v>0</v>
      </c>
      <c r="BM133" s="325">
        <v>0</v>
      </c>
      <c r="BN133" s="325">
        <v>0</v>
      </c>
      <c r="BO133" s="325">
        <v>0</v>
      </c>
      <c r="BP133" s="325">
        <v>0</v>
      </c>
      <c r="BQ133" s="325">
        <v>0</v>
      </c>
      <c r="BR133" s="325">
        <v>0</v>
      </c>
      <c r="BS133" s="325">
        <v>0</v>
      </c>
      <c r="BT133" s="325">
        <v>0</v>
      </c>
      <c r="BU133" s="325">
        <v>0</v>
      </c>
      <c r="BV133" s="325">
        <v>0</v>
      </c>
      <c r="BW133" s="325">
        <v>0</v>
      </c>
      <c r="BX133" s="325">
        <v>0</v>
      </c>
      <c r="BY133" s="325">
        <v>0</v>
      </c>
    </row>
    <row r="134" spans="2:77" ht="10.15" customHeight="1">
      <c r="B134" s="324" t="s">
        <v>86</v>
      </c>
      <c r="D134" s="319">
        <f t="shared" si="14"/>
        <v>0</v>
      </c>
      <c r="E134" s="319">
        <f t="shared" si="15"/>
        <v>0</v>
      </c>
      <c r="F134" s="319">
        <f t="shared" si="16"/>
        <v>0</v>
      </c>
      <c r="G134" s="319">
        <f t="shared" si="17"/>
        <v>0</v>
      </c>
      <c r="H134" s="319">
        <f t="shared" si="18"/>
        <v>0</v>
      </c>
      <c r="I134" s="319">
        <f t="shared" si="19"/>
        <v>0</v>
      </c>
      <c r="J134" s="319">
        <f t="shared" si="20"/>
        <v>0</v>
      </c>
      <c r="K134" s="319">
        <f t="shared" si="21"/>
        <v>0</v>
      </c>
      <c r="L134" s="319">
        <f t="shared" si="22"/>
        <v>0</v>
      </c>
      <c r="M134" s="319">
        <f t="shared" si="23"/>
        <v>0</v>
      </c>
      <c r="N134" s="319">
        <f t="shared" si="24"/>
        <v>0</v>
      </c>
      <c r="O134" s="319">
        <f t="shared" si="25"/>
        <v>0</v>
      </c>
      <c r="P134" s="319">
        <f t="shared" si="26"/>
        <v>0</v>
      </c>
      <c r="Q134" s="319">
        <f t="shared" si="27"/>
        <v>0</v>
      </c>
      <c r="R134" s="319">
        <f t="shared" si="28"/>
        <v>0</v>
      </c>
      <c r="S134" s="319">
        <f t="shared" si="29"/>
        <v>0</v>
      </c>
      <c r="T134" s="319">
        <f t="shared" si="30"/>
        <v>0</v>
      </c>
      <c r="U134" s="319">
        <f t="shared" si="31"/>
        <v>0</v>
      </c>
      <c r="V134" s="319">
        <f t="shared" si="32"/>
        <v>0</v>
      </c>
      <c r="W134" s="319">
        <f t="shared" si="33"/>
        <v>0</v>
      </c>
      <c r="X134" s="319">
        <f t="shared" si="34"/>
        <v>0</v>
      </c>
      <c r="Y134" s="319">
        <f t="shared" si="35"/>
        <v>0</v>
      </c>
      <c r="Z134" s="319">
        <f t="shared" si="36"/>
        <v>0</v>
      </c>
      <c r="AA134" s="319">
        <f t="shared" si="37"/>
        <v>0</v>
      </c>
      <c r="AB134" s="319">
        <f t="shared" si="38"/>
        <v>0</v>
      </c>
      <c r="AC134" s="319">
        <f t="shared" si="39"/>
        <v>0</v>
      </c>
      <c r="AD134" s="319">
        <f t="shared" si="40"/>
        <v>0</v>
      </c>
      <c r="AE134" s="319">
        <f t="shared" si="41"/>
        <v>0</v>
      </c>
      <c r="AF134" s="319">
        <f t="shared" si="42"/>
        <v>0</v>
      </c>
      <c r="AG134" s="319">
        <f t="shared" si="43"/>
        <v>0</v>
      </c>
      <c r="AH134" s="319">
        <f t="shared" si="44"/>
        <v>0</v>
      </c>
      <c r="AI134" s="319">
        <f t="shared" si="45"/>
        <v>0</v>
      </c>
      <c r="AJ134" s="319">
        <f t="shared" si="46"/>
        <v>0</v>
      </c>
      <c r="AK134" s="319">
        <f t="shared" si="47"/>
        <v>0</v>
      </c>
      <c r="AL134" s="319">
        <f t="shared" si="48"/>
        <v>0</v>
      </c>
      <c r="AM134" s="319">
        <f t="shared" si="49"/>
        <v>0</v>
      </c>
      <c r="AP134" s="266" t="s">
        <v>92</v>
      </c>
      <c r="AQ134" s="326">
        <v>1</v>
      </c>
      <c r="AR134" s="266">
        <v>0</v>
      </c>
      <c r="AS134" s="325">
        <v>0</v>
      </c>
      <c r="AT134" s="325">
        <v>0</v>
      </c>
      <c r="AU134" s="325">
        <v>0</v>
      </c>
      <c r="AV134" s="325">
        <v>0</v>
      </c>
      <c r="AW134" s="325">
        <v>0</v>
      </c>
      <c r="AX134" s="325">
        <v>0</v>
      </c>
      <c r="AY134" s="325">
        <v>0</v>
      </c>
      <c r="AZ134" s="325">
        <v>0</v>
      </c>
      <c r="BA134" s="325">
        <v>0</v>
      </c>
      <c r="BB134" s="325">
        <v>0</v>
      </c>
      <c r="BC134" s="325">
        <v>0</v>
      </c>
      <c r="BD134" s="325">
        <v>0</v>
      </c>
      <c r="BE134" s="325">
        <v>0</v>
      </c>
      <c r="BF134" s="325">
        <v>0</v>
      </c>
      <c r="BG134" s="325">
        <v>0</v>
      </c>
      <c r="BH134" s="325">
        <v>0</v>
      </c>
      <c r="BI134" s="325">
        <v>0</v>
      </c>
      <c r="BJ134" s="325">
        <v>0</v>
      </c>
      <c r="BK134" s="325">
        <v>0</v>
      </c>
      <c r="BL134" s="325">
        <v>0</v>
      </c>
      <c r="BM134" s="325">
        <v>0</v>
      </c>
      <c r="BN134" s="325">
        <v>0</v>
      </c>
      <c r="BO134" s="325">
        <v>0</v>
      </c>
      <c r="BP134" s="325">
        <v>0</v>
      </c>
      <c r="BQ134" s="325">
        <v>0</v>
      </c>
      <c r="BR134" s="325">
        <v>0</v>
      </c>
      <c r="BS134" s="325">
        <v>0</v>
      </c>
      <c r="BT134" s="325">
        <v>0</v>
      </c>
      <c r="BU134" s="325">
        <v>0</v>
      </c>
      <c r="BV134" s="325">
        <v>0</v>
      </c>
      <c r="BW134" s="325">
        <v>0</v>
      </c>
      <c r="BX134" s="325">
        <v>0</v>
      </c>
      <c r="BY134" s="325">
        <v>0</v>
      </c>
    </row>
    <row r="135" spans="2:77" ht="10.15" customHeight="1">
      <c r="B135" s="324" t="s">
        <v>92</v>
      </c>
      <c r="D135" s="319">
        <f t="shared" si="14"/>
        <v>11980.428554722606</v>
      </c>
      <c r="E135" s="319">
        <f t="shared" si="15"/>
        <v>0</v>
      </c>
      <c r="F135" s="319">
        <f t="shared" si="16"/>
        <v>11980.428554722606</v>
      </c>
      <c r="G135" s="319">
        <f t="shared" si="17"/>
        <v>0</v>
      </c>
      <c r="H135" s="319">
        <f t="shared" si="18"/>
        <v>0</v>
      </c>
      <c r="I135" s="319">
        <f t="shared" si="19"/>
        <v>0</v>
      </c>
      <c r="J135" s="319">
        <f t="shared" si="20"/>
        <v>0</v>
      </c>
      <c r="K135" s="319">
        <f t="shared" si="21"/>
        <v>0</v>
      </c>
      <c r="L135" s="319">
        <f t="shared" si="22"/>
        <v>0</v>
      </c>
      <c r="M135" s="319">
        <f t="shared" si="23"/>
        <v>0</v>
      </c>
      <c r="N135" s="319">
        <f t="shared" si="24"/>
        <v>0</v>
      </c>
      <c r="O135" s="319">
        <f t="shared" si="25"/>
        <v>0</v>
      </c>
      <c r="P135" s="319">
        <f t="shared" si="26"/>
        <v>0</v>
      </c>
      <c r="Q135" s="319">
        <f t="shared" si="27"/>
        <v>0</v>
      </c>
      <c r="R135" s="319">
        <f t="shared" si="28"/>
        <v>0</v>
      </c>
      <c r="S135" s="319">
        <f t="shared" si="29"/>
        <v>0</v>
      </c>
      <c r="T135" s="319">
        <f t="shared" si="30"/>
        <v>0</v>
      </c>
      <c r="U135" s="319">
        <f t="shared" si="31"/>
        <v>0</v>
      </c>
      <c r="V135" s="319">
        <f t="shared" si="32"/>
        <v>0</v>
      </c>
      <c r="W135" s="319">
        <f t="shared" si="33"/>
        <v>0</v>
      </c>
      <c r="X135" s="319">
        <f t="shared" si="34"/>
        <v>0</v>
      </c>
      <c r="Y135" s="319">
        <f t="shared" si="35"/>
        <v>0</v>
      </c>
      <c r="Z135" s="319">
        <f t="shared" si="36"/>
        <v>0</v>
      </c>
      <c r="AA135" s="319">
        <f t="shared" si="37"/>
        <v>0</v>
      </c>
      <c r="AB135" s="319">
        <f t="shared" si="38"/>
        <v>0</v>
      </c>
      <c r="AC135" s="319">
        <f t="shared" si="39"/>
        <v>0</v>
      </c>
      <c r="AD135" s="319">
        <f t="shared" si="40"/>
        <v>0</v>
      </c>
      <c r="AE135" s="319">
        <f t="shared" si="41"/>
        <v>0</v>
      </c>
      <c r="AF135" s="319">
        <f t="shared" si="42"/>
        <v>0</v>
      </c>
      <c r="AG135" s="319">
        <f t="shared" si="43"/>
        <v>0</v>
      </c>
      <c r="AH135" s="319">
        <f t="shared" si="44"/>
        <v>0</v>
      </c>
      <c r="AI135" s="319">
        <f t="shared" si="45"/>
        <v>0</v>
      </c>
      <c r="AJ135" s="319">
        <f t="shared" si="46"/>
        <v>0</v>
      </c>
      <c r="AK135" s="319">
        <f t="shared" si="47"/>
        <v>0</v>
      </c>
      <c r="AL135" s="319">
        <f t="shared" si="48"/>
        <v>0</v>
      </c>
      <c r="AM135" s="319">
        <f t="shared" si="49"/>
        <v>0</v>
      </c>
      <c r="AP135" s="266" t="s">
        <v>93</v>
      </c>
      <c r="AQ135" s="326">
        <v>0</v>
      </c>
      <c r="AR135" s="326">
        <v>1</v>
      </c>
      <c r="AS135" s="325">
        <v>0</v>
      </c>
      <c r="AT135" s="325">
        <v>0</v>
      </c>
      <c r="AU135" s="325">
        <v>0</v>
      </c>
      <c r="AV135" s="325">
        <v>0</v>
      </c>
      <c r="AW135" s="325">
        <v>0</v>
      </c>
      <c r="AX135" s="325">
        <v>0</v>
      </c>
      <c r="AY135" s="325">
        <v>0</v>
      </c>
      <c r="AZ135" s="325">
        <v>0</v>
      </c>
      <c r="BA135" s="325">
        <v>0</v>
      </c>
      <c r="BB135" s="325">
        <v>0</v>
      </c>
      <c r="BC135" s="325">
        <v>0</v>
      </c>
      <c r="BD135" s="325">
        <v>0</v>
      </c>
      <c r="BE135" s="325">
        <v>0</v>
      </c>
      <c r="BF135" s="325">
        <v>0</v>
      </c>
      <c r="BG135" s="325">
        <v>0</v>
      </c>
      <c r="BH135" s="325">
        <v>0</v>
      </c>
      <c r="BI135" s="325">
        <v>0</v>
      </c>
      <c r="BJ135" s="325">
        <v>0</v>
      </c>
      <c r="BK135" s="325">
        <v>0</v>
      </c>
      <c r="BL135" s="325">
        <v>0</v>
      </c>
      <c r="BM135" s="325">
        <v>0</v>
      </c>
      <c r="BN135" s="325">
        <v>0</v>
      </c>
      <c r="BO135" s="325">
        <v>0</v>
      </c>
      <c r="BP135" s="325">
        <v>0</v>
      </c>
      <c r="BQ135" s="325">
        <v>0</v>
      </c>
      <c r="BR135" s="325">
        <v>0</v>
      </c>
      <c r="BS135" s="325">
        <v>0</v>
      </c>
      <c r="BT135" s="325">
        <v>0</v>
      </c>
      <c r="BU135" s="325">
        <v>0</v>
      </c>
      <c r="BV135" s="325">
        <v>0</v>
      </c>
      <c r="BW135" s="325">
        <v>0</v>
      </c>
      <c r="BX135" s="325">
        <v>0</v>
      </c>
      <c r="BY135" s="325">
        <v>0</v>
      </c>
    </row>
    <row r="136" spans="2:77" ht="10.15" customHeight="1">
      <c r="B136" s="324" t="s">
        <v>93</v>
      </c>
      <c r="D136" s="319">
        <f t="shared" si="14"/>
        <v>0</v>
      </c>
      <c r="E136" s="319">
        <f t="shared" si="15"/>
        <v>0</v>
      </c>
      <c r="F136" s="319">
        <f t="shared" si="16"/>
        <v>0</v>
      </c>
      <c r="G136" s="319">
        <f t="shared" si="17"/>
        <v>0</v>
      </c>
      <c r="H136" s="319">
        <f t="shared" si="18"/>
        <v>0</v>
      </c>
      <c r="I136" s="319">
        <f t="shared" si="19"/>
        <v>0</v>
      </c>
      <c r="J136" s="319">
        <f t="shared" si="20"/>
        <v>0</v>
      </c>
      <c r="K136" s="319">
        <f t="shared" si="21"/>
        <v>0</v>
      </c>
      <c r="L136" s="319">
        <f t="shared" si="22"/>
        <v>0</v>
      </c>
      <c r="M136" s="319">
        <f t="shared" si="23"/>
        <v>0</v>
      </c>
      <c r="N136" s="319">
        <f t="shared" si="24"/>
        <v>0</v>
      </c>
      <c r="O136" s="319">
        <f t="shared" si="25"/>
        <v>0</v>
      </c>
      <c r="P136" s="319">
        <f t="shared" si="26"/>
        <v>0</v>
      </c>
      <c r="Q136" s="319">
        <f t="shared" si="27"/>
        <v>0</v>
      </c>
      <c r="R136" s="319">
        <f t="shared" si="28"/>
        <v>0</v>
      </c>
      <c r="S136" s="319">
        <f t="shared" si="29"/>
        <v>0</v>
      </c>
      <c r="T136" s="319">
        <f t="shared" si="30"/>
        <v>0</v>
      </c>
      <c r="U136" s="319">
        <f t="shared" si="31"/>
        <v>0</v>
      </c>
      <c r="V136" s="319">
        <f t="shared" si="32"/>
        <v>0</v>
      </c>
      <c r="W136" s="319">
        <f t="shared" si="33"/>
        <v>0</v>
      </c>
      <c r="X136" s="319">
        <f t="shared" si="34"/>
        <v>0</v>
      </c>
      <c r="Y136" s="319">
        <f t="shared" si="35"/>
        <v>0</v>
      </c>
      <c r="Z136" s="319">
        <f t="shared" si="36"/>
        <v>0</v>
      </c>
      <c r="AA136" s="319">
        <f t="shared" si="37"/>
        <v>0</v>
      </c>
      <c r="AB136" s="319">
        <f t="shared" si="38"/>
        <v>0</v>
      </c>
      <c r="AC136" s="319">
        <f t="shared" si="39"/>
        <v>0</v>
      </c>
      <c r="AD136" s="319">
        <f t="shared" si="40"/>
        <v>0</v>
      </c>
      <c r="AE136" s="319">
        <f t="shared" si="41"/>
        <v>0</v>
      </c>
      <c r="AF136" s="319">
        <f t="shared" si="42"/>
        <v>0</v>
      </c>
      <c r="AG136" s="319">
        <f t="shared" si="43"/>
        <v>0</v>
      </c>
      <c r="AH136" s="319">
        <f t="shared" si="44"/>
        <v>0</v>
      </c>
      <c r="AI136" s="319">
        <f t="shared" si="45"/>
        <v>0</v>
      </c>
      <c r="AJ136" s="319">
        <f t="shared" si="46"/>
        <v>0</v>
      </c>
      <c r="AK136" s="319">
        <f t="shared" si="47"/>
        <v>0</v>
      </c>
      <c r="AL136" s="319">
        <f t="shared" si="48"/>
        <v>0</v>
      </c>
      <c r="AM136" s="319">
        <f t="shared" si="49"/>
        <v>0</v>
      </c>
      <c r="AP136" s="266" t="s">
        <v>94</v>
      </c>
      <c r="AQ136" s="326">
        <v>0</v>
      </c>
      <c r="AR136" s="326">
        <v>0</v>
      </c>
      <c r="AS136" s="326">
        <v>1</v>
      </c>
      <c r="AT136" s="325">
        <v>0</v>
      </c>
      <c r="AU136" s="325">
        <v>0</v>
      </c>
      <c r="AV136" s="325">
        <v>0</v>
      </c>
      <c r="AW136" s="325">
        <v>0</v>
      </c>
      <c r="AX136" s="325">
        <v>0</v>
      </c>
      <c r="AY136" s="325">
        <v>0</v>
      </c>
      <c r="AZ136" s="325">
        <v>0</v>
      </c>
      <c r="BA136" s="325">
        <v>0</v>
      </c>
      <c r="BB136" s="325">
        <v>0</v>
      </c>
      <c r="BC136" s="325">
        <v>0</v>
      </c>
      <c r="BD136" s="325">
        <v>0</v>
      </c>
      <c r="BE136" s="325">
        <v>0</v>
      </c>
      <c r="BF136" s="325">
        <v>0</v>
      </c>
      <c r="BG136" s="325">
        <v>0</v>
      </c>
      <c r="BH136" s="325">
        <v>0</v>
      </c>
      <c r="BI136" s="325">
        <v>0</v>
      </c>
      <c r="BJ136" s="325">
        <v>0</v>
      </c>
      <c r="BK136" s="325">
        <v>0</v>
      </c>
      <c r="BL136" s="325">
        <v>0</v>
      </c>
      <c r="BM136" s="325">
        <v>0</v>
      </c>
      <c r="BN136" s="325">
        <v>0</v>
      </c>
      <c r="BO136" s="325">
        <v>0</v>
      </c>
      <c r="BP136" s="325">
        <v>0</v>
      </c>
      <c r="BQ136" s="325">
        <v>0</v>
      </c>
      <c r="BR136" s="325">
        <v>0</v>
      </c>
      <c r="BS136" s="325">
        <v>0</v>
      </c>
      <c r="BT136" s="325">
        <v>0</v>
      </c>
      <c r="BU136" s="325">
        <v>0</v>
      </c>
      <c r="BV136" s="325">
        <v>0</v>
      </c>
      <c r="BW136" s="325">
        <v>0</v>
      </c>
      <c r="BX136" s="325">
        <v>0</v>
      </c>
      <c r="BY136" s="325">
        <v>0</v>
      </c>
    </row>
    <row r="137" spans="2:77" ht="10.15" customHeight="1">
      <c r="B137" s="324" t="s">
        <v>94</v>
      </c>
      <c r="D137" s="319">
        <f t="shared" si="14"/>
        <v>0</v>
      </c>
      <c r="E137" s="319">
        <f t="shared" si="15"/>
        <v>0</v>
      </c>
      <c r="F137" s="319">
        <f t="shared" si="16"/>
        <v>0</v>
      </c>
      <c r="G137" s="319">
        <f t="shared" si="17"/>
        <v>0</v>
      </c>
      <c r="H137" s="319">
        <f t="shared" si="18"/>
        <v>0</v>
      </c>
      <c r="I137" s="319">
        <f t="shared" si="19"/>
        <v>0</v>
      </c>
      <c r="J137" s="319">
        <f t="shared" si="20"/>
        <v>0</v>
      </c>
      <c r="K137" s="319">
        <f t="shared" si="21"/>
        <v>0</v>
      </c>
      <c r="L137" s="319">
        <f t="shared" si="22"/>
        <v>0</v>
      </c>
      <c r="M137" s="319">
        <f t="shared" si="23"/>
        <v>0</v>
      </c>
      <c r="N137" s="319">
        <f t="shared" si="24"/>
        <v>0</v>
      </c>
      <c r="O137" s="319">
        <f t="shared" si="25"/>
        <v>0</v>
      </c>
      <c r="P137" s="319">
        <f t="shared" si="26"/>
        <v>0</v>
      </c>
      <c r="Q137" s="319">
        <f t="shared" si="27"/>
        <v>0</v>
      </c>
      <c r="R137" s="319">
        <f t="shared" si="28"/>
        <v>0</v>
      </c>
      <c r="S137" s="319">
        <f t="shared" si="29"/>
        <v>0</v>
      </c>
      <c r="T137" s="319">
        <f t="shared" si="30"/>
        <v>0</v>
      </c>
      <c r="U137" s="319">
        <f t="shared" si="31"/>
        <v>0</v>
      </c>
      <c r="V137" s="319">
        <f t="shared" si="32"/>
        <v>0</v>
      </c>
      <c r="W137" s="319">
        <f t="shared" si="33"/>
        <v>0</v>
      </c>
      <c r="X137" s="319">
        <f t="shared" si="34"/>
        <v>0</v>
      </c>
      <c r="Y137" s="319">
        <f t="shared" si="35"/>
        <v>0</v>
      </c>
      <c r="Z137" s="319">
        <f t="shared" si="36"/>
        <v>0</v>
      </c>
      <c r="AA137" s="319">
        <f t="shared" si="37"/>
        <v>0</v>
      </c>
      <c r="AB137" s="319">
        <f t="shared" si="38"/>
        <v>0</v>
      </c>
      <c r="AC137" s="319">
        <f t="shared" si="39"/>
        <v>0</v>
      </c>
      <c r="AD137" s="319">
        <f t="shared" si="40"/>
        <v>0</v>
      </c>
      <c r="AE137" s="319">
        <f t="shared" si="41"/>
        <v>0</v>
      </c>
      <c r="AF137" s="319">
        <f t="shared" si="42"/>
        <v>0</v>
      </c>
      <c r="AG137" s="319">
        <f t="shared" si="43"/>
        <v>0</v>
      </c>
      <c r="AH137" s="319">
        <f t="shared" si="44"/>
        <v>0</v>
      </c>
      <c r="AI137" s="319">
        <f t="shared" si="45"/>
        <v>0</v>
      </c>
      <c r="AJ137" s="319">
        <f t="shared" si="46"/>
        <v>0</v>
      </c>
      <c r="AK137" s="319">
        <f t="shared" si="47"/>
        <v>0</v>
      </c>
      <c r="AL137" s="319">
        <f t="shared" si="48"/>
        <v>0</v>
      </c>
      <c r="AM137" s="319">
        <f t="shared" si="49"/>
        <v>0</v>
      </c>
      <c r="AP137" s="266" t="s">
        <v>95</v>
      </c>
      <c r="AQ137" s="326">
        <v>0</v>
      </c>
      <c r="AR137" s="326">
        <v>0</v>
      </c>
      <c r="AS137" s="326">
        <v>0</v>
      </c>
      <c r="AT137" s="326">
        <v>1</v>
      </c>
      <c r="AU137" s="325">
        <v>0</v>
      </c>
      <c r="AV137" s="325">
        <v>0</v>
      </c>
      <c r="AW137" s="325">
        <v>0</v>
      </c>
      <c r="AX137" s="325">
        <v>0</v>
      </c>
      <c r="AY137" s="325">
        <v>0</v>
      </c>
      <c r="AZ137" s="325">
        <v>0</v>
      </c>
      <c r="BA137" s="325">
        <v>0</v>
      </c>
      <c r="BB137" s="325">
        <v>0</v>
      </c>
      <c r="BC137" s="325">
        <v>0</v>
      </c>
      <c r="BD137" s="325">
        <v>0</v>
      </c>
      <c r="BE137" s="325">
        <v>0</v>
      </c>
      <c r="BF137" s="325">
        <v>0</v>
      </c>
      <c r="BG137" s="325">
        <v>0</v>
      </c>
      <c r="BH137" s="325">
        <v>0</v>
      </c>
      <c r="BI137" s="325">
        <v>0</v>
      </c>
      <c r="BJ137" s="325">
        <v>0</v>
      </c>
      <c r="BK137" s="325">
        <v>0</v>
      </c>
      <c r="BL137" s="325">
        <v>0</v>
      </c>
      <c r="BM137" s="325">
        <v>0</v>
      </c>
      <c r="BN137" s="325">
        <v>0</v>
      </c>
      <c r="BO137" s="325">
        <v>0</v>
      </c>
      <c r="BP137" s="325">
        <v>0</v>
      </c>
      <c r="BQ137" s="325">
        <v>0</v>
      </c>
      <c r="BR137" s="325">
        <v>0</v>
      </c>
      <c r="BS137" s="325">
        <v>0</v>
      </c>
      <c r="BT137" s="325">
        <v>0</v>
      </c>
      <c r="BU137" s="325">
        <v>0</v>
      </c>
      <c r="BV137" s="325">
        <v>0</v>
      </c>
      <c r="BW137" s="325">
        <v>0</v>
      </c>
      <c r="BX137" s="325">
        <v>0</v>
      </c>
      <c r="BY137" s="325">
        <v>0</v>
      </c>
    </row>
    <row r="138" spans="2:77" ht="10.15" customHeight="1">
      <c r="B138" s="324" t="s">
        <v>95</v>
      </c>
      <c r="D138" s="319">
        <f t="shared" si="14"/>
        <v>0</v>
      </c>
      <c r="E138" s="319">
        <f t="shared" si="15"/>
        <v>0</v>
      </c>
      <c r="F138" s="319">
        <f t="shared" si="16"/>
        <v>0</v>
      </c>
      <c r="G138" s="319">
        <f t="shared" si="17"/>
        <v>0</v>
      </c>
      <c r="H138" s="319">
        <f t="shared" si="18"/>
        <v>0</v>
      </c>
      <c r="I138" s="319">
        <f t="shared" si="19"/>
        <v>0</v>
      </c>
      <c r="J138" s="319">
        <f t="shared" si="20"/>
        <v>0</v>
      </c>
      <c r="K138" s="319">
        <f t="shared" si="21"/>
        <v>0</v>
      </c>
      <c r="L138" s="319">
        <f t="shared" si="22"/>
        <v>0</v>
      </c>
      <c r="M138" s="319">
        <f t="shared" si="23"/>
        <v>0</v>
      </c>
      <c r="N138" s="319">
        <f t="shared" si="24"/>
        <v>0</v>
      </c>
      <c r="O138" s="319">
        <f t="shared" si="25"/>
        <v>0</v>
      </c>
      <c r="P138" s="319">
        <f t="shared" si="26"/>
        <v>0</v>
      </c>
      <c r="Q138" s="319">
        <f t="shared" si="27"/>
        <v>0</v>
      </c>
      <c r="R138" s="319">
        <f t="shared" si="28"/>
        <v>0</v>
      </c>
      <c r="S138" s="319">
        <f t="shared" si="29"/>
        <v>0</v>
      </c>
      <c r="T138" s="319">
        <f t="shared" si="30"/>
        <v>0</v>
      </c>
      <c r="U138" s="319">
        <f t="shared" si="31"/>
        <v>0</v>
      </c>
      <c r="V138" s="319">
        <f t="shared" si="32"/>
        <v>0</v>
      </c>
      <c r="W138" s="319">
        <f t="shared" si="33"/>
        <v>0</v>
      </c>
      <c r="X138" s="319">
        <f t="shared" si="34"/>
        <v>0</v>
      </c>
      <c r="Y138" s="319">
        <f t="shared" si="35"/>
        <v>0</v>
      </c>
      <c r="Z138" s="319">
        <f t="shared" si="36"/>
        <v>0</v>
      </c>
      <c r="AA138" s="319">
        <f t="shared" si="37"/>
        <v>0</v>
      </c>
      <c r="AB138" s="319">
        <f t="shared" si="38"/>
        <v>0</v>
      </c>
      <c r="AC138" s="319">
        <f t="shared" si="39"/>
        <v>0</v>
      </c>
      <c r="AD138" s="319">
        <f t="shared" si="40"/>
        <v>0</v>
      </c>
      <c r="AE138" s="319">
        <f t="shared" si="41"/>
        <v>0</v>
      </c>
      <c r="AF138" s="319">
        <f t="shared" si="42"/>
        <v>0</v>
      </c>
      <c r="AG138" s="319">
        <f t="shared" si="43"/>
        <v>0</v>
      </c>
      <c r="AH138" s="319">
        <f t="shared" si="44"/>
        <v>0</v>
      </c>
      <c r="AI138" s="319">
        <f t="shared" si="45"/>
        <v>0</v>
      </c>
      <c r="AJ138" s="319">
        <f t="shared" si="46"/>
        <v>0</v>
      </c>
      <c r="AK138" s="319">
        <f t="shared" si="47"/>
        <v>0</v>
      </c>
      <c r="AL138" s="319">
        <f t="shared" si="48"/>
        <v>0</v>
      </c>
      <c r="AM138" s="319">
        <f t="shared" si="49"/>
        <v>0</v>
      </c>
      <c r="AP138" s="266" t="s">
        <v>96</v>
      </c>
      <c r="AQ138" s="326">
        <v>0</v>
      </c>
      <c r="AR138" s="326">
        <v>0</v>
      </c>
      <c r="AS138" s="326">
        <v>0</v>
      </c>
      <c r="AT138" s="326">
        <v>0</v>
      </c>
      <c r="AU138" s="325">
        <v>1</v>
      </c>
      <c r="AV138" s="325">
        <v>0</v>
      </c>
      <c r="AW138" s="325">
        <v>0</v>
      </c>
      <c r="AX138" s="325">
        <v>0</v>
      </c>
      <c r="AY138" s="325">
        <v>0</v>
      </c>
      <c r="AZ138" s="325">
        <v>0</v>
      </c>
      <c r="BA138" s="325">
        <v>0</v>
      </c>
      <c r="BB138" s="325">
        <v>0</v>
      </c>
      <c r="BC138" s="325">
        <v>0</v>
      </c>
      <c r="BD138" s="325">
        <v>0</v>
      </c>
      <c r="BE138" s="325">
        <v>0</v>
      </c>
      <c r="BF138" s="325">
        <v>0</v>
      </c>
      <c r="BG138" s="325">
        <v>0</v>
      </c>
      <c r="BH138" s="325">
        <v>0</v>
      </c>
      <c r="BI138" s="325">
        <v>0</v>
      </c>
      <c r="BJ138" s="325">
        <v>0</v>
      </c>
      <c r="BK138" s="325">
        <v>0</v>
      </c>
      <c r="BL138" s="325">
        <v>0</v>
      </c>
      <c r="BM138" s="325">
        <v>0</v>
      </c>
      <c r="BN138" s="325">
        <v>0</v>
      </c>
      <c r="BO138" s="325">
        <v>0</v>
      </c>
      <c r="BP138" s="325">
        <v>0</v>
      </c>
      <c r="BQ138" s="325">
        <v>0</v>
      </c>
      <c r="BR138" s="325">
        <v>0</v>
      </c>
      <c r="BS138" s="325">
        <v>0</v>
      </c>
      <c r="BT138" s="325">
        <v>0</v>
      </c>
      <c r="BU138" s="325">
        <v>0</v>
      </c>
      <c r="BV138" s="325">
        <v>0</v>
      </c>
      <c r="BW138" s="325">
        <v>0</v>
      </c>
      <c r="BX138" s="325">
        <v>0</v>
      </c>
      <c r="BY138" s="325">
        <v>0</v>
      </c>
    </row>
    <row r="139" spans="2:77" ht="10.15" customHeight="1">
      <c r="B139" s="324" t="s">
        <v>96</v>
      </c>
      <c r="D139" s="319">
        <f t="shared" si="14"/>
        <v>0</v>
      </c>
      <c r="E139" s="319">
        <f t="shared" si="15"/>
        <v>0</v>
      </c>
      <c r="F139" s="319">
        <f t="shared" si="16"/>
        <v>0</v>
      </c>
      <c r="G139" s="319">
        <f t="shared" si="17"/>
        <v>0</v>
      </c>
      <c r="H139" s="319">
        <f t="shared" si="18"/>
        <v>0</v>
      </c>
      <c r="I139" s="319">
        <f t="shared" si="19"/>
        <v>0</v>
      </c>
      <c r="J139" s="319">
        <f t="shared" si="20"/>
        <v>0</v>
      </c>
      <c r="K139" s="319">
        <f t="shared" si="21"/>
        <v>0</v>
      </c>
      <c r="L139" s="319">
        <f t="shared" si="22"/>
        <v>0</v>
      </c>
      <c r="M139" s="319">
        <f t="shared" si="23"/>
        <v>0</v>
      </c>
      <c r="N139" s="319">
        <f t="shared" si="24"/>
        <v>0</v>
      </c>
      <c r="O139" s="319">
        <f t="shared" si="25"/>
        <v>0</v>
      </c>
      <c r="P139" s="319">
        <f t="shared" si="26"/>
        <v>0</v>
      </c>
      <c r="Q139" s="319">
        <f t="shared" si="27"/>
        <v>0</v>
      </c>
      <c r="R139" s="319">
        <f t="shared" si="28"/>
        <v>0</v>
      </c>
      <c r="S139" s="319">
        <f t="shared" si="29"/>
        <v>0</v>
      </c>
      <c r="T139" s="319">
        <f t="shared" si="30"/>
        <v>0</v>
      </c>
      <c r="U139" s="319">
        <f t="shared" si="31"/>
        <v>0</v>
      </c>
      <c r="V139" s="319">
        <f t="shared" si="32"/>
        <v>0</v>
      </c>
      <c r="W139" s="319">
        <f t="shared" si="33"/>
        <v>0</v>
      </c>
      <c r="X139" s="319">
        <f t="shared" si="34"/>
        <v>0</v>
      </c>
      <c r="Y139" s="319">
        <f t="shared" si="35"/>
        <v>0</v>
      </c>
      <c r="Z139" s="319">
        <f t="shared" si="36"/>
        <v>0</v>
      </c>
      <c r="AA139" s="319">
        <f t="shared" si="37"/>
        <v>0</v>
      </c>
      <c r="AB139" s="319">
        <f t="shared" si="38"/>
        <v>0</v>
      </c>
      <c r="AC139" s="319">
        <f t="shared" si="39"/>
        <v>0</v>
      </c>
      <c r="AD139" s="319">
        <f t="shared" si="40"/>
        <v>0</v>
      </c>
      <c r="AE139" s="319">
        <f t="shared" si="41"/>
        <v>0</v>
      </c>
      <c r="AF139" s="319">
        <f t="shared" si="42"/>
        <v>0</v>
      </c>
      <c r="AG139" s="319">
        <f t="shared" si="43"/>
        <v>0</v>
      </c>
      <c r="AH139" s="319">
        <f t="shared" si="44"/>
        <v>0</v>
      </c>
      <c r="AI139" s="319">
        <f t="shared" si="45"/>
        <v>0</v>
      </c>
      <c r="AJ139" s="319">
        <f t="shared" si="46"/>
        <v>0</v>
      </c>
      <c r="AK139" s="319">
        <f t="shared" si="47"/>
        <v>0</v>
      </c>
      <c r="AL139" s="319">
        <f t="shared" si="48"/>
        <v>0</v>
      </c>
      <c r="AM139" s="319">
        <f t="shared" si="49"/>
        <v>0</v>
      </c>
      <c r="AP139" s="266" t="s">
        <v>97</v>
      </c>
      <c r="AQ139" s="326">
        <v>0</v>
      </c>
      <c r="AR139" s="326">
        <v>0</v>
      </c>
      <c r="AS139" s="326">
        <v>0</v>
      </c>
      <c r="AT139" s="326">
        <v>0</v>
      </c>
      <c r="AU139" s="325">
        <v>0</v>
      </c>
      <c r="AV139" s="325">
        <v>1</v>
      </c>
      <c r="AW139" s="325">
        <v>0</v>
      </c>
      <c r="AX139" s="325">
        <v>0</v>
      </c>
      <c r="AY139" s="325">
        <v>0</v>
      </c>
      <c r="AZ139" s="325">
        <v>0</v>
      </c>
      <c r="BA139" s="325">
        <v>0</v>
      </c>
      <c r="BB139" s="325">
        <v>0</v>
      </c>
      <c r="BC139" s="325">
        <v>0</v>
      </c>
      <c r="BD139" s="325">
        <v>0</v>
      </c>
      <c r="BE139" s="325">
        <v>0</v>
      </c>
      <c r="BF139" s="325">
        <v>0</v>
      </c>
      <c r="BG139" s="325">
        <v>0</v>
      </c>
      <c r="BH139" s="325">
        <v>0</v>
      </c>
      <c r="BI139" s="325">
        <v>0</v>
      </c>
      <c r="BJ139" s="325">
        <v>0</v>
      </c>
      <c r="BK139" s="325">
        <v>0</v>
      </c>
      <c r="BL139" s="325">
        <v>0</v>
      </c>
      <c r="BM139" s="325">
        <v>0</v>
      </c>
      <c r="BN139" s="325">
        <v>0</v>
      </c>
      <c r="BO139" s="325">
        <v>0</v>
      </c>
      <c r="BP139" s="325">
        <v>0</v>
      </c>
      <c r="BQ139" s="325">
        <v>0</v>
      </c>
      <c r="BR139" s="325">
        <v>0</v>
      </c>
      <c r="BS139" s="325">
        <v>0</v>
      </c>
      <c r="BT139" s="325">
        <v>0</v>
      </c>
      <c r="BU139" s="325">
        <v>0</v>
      </c>
      <c r="BV139" s="325">
        <v>0</v>
      </c>
      <c r="BW139" s="325">
        <v>0</v>
      </c>
      <c r="BX139" s="325">
        <v>0</v>
      </c>
      <c r="BY139" s="325">
        <v>0</v>
      </c>
    </row>
    <row r="140" spans="2:77" ht="10.15" customHeight="1">
      <c r="B140" s="324" t="s">
        <v>97</v>
      </c>
      <c r="D140" s="319">
        <f t="shared" si="14"/>
        <v>0</v>
      </c>
      <c r="E140" s="319">
        <f t="shared" si="15"/>
        <v>0</v>
      </c>
      <c r="F140" s="319">
        <f t="shared" si="16"/>
        <v>0</v>
      </c>
      <c r="G140" s="319">
        <f t="shared" si="17"/>
        <v>0</v>
      </c>
      <c r="H140" s="319">
        <f t="shared" si="18"/>
        <v>0</v>
      </c>
      <c r="I140" s="319">
        <f t="shared" si="19"/>
        <v>0</v>
      </c>
      <c r="J140" s="319">
        <f t="shared" si="20"/>
        <v>0</v>
      </c>
      <c r="K140" s="319">
        <f t="shared" si="21"/>
        <v>0</v>
      </c>
      <c r="L140" s="319">
        <f t="shared" si="22"/>
        <v>0</v>
      </c>
      <c r="M140" s="319">
        <f t="shared" si="23"/>
        <v>0</v>
      </c>
      <c r="N140" s="319">
        <f t="shared" si="24"/>
        <v>0</v>
      </c>
      <c r="O140" s="319">
        <f t="shared" si="25"/>
        <v>0</v>
      </c>
      <c r="P140" s="319">
        <f t="shared" si="26"/>
        <v>0</v>
      </c>
      <c r="Q140" s="319">
        <f t="shared" si="27"/>
        <v>0</v>
      </c>
      <c r="R140" s="319">
        <f t="shared" si="28"/>
        <v>0</v>
      </c>
      <c r="S140" s="319">
        <f t="shared" si="29"/>
        <v>0</v>
      </c>
      <c r="T140" s="319">
        <f t="shared" si="30"/>
        <v>0</v>
      </c>
      <c r="U140" s="319">
        <f t="shared" si="31"/>
        <v>0</v>
      </c>
      <c r="V140" s="319">
        <f t="shared" si="32"/>
        <v>0</v>
      </c>
      <c r="W140" s="319">
        <f t="shared" si="33"/>
        <v>0</v>
      </c>
      <c r="X140" s="319">
        <f t="shared" si="34"/>
        <v>0</v>
      </c>
      <c r="Y140" s="319">
        <f t="shared" si="35"/>
        <v>0</v>
      </c>
      <c r="Z140" s="319">
        <f t="shared" si="36"/>
        <v>0</v>
      </c>
      <c r="AA140" s="319">
        <f t="shared" si="37"/>
        <v>0</v>
      </c>
      <c r="AB140" s="319">
        <f t="shared" si="38"/>
        <v>0</v>
      </c>
      <c r="AC140" s="319">
        <f t="shared" si="39"/>
        <v>0</v>
      </c>
      <c r="AD140" s="319">
        <f t="shared" si="40"/>
        <v>0</v>
      </c>
      <c r="AE140" s="319">
        <f t="shared" si="41"/>
        <v>0</v>
      </c>
      <c r="AF140" s="319">
        <f t="shared" si="42"/>
        <v>0</v>
      </c>
      <c r="AG140" s="319">
        <f t="shared" si="43"/>
        <v>0</v>
      </c>
      <c r="AH140" s="319">
        <f t="shared" si="44"/>
        <v>0</v>
      </c>
      <c r="AI140" s="319">
        <f t="shared" si="45"/>
        <v>0</v>
      </c>
      <c r="AJ140" s="319">
        <f t="shared" si="46"/>
        <v>0</v>
      </c>
      <c r="AK140" s="319">
        <f t="shared" si="47"/>
        <v>0</v>
      </c>
      <c r="AL140" s="319">
        <f t="shared" si="48"/>
        <v>0</v>
      </c>
      <c r="AM140" s="319">
        <f t="shared" si="49"/>
        <v>0</v>
      </c>
      <c r="AP140" s="266" t="s">
        <v>98</v>
      </c>
      <c r="AQ140" s="326">
        <v>0</v>
      </c>
      <c r="AR140" s="326">
        <v>0</v>
      </c>
      <c r="AS140" s="326">
        <v>0</v>
      </c>
      <c r="AT140" s="326">
        <v>0</v>
      </c>
      <c r="AU140" s="325">
        <v>0</v>
      </c>
      <c r="AV140" s="325">
        <v>0</v>
      </c>
      <c r="AW140" s="325">
        <v>1</v>
      </c>
      <c r="AX140" s="325">
        <v>0</v>
      </c>
      <c r="AY140" s="325">
        <v>0</v>
      </c>
      <c r="AZ140" s="325">
        <v>0</v>
      </c>
      <c r="BA140" s="325">
        <v>0</v>
      </c>
      <c r="BB140" s="325">
        <v>0</v>
      </c>
      <c r="BC140" s="325">
        <v>0</v>
      </c>
      <c r="BD140" s="325">
        <v>0</v>
      </c>
      <c r="BE140" s="325">
        <v>0</v>
      </c>
      <c r="BF140" s="325">
        <v>0</v>
      </c>
      <c r="BG140" s="325">
        <v>0</v>
      </c>
      <c r="BH140" s="325">
        <v>0</v>
      </c>
      <c r="BI140" s="325">
        <v>0</v>
      </c>
      <c r="BJ140" s="325">
        <v>0</v>
      </c>
      <c r="BK140" s="325">
        <v>0</v>
      </c>
      <c r="BL140" s="325">
        <v>0</v>
      </c>
      <c r="BM140" s="325">
        <v>0</v>
      </c>
      <c r="BN140" s="325">
        <v>0</v>
      </c>
      <c r="BO140" s="325">
        <v>0</v>
      </c>
      <c r="BP140" s="325">
        <v>0</v>
      </c>
      <c r="BQ140" s="325">
        <v>0</v>
      </c>
      <c r="BR140" s="325">
        <v>0</v>
      </c>
      <c r="BS140" s="325">
        <v>0</v>
      </c>
      <c r="BT140" s="325">
        <v>0</v>
      </c>
      <c r="BU140" s="325">
        <v>0</v>
      </c>
      <c r="BV140" s="325">
        <v>0</v>
      </c>
      <c r="BW140" s="325">
        <v>0</v>
      </c>
      <c r="BX140" s="325">
        <v>0</v>
      </c>
      <c r="BY140" s="325">
        <v>0</v>
      </c>
    </row>
    <row r="141" spans="2:77" ht="10.15" customHeight="1">
      <c r="B141" s="324" t="s">
        <v>98</v>
      </c>
      <c r="D141" s="319">
        <f t="shared" si="14"/>
        <v>0</v>
      </c>
      <c r="E141" s="319">
        <f t="shared" si="15"/>
        <v>0</v>
      </c>
      <c r="F141" s="319">
        <f t="shared" si="16"/>
        <v>0</v>
      </c>
      <c r="G141" s="319">
        <f t="shared" si="17"/>
        <v>0</v>
      </c>
      <c r="H141" s="319">
        <f t="shared" si="18"/>
        <v>0</v>
      </c>
      <c r="I141" s="319">
        <f t="shared" si="19"/>
        <v>0</v>
      </c>
      <c r="J141" s="319">
        <f t="shared" si="20"/>
        <v>0</v>
      </c>
      <c r="K141" s="319">
        <f t="shared" si="21"/>
        <v>0</v>
      </c>
      <c r="L141" s="319">
        <f t="shared" si="22"/>
        <v>0</v>
      </c>
      <c r="M141" s="319">
        <f t="shared" si="23"/>
        <v>0</v>
      </c>
      <c r="N141" s="319">
        <f t="shared" si="24"/>
        <v>0</v>
      </c>
      <c r="O141" s="319">
        <f t="shared" si="25"/>
        <v>0</v>
      </c>
      <c r="P141" s="319">
        <f t="shared" si="26"/>
        <v>0</v>
      </c>
      <c r="Q141" s="319">
        <f t="shared" si="27"/>
        <v>0</v>
      </c>
      <c r="R141" s="319">
        <f t="shared" si="28"/>
        <v>0</v>
      </c>
      <c r="S141" s="319">
        <f t="shared" si="29"/>
        <v>0</v>
      </c>
      <c r="T141" s="319">
        <f t="shared" si="30"/>
        <v>0</v>
      </c>
      <c r="U141" s="319">
        <f t="shared" si="31"/>
        <v>0</v>
      </c>
      <c r="V141" s="319">
        <f t="shared" si="32"/>
        <v>0</v>
      </c>
      <c r="W141" s="319">
        <f t="shared" si="33"/>
        <v>0</v>
      </c>
      <c r="X141" s="319">
        <f t="shared" si="34"/>
        <v>0</v>
      </c>
      <c r="Y141" s="319">
        <f t="shared" si="35"/>
        <v>0</v>
      </c>
      <c r="Z141" s="319">
        <f t="shared" si="36"/>
        <v>0</v>
      </c>
      <c r="AA141" s="319">
        <f t="shared" si="37"/>
        <v>0</v>
      </c>
      <c r="AB141" s="319">
        <f t="shared" si="38"/>
        <v>0</v>
      </c>
      <c r="AC141" s="319">
        <f t="shared" si="39"/>
        <v>0</v>
      </c>
      <c r="AD141" s="319">
        <f t="shared" si="40"/>
        <v>0</v>
      </c>
      <c r="AE141" s="319">
        <f t="shared" si="41"/>
        <v>0</v>
      </c>
      <c r="AF141" s="319">
        <f t="shared" si="42"/>
        <v>0</v>
      </c>
      <c r="AG141" s="319">
        <f t="shared" si="43"/>
        <v>0</v>
      </c>
      <c r="AH141" s="319">
        <f t="shared" si="44"/>
        <v>0</v>
      </c>
      <c r="AI141" s="319">
        <f t="shared" si="45"/>
        <v>0</v>
      </c>
      <c r="AJ141" s="319">
        <f t="shared" si="46"/>
        <v>0</v>
      </c>
      <c r="AK141" s="319">
        <f t="shared" si="47"/>
        <v>0</v>
      </c>
      <c r="AL141" s="319">
        <f t="shared" si="48"/>
        <v>0</v>
      </c>
      <c r="AM141" s="319">
        <f t="shared" si="49"/>
        <v>0</v>
      </c>
      <c r="AP141" s="266" t="s">
        <v>99</v>
      </c>
      <c r="AQ141" s="326">
        <v>0</v>
      </c>
      <c r="AR141" s="326">
        <v>0</v>
      </c>
      <c r="AS141" s="326">
        <v>0</v>
      </c>
      <c r="AT141" s="326">
        <v>0</v>
      </c>
      <c r="AU141" s="325">
        <v>0</v>
      </c>
      <c r="AV141" s="325">
        <v>0</v>
      </c>
      <c r="AW141" s="325">
        <v>0</v>
      </c>
      <c r="AX141" s="325">
        <v>1</v>
      </c>
      <c r="AY141" s="325">
        <v>0</v>
      </c>
      <c r="AZ141" s="325">
        <v>0</v>
      </c>
      <c r="BA141" s="325">
        <v>0</v>
      </c>
      <c r="BB141" s="325">
        <v>0</v>
      </c>
      <c r="BC141" s="325">
        <v>0</v>
      </c>
      <c r="BD141" s="325">
        <v>0</v>
      </c>
      <c r="BE141" s="325">
        <v>0</v>
      </c>
      <c r="BF141" s="325">
        <v>0</v>
      </c>
      <c r="BG141" s="325">
        <v>0</v>
      </c>
      <c r="BH141" s="325">
        <v>0</v>
      </c>
      <c r="BI141" s="325">
        <v>0</v>
      </c>
      <c r="BJ141" s="325">
        <v>0</v>
      </c>
      <c r="BK141" s="325">
        <v>0</v>
      </c>
      <c r="BL141" s="325">
        <v>0</v>
      </c>
      <c r="BM141" s="325">
        <v>0</v>
      </c>
      <c r="BN141" s="325">
        <v>0</v>
      </c>
      <c r="BO141" s="325">
        <v>0</v>
      </c>
      <c r="BP141" s="325">
        <v>0</v>
      </c>
      <c r="BQ141" s="325">
        <v>0</v>
      </c>
      <c r="BR141" s="325">
        <v>0</v>
      </c>
      <c r="BS141" s="325">
        <v>0</v>
      </c>
      <c r="BT141" s="325">
        <v>0</v>
      </c>
      <c r="BU141" s="325">
        <v>0</v>
      </c>
      <c r="BV141" s="325">
        <v>0</v>
      </c>
      <c r="BW141" s="325">
        <v>0</v>
      </c>
      <c r="BX141" s="325">
        <v>0</v>
      </c>
      <c r="BY141" s="325">
        <v>0</v>
      </c>
    </row>
    <row r="142" spans="2:77" ht="10.15" customHeight="1">
      <c r="B142" s="324" t="s">
        <v>99</v>
      </c>
      <c r="D142" s="319">
        <f t="shared" si="14"/>
        <v>0</v>
      </c>
      <c r="E142" s="319">
        <f t="shared" si="15"/>
        <v>0</v>
      </c>
      <c r="F142" s="319">
        <f t="shared" si="16"/>
        <v>0</v>
      </c>
      <c r="G142" s="319">
        <f t="shared" si="17"/>
        <v>0</v>
      </c>
      <c r="H142" s="319">
        <f t="shared" si="18"/>
        <v>0</v>
      </c>
      <c r="I142" s="319">
        <f t="shared" si="19"/>
        <v>0</v>
      </c>
      <c r="J142" s="319">
        <f t="shared" si="20"/>
        <v>0</v>
      </c>
      <c r="K142" s="319">
        <f t="shared" si="21"/>
        <v>0</v>
      </c>
      <c r="L142" s="319">
        <f t="shared" si="22"/>
        <v>0</v>
      </c>
      <c r="M142" s="319">
        <f t="shared" si="23"/>
        <v>0</v>
      </c>
      <c r="N142" s="319">
        <f t="shared" si="24"/>
        <v>0</v>
      </c>
      <c r="O142" s="319">
        <f t="shared" si="25"/>
        <v>0</v>
      </c>
      <c r="P142" s="319">
        <f t="shared" si="26"/>
        <v>0</v>
      </c>
      <c r="Q142" s="319">
        <f t="shared" si="27"/>
        <v>0</v>
      </c>
      <c r="R142" s="319">
        <f t="shared" si="28"/>
        <v>0</v>
      </c>
      <c r="S142" s="319">
        <f t="shared" si="29"/>
        <v>0</v>
      </c>
      <c r="T142" s="319">
        <f t="shared" si="30"/>
        <v>0</v>
      </c>
      <c r="U142" s="319">
        <f t="shared" si="31"/>
        <v>0</v>
      </c>
      <c r="V142" s="319">
        <f t="shared" si="32"/>
        <v>0</v>
      </c>
      <c r="W142" s="319">
        <f t="shared" si="33"/>
        <v>0</v>
      </c>
      <c r="X142" s="319">
        <f t="shared" si="34"/>
        <v>0</v>
      </c>
      <c r="Y142" s="319">
        <f t="shared" si="35"/>
        <v>0</v>
      </c>
      <c r="Z142" s="319">
        <f t="shared" si="36"/>
        <v>0</v>
      </c>
      <c r="AA142" s="319">
        <f t="shared" si="37"/>
        <v>0</v>
      </c>
      <c r="AB142" s="319">
        <f t="shared" si="38"/>
        <v>0</v>
      </c>
      <c r="AC142" s="319">
        <f t="shared" si="39"/>
        <v>0</v>
      </c>
      <c r="AD142" s="319">
        <f t="shared" si="40"/>
        <v>0</v>
      </c>
      <c r="AE142" s="319">
        <f t="shared" si="41"/>
        <v>0</v>
      </c>
      <c r="AF142" s="319">
        <f t="shared" si="42"/>
        <v>0</v>
      </c>
      <c r="AG142" s="319">
        <f t="shared" si="43"/>
        <v>0</v>
      </c>
      <c r="AH142" s="319">
        <f t="shared" si="44"/>
        <v>0</v>
      </c>
      <c r="AI142" s="319">
        <f t="shared" si="45"/>
        <v>0</v>
      </c>
      <c r="AJ142" s="319">
        <f t="shared" si="46"/>
        <v>0</v>
      </c>
      <c r="AK142" s="319">
        <f t="shared" si="47"/>
        <v>0</v>
      </c>
      <c r="AL142" s="319">
        <f t="shared" si="48"/>
        <v>0</v>
      </c>
      <c r="AM142" s="319">
        <f t="shared" si="49"/>
        <v>0</v>
      </c>
      <c r="AP142" s="266" t="s">
        <v>100</v>
      </c>
      <c r="AQ142" s="326">
        <v>0</v>
      </c>
      <c r="AR142" s="326">
        <v>0</v>
      </c>
      <c r="AS142" s="326">
        <v>0</v>
      </c>
      <c r="AT142" s="326">
        <v>0</v>
      </c>
      <c r="AU142" s="325">
        <v>0</v>
      </c>
      <c r="AV142" s="325">
        <v>0</v>
      </c>
      <c r="AW142" s="325">
        <v>0</v>
      </c>
      <c r="AX142" s="325">
        <v>0</v>
      </c>
      <c r="AY142" s="325">
        <v>1</v>
      </c>
      <c r="AZ142" s="325">
        <v>0</v>
      </c>
      <c r="BA142" s="325">
        <v>0</v>
      </c>
      <c r="BB142" s="325">
        <v>0</v>
      </c>
      <c r="BC142" s="325">
        <v>0</v>
      </c>
      <c r="BD142" s="325">
        <v>0</v>
      </c>
      <c r="BE142" s="325">
        <v>0</v>
      </c>
      <c r="BF142" s="325">
        <v>0</v>
      </c>
      <c r="BG142" s="325">
        <v>0</v>
      </c>
      <c r="BH142" s="325">
        <v>0</v>
      </c>
      <c r="BI142" s="325">
        <v>0</v>
      </c>
      <c r="BJ142" s="325">
        <v>0</v>
      </c>
      <c r="BK142" s="325">
        <v>0</v>
      </c>
      <c r="BL142" s="325">
        <v>0</v>
      </c>
      <c r="BM142" s="325">
        <v>0</v>
      </c>
      <c r="BN142" s="325">
        <v>0</v>
      </c>
      <c r="BO142" s="325">
        <v>0</v>
      </c>
      <c r="BP142" s="325">
        <v>0</v>
      </c>
      <c r="BQ142" s="325">
        <v>0</v>
      </c>
      <c r="BR142" s="325">
        <v>0</v>
      </c>
      <c r="BS142" s="325">
        <v>0</v>
      </c>
      <c r="BT142" s="325">
        <v>0</v>
      </c>
      <c r="BU142" s="325">
        <v>0</v>
      </c>
      <c r="BV142" s="325">
        <v>0</v>
      </c>
      <c r="BW142" s="325">
        <v>0</v>
      </c>
      <c r="BX142" s="325">
        <v>0</v>
      </c>
      <c r="BY142" s="325">
        <v>0</v>
      </c>
    </row>
    <row r="143" spans="2:77" ht="10.15" customHeight="1">
      <c r="B143" s="324" t="s">
        <v>100</v>
      </c>
      <c r="D143" s="319">
        <f t="shared" si="14"/>
        <v>0</v>
      </c>
      <c r="E143" s="319">
        <f t="shared" si="15"/>
        <v>0</v>
      </c>
      <c r="F143" s="319">
        <f t="shared" si="16"/>
        <v>0</v>
      </c>
      <c r="G143" s="319">
        <f t="shared" si="17"/>
        <v>0</v>
      </c>
      <c r="H143" s="319">
        <f t="shared" si="18"/>
        <v>0</v>
      </c>
      <c r="I143" s="319">
        <f t="shared" si="19"/>
        <v>0</v>
      </c>
      <c r="J143" s="319">
        <f t="shared" si="20"/>
        <v>0</v>
      </c>
      <c r="K143" s="319">
        <f t="shared" si="21"/>
        <v>0</v>
      </c>
      <c r="L143" s="319">
        <f t="shared" si="22"/>
        <v>0</v>
      </c>
      <c r="M143" s="319">
        <f t="shared" si="23"/>
        <v>0</v>
      </c>
      <c r="N143" s="319">
        <f t="shared" si="24"/>
        <v>0</v>
      </c>
      <c r="O143" s="319">
        <f t="shared" si="25"/>
        <v>0</v>
      </c>
      <c r="P143" s="319">
        <f t="shared" si="26"/>
        <v>0</v>
      </c>
      <c r="Q143" s="319">
        <f t="shared" si="27"/>
        <v>0</v>
      </c>
      <c r="R143" s="319">
        <f t="shared" si="28"/>
        <v>0</v>
      </c>
      <c r="S143" s="319">
        <f t="shared" si="29"/>
        <v>0</v>
      </c>
      <c r="T143" s="319">
        <f t="shared" si="30"/>
        <v>0</v>
      </c>
      <c r="U143" s="319">
        <f t="shared" si="31"/>
        <v>0</v>
      </c>
      <c r="V143" s="319">
        <f t="shared" si="32"/>
        <v>0</v>
      </c>
      <c r="W143" s="319">
        <f t="shared" si="33"/>
        <v>0</v>
      </c>
      <c r="X143" s="319">
        <f t="shared" si="34"/>
        <v>0</v>
      </c>
      <c r="Y143" s="319">
        <f t="shared" si="35"/>
        <v>0</v>
      </c>
      <c r="Z143" s="319">
        <f t="shared" si="36"/>
        <v>0</v>
      </c>
      <c r="AA143" s="319">
        <f t="shared" si="37"/>
        <v>0</v>
      </c>
      <c r="AB143" s="319">
        <f t="shared" si="38"/>
        <v>0</v>
      </c>
      <c r="AC143" s="319">
        <f t="shared" si="39"/>
        <v>0</v>
      </c>
      <c r="AD143" s="319">
        <f t="shared" si="40"/>
        <v>0</v>
      </c>
      <c r="AE143" s="319">
        <f t="shared" si="41"/>
        <v>0</v>
      </c>
      <c r="AF143" s="319">
        <f t="shared" si="42"/>
        <v>0</v>
      </c>
      <c r="AG143" s="319">
        <f t="shared" si="43"/>
        <v>0</v>
      </c>
      <c r="AH143" s="319">
        <f t="shared" si="44"/>
        <v>0</v>
      </c>
      <c r="AI143" s="319">
        <f t="shared" si="45"/>
        <v>0</v>
      </c>
      <c r="AJ143" s="319">
        <f t="shared" si="46"/>
        <v>0</v>
      </c>
      <c r="AK143" s="319">
        <f t="shared" si="47"/>
        <v>0</v>
      </c>
      <c r="AL143" s="319">
        <f t="shared" si="48"/>
        <v>0</v>
      </c>
      <c r="AM143" s="319">
        <f t="shared" si="49"/>
        <v>0</v>
      </c>
      <c r="AP143" s="266" t="s">
        <v>101</v>
      </c>
      <c r="AQ143" s="326">
        <v>0</v>
      </c>
      <c r="AR143" s="326">
        <v>0</v>
      </c>
      <c r="AS143" s="326">
        <v>0</v>
      </c>
      <c r="AT143" s="326">
        <v>0</v>
      </c>
      <c r="AU143" s="325">
        <v>0</v>
      </c>
      <c r="AV143" s="325">
        <v>0</v>
      </c>
      <c r="AW143" s="325">
        <v>0</v>
      </c>
      <c r="AX143" s="325">
        <v>0</v>
      </c>
      <c r="AY143" s="325">
        <v>0</v>
      </c>
      <c r="AZ143" s="325">
        <v>1</v>
      </c>
      <c r="BA143" s="325">
        <v>0</v>
      </c>
      <c r="BB143" s="325">
        <v>0</v>
      </c>
      <c r="BC143" s="325">
        <v>0</v>
      </c>
      <c r="BD143" s="325">
        <v>0</v>
      </c>
      <c r="BE143" s="325">
        <v>0</v>
      </c>
      <c r="BF143" s="325">
        <v>0</v>
      </c>
      <c r="BG143" s="325">
        <v>0</v>
      </c>
      <c r="BH143" s="325">
        <v>0</v>
      </c>
      <c r="BI143" s="325">
        <v>0</v>
      </c>
      <c r="BJ143" s="325">
        <v>0</v>
      </c>
      <c r="BK143" s="325">
        <v>0</v>
      </c>
      <c r="BL143" s="325">
        <v>0</v>
      </c>
      <c r="BM143" s="325">
        <v>0</v>
      </c>
      <c r="BN143" s="325">
        <v>0</v>
      </c>
      <c r="BO143" s="325">
        <v>0</v>
      </c>
      <c r="BP143" s="325">
        <v>0</v>
      </c>
      <c r="BQ143" s="325">
        <v>0</v>
      </c>
      <c r="BR143" s="325">
        <v>0</v>
      </c>
      <c r="BS143" s="325">
        <v>0</v>
      </c>
      <c r="BT143" s="325">
        <v>0</v>
      </c>
      <c r="BU143" s="325">
        <v>0</v>
      </c>
      <c r="BV143" s="325">
        <v>0</v>
      </c>
      <c r="BW143" s="325">
        <v>0</v>
      </c>
      <c r="BX143" s="325">
        <v>0</v>
      </c>
      <c r="BY143" s="325">
        <v>0</v>
      </c>
    </row>
    <row r="144" spans="2:77" ht="10.15" customHeight="1">
      <c r="B144" s="324" t="s">
        <v>101</v>
      </c>
      <c r="D144" s="319">
        <f t="shared" si="14"/>
        <v>0</v>
      </c>
      <c r="E144" s="319">
        <f t="shared" si="15"/>
        <v>0</v>
      </c>
      <c r="F144" s="319">
        <f t="shared" si="16"/>
        <v>0</v>
      </c>
      <c r="G144" s="319">
        <f t="shared" si="17"/>
        <v>0</v>
      </c>
      <c r="H144" s="319">
        <f t="shared" si="18"/>
        <v>0</v>
      </c>
      <c r="I144" s="319">
        <f t="shared" si="19"/>
        <v>0</v>
      </c>
      <c r="J144" s="319">
        <f t="shared" si="20"/>
        <v>0</v>
      </c>
      <c r="K144" s="319">
        <f t="shared" si="21"/>
        <v>0</v>
      </c>
      <c r="L144" s="319">
        <f t="shared" si="22"/>
        <v>0</v>
      </c>
      <c r="M144" s="319">
        <f t="shared" si="23"/>
        <v>0</v>
      </c>
      <c r="N144" s="319">
        <f t="shared" si="24"/>
        <v>0</v>
      </c>
      <c r="O144" s="319">
        <f t="shared" si="25"/>
        <v>0</v>
      </c>
      <c r="P144" s="319">
        <f t="shared" si="26"/>
        <v>0</v>
      </c>
      <c r="Q144" s="319">
        <f t="shared" si="27"/>
        <v>0</v>
      </c>
      <c r="R144" s="319">
        <f t="shared" si="28"/>
        <v>0</v>
      </c>
      <c r="S144" s="319">
        <f t="shared" si="29"/>
        <v>0</v>
      </c>
      <c r="T144" s="319">
        <f t="shared" si="30"/>
        <v>0</v>
      </c>
      <c r="U144" s="319">
        <f t="shared" si="31"/>
        <v>0</v>
      </c>
      <c r="V144" s="319">
        <f t="shared" si="32"/>
        <v>0</v>
      </c>
      <c r="W144" s="319">
        <f t="shared" si="33"/>
        <v>0</v>
      </c>
      <c r="X144" s="319">
        <f t="shared" si="34"/>
        <v>0</v>
      </c>
      <c r="Y144" s="319">
        <f t="shared" si="35"/>
        <v>0</v>
      </c>
      <c r="Z144" s="319">
        <f t="shared" si="36"/>
        <v>0</v>
      </c>
      <c r="AA144" s="319">
        <f t="shared" si="37"/>
        <v>0</v>
      </c>
      <c r="AB144" s="319">
        <f t="shared" si="38"/>
        <v>0</v>
      </c>
      <c r="AC144" s="319">
        <f t="shared" si="39"/>
        <v>0</v>
      </c>
      <c r="AD144" s="319">
        <f t="shared" si="40"/>
        <v>0</v>
      </c>
      <c r="AE144" s="319">
        <f t="shared" si="41"/>
        <v>0</v>
      </c>
      <c r="AF144" s="319">
        <f t="shared" si="42"/>
        <v>0</v>
      </c>
      <c r="AG144" s="319">
        <f t="shared" si="43"/>
        <v>0</v>
      </c>
      <c r="AH144" s="319">
        <f t="shared" si="44"/>
        <v>0</v>
      </c>
      <c r="AI144" s="319">
        <f t="shared" si="45"/>
        <v>0</v>
      </c>
      <c r="AJ144" s="319">
        <f t="shared" si="46"/>
        <v>0</v>
      </c>
      <c r="AK144" s="319">
        <f t="shared" si="47"/>
        <v>0</v>
      </c>
      <c r="AL144" s="319">
        <f t="shared" si="48"/>
        <v>0</v>
      </c>
      <c r="AM144" s="319">
        <f t="shared" si="49"/>
        <v>0</v>
      </c>
      <c r="AP144" s="266" t="s">
        <v>102</v>
      </c>
      <c r="AQ144" s="326">
        <v>0</v>
      </c>
      <c r="AR144" s="326">
        <v>0</v>
      </c>
      <c r="AS144" s="326">
        <v>0</v>
      </c>
      <c r="AT144" s="326">
        <v>0</v>
      </c>
      <c r="AU144" s="325">
        <v>0</v>
      </c>
      <c r="AV144" s="325">
        <v>0</v>
      </c>
      <c r="AW144" s="325">
        <v>0</v>
      </c>
      <c r="AX144" s="325">
        <v>0</v>
      </c>
      <c r="AY144" s="325">
        <v>0</v>
      </c>
      <c r="AZ144" s="325">
        <v>0</v>
      </c>
      <c r="BA144" s="325">
        <v>1</v>
      </c>
      <c r="BB144" s="325">
        <v>0</v>
      </c>
      <c r="BC144" s="325">
        <v>0</v>
      </c>
      <c r="BD144" s="325">
        <v>0</v>
      </c>
      <c r="BE144" s="325">
        <v>0</v>
      </c>
      <c r="BF144" s="325">
        <v>0</v>
      </c>
      <c r="BG144" s="325">
        <v>0</v>
      </c>
      <c r="BH144" s="325">
        <v>0</v>
      </c>
      <c r="BI144" s="325">
        <v>0</v>
      </c>
      <c r="BJ144" s="325">
        <v>0</v>
      </c>
      <c r="BK144" s="325">
        <v>0</v>
      </c>
      <c r="BL144" s="325">
        <v>0</v>
      </c>
      <c r="BM144" s="325">
        <v>0</v>
      </c>
      <c r="BN144" s="325">
        <v>0</v>
      </c>
      <c r="BO144" s="325">
        <v>0</v>
      </c>
      <c r="BP144" s="325">
        <v>0</v>
      </c>
      <c r="BQ144" s="325">
        <v>0</v>
      </c>
      <c r="BR144" s="325">
        <v>0</v>
      </c>
      <c r="BS144" s="325">
        <v>0</v>
      </c>
      <c r="BT144" s="325">
        <v>0</v>
      </c>
      <c r="BU144" s="325">
        <v>0</v>
      </c>
      <c r="BV144" s="325">
        <v>0</v>
      </c>
      <c r="BW144" s="325">
        <v>0</v>
      </c>
      <c r="BX144" s="325">
        <v>0</v>
      </c>
      <c r="BY144" s="325">
        <v>0</v>
      </c>
    </row>
    <row r="145" spans="2:77" ht="10.15" customHeight="1">
      <c r="B145" s="324" t="s">
        <v>102</v>
      </c>
      <c r="D145" s="319">
        <f t="shared" si="14"/>
        <v>0</v>
      </c>
      <c r="E145" s="319">
        <f t="shared" si="15"/>
        <v>0</v>
      </c>
      <c r="F145" s="319">
        <f t="shared" si="16"/>
        <v>0</v>
      </c>
      <c r="G145" s="319">
        <f t="shared" si="17"/>
        <v>0</v>
      </c>
      <c r="H145" s="319">
        <f t="shared" si="18"/>
        <v>0</v>
      </c>
      <c r="I145" s="319">
        <f t="shared" si="19"/>
        <v>0</v>
      </c>
      <c r="J145" s="319">
        <f t="shared" si="20"/>
        <v>0</v>
      </c>
      <c r="K145" s="319">
        <f t="shared" si="21"/>
        <v>0</v>
      </c>
      <c r="L145" s="319">
        <f t="shared" si="22"/>
        <v>0</v>
      </c>
      <c r="M145" s="319">
        <f t="shared" si="23"/>
        <v>0</v>
      </c>
      <c r="N145" s="319">
        <f t="shared" si="24"/>
        <v>0</v>
      </c>
      <c r="O145" s="319">
        <f t="shared" si="25"/>
        <v>0</v>
      </c>
      <c r="P145" s="319">
        <f t="shared" si="26"/>
        <v>0</v>
      </c>
      <c r="Q145" s="319">
        <f t="shared" si="27"/>
        <v>0</v>
      </c>
      <c r="R145" s="319">
        <f t="shared" si="28"/>
        <v>0</v>
      </c>
      <c r="S145" s="319">
        <f t="shared" si="29"/>
        <v>0</v>
      </c>
      <c r="T145" s="319">
        <f t="shared" si="30"/>
        <v>0</v>
      </c>
      <c r="U145" s="319">
        <f t="shared" si="31"/>
        <v>0</v>
      </c>
      <c r="V145" s="319">
        <f t="shared" si="32"/>
        <v>0</v>
      </c>
      <c r="W145" s="319">
        <f t="shared" si="33"/>
        <v>0</v>
      </c>
      <c r="X145" s="319">
        <f t="shared" si="34"/>
        <v>0</v>
      </c>
      <c r="Y145" s="319">
        <f t="shared" si="35"/>
        <v>0</v>
      </c>
      <c r="Z145" s="319">
        <f t="shared" si="36"/>
        <v>0</v>
      </c>
      <c r="AA145" s="319">
        <f t="shared" si="37"/>
        <v>0</v>
      </c>
      <c r="AB145" s="319">
        <f t="shared" si="38"/>
        <v>0</v>
      </c>
      <c r="AC145" s="319">
        <f t="shared" si="39"/>
        <v>0</v>
      </c>
      <c r="AD145" s="319">
        <f t="shared" si="40"/>
        <v>0</v>
      </c>
      <c r="AE145" s="319">
        <f t="shared" si="41"/>
        <v>0</v>
      </c>
      <c r="AF145" s="319">
        <f t="shared" si="42"/>
        <v>0</v>
      </c>
      <c r="AG145" s="319">
        <f t="shared" si="43"/>
        <v>0</v>
      </c>
      <c r="AH145" s="319">
        <f t="shared" si="44"/>
        <v>0</v>
      </c>
      <c r="AI145" s="319">
        <f t="shared" si="45"/>
        <v>0</v>
      </c>
      <c r="AJ145" s="319">
        <f t="shared" si="46"/>
        <v>0</v>
      </c>
      <c r="AK145" s="319">
        <f t="shared" si="47"/>
        <v>0</v>
      </c>
      <c r="AL145" s="319">
        <f t="shared" si="48"/>
        <v>0</v>
      </c>
      <c r="AM145" s="319">
        <f t="shared" si="49"/>
        <v>0</v>
      </c>
      <c r="AP145" s="266" t="s">
        <v>103</v>
      </c>
      <c r="AQ145" s="326">
        <v>0</v>
      </c>
      <c r="AR145" s="326">
        <v>0</v>
      </c>
      <c r="AS145" s="326">
        <v>0</v>
      </c>
      <c r="AT145" s="326">
        <v>0</v>
      </c>
      <c r="AU145" s="325">
        <v>0</v>
      </c>
      <c r="AV145" s="325">
        <v>0</v>
      </c>
      <c r="AW145" s="325">
        <v>0</v>
      </c>
      <c r="AX145" s="325">
        <v>0</v>
      </c>
      <c r="AY145" s="325">
        <v>0</v>
      </c>
      <c r="AZ145" s="325">
        <v>0</v>
      </c>
      <c r="BA145" s="325">
        <v>0</v>
      </c>
      <c r="BB145" s="325">
        <v>1</v>
      </c>
      <c r="BC145" s="325">
        <v>0</v>
      </c>
      <c r="BD145" s="325">
        <v>0</v>
      </c>
      <c r="BE145" s="325">
        <v>0</v>
      </c>
      <c r="BF145" s="325">
        <v>0</v>
      </c>
      <c r="BG145" s="325">
        <v>0</v>
      </c>
      <c r="BH145" s="325">
        <v>0</v>
      </c>
      <c r="BI145" s="325">
        <v>0</v>
      </c>
      <c r="BJ145" s="325">
        <v>0</v>
      </c>
      <c r="BK145" s="325">
        <v>0</v>
      </c>
      <c r="BL145" s="325">
        <v>0</v>
      </c>
      <c r="BM145" s="325">
        <v>0</v>
      </c>
      <c r="BN145" s="325">
        <v>0</v>
      </c>
      <c r="BO145" s="325">
        <v>0</v>
      </c>
      <c r="BP145" s="325">
        <v>0</v>
      </c>
      <c r="BQ145" s="325">
        <v>0</v>
      </c>
      <c r="BR145" s="325">
        <v>0</v>
      </c>
      <c r="BS145" s="325">
        <v>0</v>
      </c>
      <c r="BT145" s="325">
        <v>0</v>
      </c>
      <c r="BU145" s="325">
        <v>0</v>
      </c>
      <c r="BV145" s="325">
        <v>0</v>
      </c>
      <c r="BW145" s="325">
        <v>0</v>
      </c>
      <c r="BX145" s="325">
        <v>0</v>
      </c>
      <c r="BY145" s="325">
        <v>0</v>
      </c>
    </row>
    <row r="146" spans="2:77" ht="10.15" customHeight="1">
      <c r="B146" s="324" t="s">
        <v>103</v>
      </c>
      <c r="D146" s="319">
        <f t="shared" si="14"/>
        <v>0</v>
      </c>
      <c r="E146" s="319">
        <f t="shared" si="15"/>
        <v>0</v>
      </c>
      <c r="F146" s="319">
        <f t="shared" si="16"/>
        <v>0</v>
      </c>
      <c r="G146" s="319">
        <f t="shared" si="17"/>
        <v>0</v>
      </c>
      <c r="H146" s="319">
        <f t="shared" si="18"/>
        <v>0</v>
      </c>
      <c r="I146" s="319">
        <f t="shared" si="19"/>
        <v>0</v>
      </c>
      <c r="J146" s="319">
        <f t="shared" si="20"/>
        <v>0</v>
      </c>
      <c r="K146" s="319">
        <f t="shared" si="21"/>
        <v>0</v>
      </c>
      <c r="L146" s="319">
        <f t="shared" si="22"/>
        <v>0</v>
      </c>
      <c r="M146" s="319">
        <f t="shared" si="23"/>
        <v>0</v>
      </c>
      <c r="N146" s="319">
        <f t="shared" si="24"/>
        <v>0</v>
      </c>
      <c r="O146" s="319">
        <f t="shared" si="25"/>
        <v>0</v>
      </c>
      <c r="P146" s="319">
        <f t="shared" si="26"/>
        <v>0</v>
      </c>
      <c r="Q146" s="319">
        <f t="shared" si="27"/>
        <v>0</v>
      </c>
      <c r="R146" s="319">
        <f t="shared" si="28"/>
        <v>0</v>
      </c>
      <c r="S146" s="319">
        <f t="shared" si="29"/>
        <v>0</v>
      </c>
      <c r="T146" s="319">
        <f t="shared" si="30"/>
        <v>0</v>
      </c>
      <c r="U146" s="319">
        <f t="shared" si="31"/>
        <v>0</v>
      </c>
      <c r="V146" s="319">
        <f t="shared" si="32"/>
        <v>0</v>
      </c>
      <c r="W146" s="319">
        <f t="shared" si="33"/>
        <v>0</v>
      </c>
      <c r="X146" s="319">
        <f t="shared" si="34"/>
        <v>0</v>
      </c>
      <c r="Y146" s="319">
        <f t="shared" si="35"/>
        <v>0</v>
      </c>
      <c r="Z146" s="319">
        <f t="shared" si="36"/>
        <v>0</v>
      </c>
      <c r="AA146" s="319">
        <f t="shared" si="37"/>
        <v>0</v>
      </c>
      <c r="AB146" s="319">
        <f t="shared" si="38"/>
        <v>0</v>
      </c>
      <c r="AC146" s="319">
        <f t="shared" si="39"/>
        <v>0</v>
      </c>
      <c r="AD146" s="319">
        <f t="shared" si="40"/>
        <v>0</v>
      </c>
      <c r="AE146" s="319">
        <f t="shared" si="41"/>
        <v>0</v>
      </c>
      <c r="AF146" s="319">
        <f t="shared" si="42"/>
        <v>0</v>
      </c>
      <c r="AG146" s="319">
        <f t="shared" si="43"/>
        <v>0</v>
      </c>
      <c r="AH146" s="319">
        <f t="shared" si="44"/>
        <v>0</v>
      </c>
      <c r="AI146" s="319">
        <f t="shared" si="45"/>
        <v>0</v>
      </c>
      <c r="AJ146" s="319">
        <f t="shared" si="46"/>
        <v>0</v>
      </c>
      <c r="AK146" s="319">
        <f t="shared" si="47"/>
        <v>0</v>
      </c>
      <c r="AL146" s="319">
        <f t="shared" si="48"/>
        <v>0</v>
      </c>
      <c r="AM146" s="319">
        <f t="shared" si="49"/>
        <v>0</v>
      </c>
      <c r="AP146" s="266" t="s">
        <v>104</v>
      </c>
      <c r="AQ146" s="326">
        <v>0</v>
      </c>
      <c r="AR146" s="326">
        <v>0</v>
      </c>
      <c r="AS146" s="326">
        <v>0</v>
      </c>
      <c r="AT146" s="326">
        <v>0</v>
      </c>
      <c r="AU146" s="325">
        <v>0</v>
      </c>
      <c r="AV146" s="325">
        <v>0</v>
      </c>
      <c r="AW146" s="325">
        <v>0</v>
      </c>
      <c r="AX146" s="325">
        <v>0</v>
      </c>
      <c r="AY146" s="325">
        <v>0</v>
      </c>
      <c r="AZ146" s="325">
        <v>0</v>
      </c>
      <c r="BA146" s="325">
        <v>0</v>
      </c>
      <c r="BB146" s="325">
        <v>0</v>
      </c>
      <c r="BC146" s="325">
        <v>1</v>
      </c>
      <c r="BD146" s="325">
        <v>0</v>
      </c>
      <c r="BE146" s="325">
        <v>0</v>
      </c>
      <c r="BF146" s="325">
        <v>0</v>
      </c>
      <c r="BG146" s="325">
        <v>0</v>
      </c>
      <c r="BH146" s="325">
        <v>0</v>
      </c>
      <c r="BI146" s="325">
        <v>0</v>
      </c>
      <c r="BJ146" s="325">
        <v>0</v>
      </c>
      <c r="BK146" s="325">
        <v>0</v>
      </c>
      <c r="BL146" s="325">
        <v>0</v>
      </c>
      <c r="BM146" s="325">
        <v>0</v>
      </c>
      <c r="BN146" s="325">
        <v>0</v>
      </c>
      <c r="BO146" s="325">
        <v>0</v>
      </c>
      <c r="BP146" s="325">
        <v>0</v>
      </c>
      <c r="BQ146" s="325">
        <v>0</v>
      </c>
      <c r="BR146" s="325">
        <v>0</v>
      </c>
      <c r="BS146" s="325">
        <v>0</v>
      </c>
      <c r="BT146" s="325">
        <v>0</v>
      </c>
      <c r="BU146" s="325">
        <v>0</v>
      </c>
      <c r="BV146" s="325">
        <v>0</v>
      </c>
      <c r="BW146" s="325">
        <v>0</v>
      </c>
      <c r="BX146" s="325">
        <v>0</v>
      </c>
      <c r="BY146" s="325">
        <v>0</v>
      </c>
    </row>
    <row r="147" spans="2:77" ht="10.15" customHeight="1">
      <c r="B147" s="324" t="s">
        <v>104</v>
      </c>
      <c r="D147" s="319">
        <f t="shared" si="14"/>
        <v>0</v>
      </c>
      <c r="E147" s="319">
        <f t="shared" si="15"/>
        <v>0</v>
      </c>
      <c r="F147" s="319">
        <f t="shared" si="16"/>
        <v>0</v>
      </c>
      <c r="G147" s="319">
        <f t="shared" si="17"/>
        <v>0</v>
      </c>
      <c r="H147" s="319">
        <f t="shared" si="18"/>
        <v>0</v>
      </c>
      <c r="I147" s="319">
        <f t="shared" si="19"/>
        <v>0</v>
      </c>
      <c r="J147" s="319">
        <f t="shared" si="20"/>
        <v>0</v>
      </c>
      <c r="K147" s="319">
        <f t="shared" si="21"/>
        <v>0</v>
      </c>
      <c r="L147" s="319">
        <f t="shared" si="22"/>
        <v>0</v>
      </c>
      <c r="M147" s="319">
        <f t="shared" si="23"/>
        <v>0</v>
      </c>
      <c r="N147" s="319">
        <f t="shared" si="24"/>
        <v>0</v>
      </c>
      <c r="O147" s="319">
        <f t="shared" si="25"/>
        <v>0</v>
      </c>
      <c r="P147" s="319">
        <f t="shared" si="26"/>
        <v>0</v>
      </c>
      <c r="Q147" s="319">
        <f t="shared" si="27"/>
        <v>0</v>
      </c>
      <c r="R147" s="319">
        <f t="shared" si="28"/>
        <v>0</v>
      </c>
      <c r="S147" s="319">
        <f t="shared" si="29"/>
        <v>0</v>
      </c>
      <c r="T147" s="319">
        <f t="shared" si="30"/>
        <v>0</v>
      </c>
      <c r="U147" s="319">
        <f t="shared" si="31"/>
        <v>0</v>
      </c>
      <c r="V147" s="319">
        <f t="shared" si="32"/>
        <v>0</v>
      </c>
      <c r="W147" s="319">
        <f t="shared" si="33"/>
        <v>0</v>
      </c>
      <c r="X147" s="319">
        <f t="shared" si="34"/>
        <v>0</v>
      </c>
      <c r="Y147" s="319">
        <f t="shared" si="35"/>
        <v>0</v>
      </c>
      <c r="Z147" s="319">
        <f t="shared" si="36"/>
        <v>0</v>
      </c>
      <c r="AA147" s="319">
        <f t="shared" si="37"/>
        <v>0</v>
      </c>
      <c r="AB147" s="319">
        <f t="shared" si="38"/>
        <v>0</v>
      </c>
      <c r="AC147" s="319">
        <f t="shared" si="39"/>
        <v>0</v>
      </c>
      <c r="AD147" s="319">
        <f t="shared" si="40"/>
        <v>0</v>
      </c>
      <c r="AE147" s="319">
        <f t="shared" si="41"/>
        <v>0</v>
      </c>
      <c r="AF147" s="319">
        <f t="shared" si="42"/>
        <v>0</v>
      </c>
      <c r="AG147" s="319">
        <f t="shared" si="43"/>
        <v>0</v>
      </c>
      <c r="AH147" s="319">
        <f t="shared" si="44"/>
        <v>0</v>
      </c>
      <c r="AI147" s="319">
        <f t="shared" si="45"/>
        <v>0</v>
      </c>
      <c r="AJ147" s="319">
        <f t="shared" si="46"/>
        <v>0</v>
      </c>
      <c r="AK147" s="319">
        <f t="shared" si="47"/>
        <v>0</v>
      </c>
      <c r="AL147" s="319">
        <f t="shared" si="48"/>
        <v>0</v>
      </c>
      <c r="AM147" s="319">
        <f t="shared" si="49"/>
        <v>0</v>
      </c>
      <c r="AP147" s="266" t="s">
        <v>105</v>
      </c>
      <c r="AQ147" s="326">
        <v>0</v>
      </c>
      <c r="AR147" s="326">
        <v>0</v>
      </c>
      <c r="AS147" s="326">
        <v>0</v>
      </c>
      <c r="AT147" s="326">
        <v>0</v>
      </c>
      <c r="AU147" s="325">
        <v>0</v>
      </c>
      <c r="AV147" s="325">
        <v>0</v>
      </c>
      <c r="AW147" s="325">
        <v>0</v>
      </c>
      <c r="AX147" s="325">
        <v>0</v>
      </c>
      <c r="AY147" s="325">
        <v>0</v>
      </c>
      <c r="AZ147" s="325">
        <v>0</v>
      </c>
      <c r="BA147" s="325">
        <v>0</v>
      </c>
      <c r="BB147" s="325">
        <v>0</v>
      </c>
      <c r="BC147" s="325">
        <v>0</v>
      </c>
      <c r="BD147" s="325">
        <v>1</v>
      </c>
      <c r="BE147" s="325">
        <v>0</v>
      </c>
      <c r="BF147" s="325">
        <v>0</v>
      </c>
      <c r="BG147" s="325">
        <v>0</v>
      </c>
      <c r="BH147" s="325">
        <v>0</v>
      </c>
      <c r="BI147" s="325">
        <v>0</v>
      </c>
      <c r="BJ147" s="325">
        <v>0</v>
      </c>
      <c r="BK147" s="325">
        <v>0</v>
      </c>
      <c r="BL147" s="325">
        <v>0</v>
      </c>
      <c r="BM147" s="325">
        <v>0</v>
      </c>
      <c r="BN147" s="325">
        <v>0</v>
      </c>
      <c r="BO147" s="325">
        <v>0</v>
      </c>
      <c r="BP147" s="325">
        <v>0</v>
      </c>
      <c r="BQ147" s="325">
        <v>0</v>
      </c>
      <c r="BR147" s="325">
        <v>0</v>
      </c>
      <c r="BS147" s="325">
        <v>0</v>
      </c>
      <c r="BT147" s="325">
        <v>0</v>
      </c>
      <c r="BU147" s="325">
        <v>0</v>
      </c>
      <c r="BV147" s="325">
        <v>0</v>
      </c>
      <c r="BW147" s="325">
        <v>0</v>
      </c>
      <c r="BX147" s="325">
        <v>0</v>
      </c>
      <c r="BY147" s="325">
        <v>0</v>
      </c>
    </row>
    <row r="148" spans="2:77" ht="10.15" customHeight="1">
      <c r="B148" s="324" t="s">
        <v>105</v>
      </c>
      <c r="D148" s="319">
        <f t="shared" si="14"/>
        <v>0</v>
      </c>
      <c r="E148" s="319">
        <f t="shared" si="15"/>
        <v>0</v>
      </c>
      <c r="F148" s="319">
        <f t="shared" si="16"/>
        <v>0</v>
      </c>
      <c r="G148" s="319">
        <f t="shared" si="17"/>
        <v>0</v>
      </c>
      <c r="H148" s="319">
        <f t="shared" si="18"/>
        <v>0</v>
      </c>
      <c r="I148" s="319">
        <f t="shared" si="19"/>
        <v>0</v>
      </c>
      <c r="J148" s="319">
        <f t="shared" si="20"/>
        <v>0</v>
      </c>
      <c r="K148" s="319">
        <f t="shared" si="21"/>
        <v>0</v>
      </c>
      <c r="L148" s="319">
        <f t="shared" si="22"/>
        <v>0</v>
      </c>
      <c r="M148" s="319">
        <f t="shared" si="23"/>
        <v>0</v>
      </c>
      <c r="N148" s="319">
        <f t="shared" si="24"/>
        <v>0</v>
      </c>
      <c r="O148" s="319">
        <f t="shared" si="25"/>
        <v>0</v>
      </c>
      <c r="P148" s="319">
        <f t="shared" si="26"/>
        <v>0</v>
      </c>
      <c r="Q148" s="319">
        <f t="shared" si="27"/>
        <v>0</v>
      </c>
      <c r="R148" s="319">
        <f t="shared" si="28"/>
        <v>0</v>
      </c>
      <c r="S148" s="319">
        <f t="shared" si="29"/>
        <v>0</v>
      </c>
      <c r="T148" s="319">
        <f t="shared" si="30"/>
        <v>0</v>
      </c>
      <c r="U148" s="319">
        <f t="shared" si="31"/>
        <v>0</v>
      </c>
      <c r="V148" s="319">
        <f t="shared" si="32"/>
        <v>0</v>
      </c>
      <c r="W148" s="319">
        <f t="shared" si="33"/>
        <v>0</v>
      </c>
      <c r="X148" s="319">
        <f t="shared" si="34"/>
        <v>0</v>
      </c>
      <c r="Y148" s="319">
        <f t="shared" si="35"/>
        <v>0</v>
      </c>
      <c r="Z148" s="319">
        <f t="shared" si="36"/>
        <v>0</v>
      </c>
      <c r="AA148" s="319">
        <f t="shared" si="37"/>
        <v>0</v>
      </c>
      <c r="AB148" s="319">
        <f t="shared" si="38"/>
        <v>0</v>
      </c>
      <c r="AC148" s="319">
        <f t="shared" si="39"/>
        <v>0</v>
      </c>
      <c r="AD148" s="319">
        <f t="shared" si="40"/>
        <v>0</v>
      </c>
      <c r="AE148" s="319">
        <f t="shared" si="41"/>
        <v>0</v>
      </c>
      <c r="AF148" s="319">
        <f t="shared" si="42"/>
        <v>0</v>
      </c>
      <c r="AG148" s="319">
        <f t="shared" si="43"/>
        <v>0</v>
      </c>
      <c r="AH148" s="319">
        <f t="shared" si="44"/>
        <v>0</v>
      </c>
      <c r="AI148" s="319">
        <f t="shared" si="45"/>
        <v>0</v>
      </c>
      <c r="AJ148" s="319">
        <f t="shared" si="46"/>
        <v>0</v>
      </c>
      <c r="AK148" s="319">
        <f t="shared" si="47"/>
        <v>0</v>
      </c>
      <c r="AL148" s="319">
        <f t="shared" si="48"/>
        <v>0</v>
      </c>
      <c r="AM148" s="319">
        <f t="shared" si="49"/>
        <v>0</v>
      </c>
      <c r="AP148" s="266" t="s">
        <v>106</v>
      </c>
      <c r="AQ148" s="326">
        <v>0</v>
      </c>
      <c r="AR148" s="326">
        <v>0</v>
      </c>
      <c r="AS148" s="326">
        <v>0</v>
      </c>
      <c r="AT148" s="326">
        <v>0</v>
      </c>
      <c r="AU148" s="325">
        <v>0</v>
      </c>
      <c r="AV148" s="325">
        <v>0</v>
      </c>
      <c r="AW148" s="325">
        <v>0</v>
      </c>
      <c r="AX148" s="325">
        <v>0</v>
      </c>
      <c r="AY148" s="325">
        <v>0</v>
      </c>
      <c r="AZ148" s="325">
        <v>0</v>
      </c>
      <c r="BA148" s="325">
        <v>0</v>
      </c>
      <c r="BB148" s="325">
        <v>0</v>
      </c>
      <c r="BC148" s="325">
        <v>0</v>
      </c>
      <c r="BD148" s="325">
        <v>0</v>
      </c>
      <c r="BE148" s="325">
        <v>1</v>
      </c>
      <c r="BF148" s="325">
        <v>0</v>
      </c>
      <c r="BG148" s="325">
        <v>0</v>
      </c>
      <c r="BH148" s="325">
        <v>0</v>
      </c>
      <c r="BI148" s="325">
        <v>0</v>
      </c>
      <c r="BJ148" s="325">
        <v>0</v>
      </c>
      <c r="BK148" s="325">
        <v>0</v>
      </c>
      <c r="BL148" s="325">
        <v>0</v>
      </c>
      <c r="BM148" s="325">
        <v>0</v>
      </c>
      <c r="BN148" s="325">
        <v>0</v>
      </c>
      <c r="BO148" s="325">
        <v>0</v>
      </c>
      <c r="BP148" s="325">
        <v>0</v>
      </c>
      <c r="BQ148" s="325">
        <v>0</v>
      </c>
      <c r="BR148" s="325">
        <v>0</v>
      </c>
      <c r="BS148" s="325">
        <v>0</v>
      </c>
      <c r="BT148" s="325">
        <v>0</v>
      </c>
      <c r="BU148" s="325">
        <v>0</v>
      </c>
      <c r="BV148" s="325">
        <v>0</v>
      </c>
      <c r="BW148" s="325">
        <v>0</v>
      </c>
      <c r="BX148" s="325">
        <v>0</v>
      </c>
      <c r="BY148" s="325">
        <v>0</v>
      </c>
    </row>
    <row r="149" spans="2:77" ht="10.15" customHeight="1">
      <c r="B149" s="324" t="s">
        <v>106</v>
      </c>
      <c r="D149" s="319">
        <f t="shared" si="14"/>
        <v>0</v>
      </c>
      <c r="E149" s="319">
        <f t="shared" si="15"/>
        <v>0</v>
      </c>
      <c r="F149" s="319">
        <f t="shared" si="16"/>
        <v>0</v>
      </c>
      <c r="G149" s="319">
        <f t="shared" si="17"/>
        <v>0</v>
      </c>
      <c r="H149" s="319">
        <f t="shared" si="18"/>
        <v>0</v>
      </c>
      <c r="I149" s="319">
        <f t="shared" si="19"/>
        <v>0</v>
      </c>
      <c r="J149" s="319">
        <f t="shared" si="20"/>
        <v>0</v>
      </c>
      <c r="K149" s="319">
        <f t="shared" si="21"/>
        <v>0</v>
      </c>
      <c r="L149" s="319">
        <f t="shared" si="22"/>
        <v>0</v>
      </c>
      <c r="M149" s="319">
        <f t="shared" si="23"/>
        <v>0</v>
      </c>
      <c r="N149" s="319">
        <f t="shared" si="24"/>
        <v>0</v>
      </c>
      <c r="O149" s="319">
        <f t="shared" si="25"/>
        <v>0</v>
      </c>
      <c r="P149" s="319">
        <f t="shared" si="26"/>
        <v>0</v>
      </c>
      <c r="Q149" s="319">
        <f t="shared" si="27"/>
        <v>0</v>
      </c>
      <c r="R149" s="319">
        <f t="shared" si="28"/>
        <v>0</v>
      </c>
      <c r="S149" s="319">
        <f t="shared" si="29"/>
        <v>0</v>
      </c>
      <c r="T149" s="319">
        <f t="shared" si="30"/>
        <v>0</v>
      </c>
      <c r="U149" s="319">
        <f t="shared" si="31"/>
        <v>0</v>
      </c>
      <c r="V149" s="319">
        <f t="shared" si="32"/>
        <v>0</v>
      </c>
      <c r="W149" s="319">
        <f t="shared" si="33"/>
        <v>0</v>
      </c>
      <c r="X149" s="319">
        <f t="shared" si="34"/>
        <v>0</v>
      </c>
      <c r="Y149" s="319">
        <f t="shared" si="35"/>
        <v>0</v>
      </c>
      <c r="Z149" s="319">
        <f t="shared" si="36"/>
        <v>0</v>
      </c>
      <c r="AA149" s="319">
        <f t="shared" si="37"/>
        <v>0</v>
      </c>
      <c r="AB149" s="319">
        <f t="shared" si="38"/>
        <v>0</v>
      </c>
      <c r="AC149" s="319">
        <f t="shared" si="39"/>
        <v>0</v>
      </c>
      <c r="AD149" s="319">
        <f t="shared" si="40"/>
        <v>0</v>
      </c>
      <c r="AE149" s="319">
        <f t="shared" si="41"/>
        <v>0</v>
      </c>
      <c r="AF149" s="319">
        <f t="shared" si="42"/>
        <v>0</v>
      </c>
      <c r="AG149" s="319">
        <f t="shared" si="43"/>
        <v>0</v>
      </c>
      <c r="AH149" s="319">
        <f t="shared" si="44"/>
        <v>0</v>
      </c>
      <c r="AI149" s="319">
        <f t="shared" si="45"/>
        <v>0</v>
      </c>
      <c r="AJ149" s="319">
        <f t="shared" si="46"/>
        <v>0</v>
      </c>
      <c r="AK149" s="319">
        <f t="shared" si="47"/>
        <v>0</v>
      </c>
      <c r="AL149" s="319">
        <f t="shared" si="48"/>
        <v>0</v>
      </c>
      <c r="AM149" s="319">
        <f t="shared" si="49"/>
        <v>0</v>
      </c>
      <c r="AP149" s="266" t="s">
        <v>107</v>
      </c>
      <c r="AQ149" s="326">
        <v>0</v>
      </c>
      <c r="AR149" s="326">
        <v>0</v>
      </c>
      <c r="AS149" s="326">
        <v>0</v>
      </c>
      <c r="AT149" s="326">
        <v>0</v>
      </c>
      <c r="AU149" s="325">
        <v>0</v>
      </c>
      <c r="AV149" s="325">
        <v>0</v>
      </c>
      <c r="AW149" s="325">
        <v>0</v>
      </c>
      <c r="AX149" s="325">
        <v>0</v>
      </c>
      <c r="AY149" s="325">
        <v>0</v>
      </c>
      <c r="AZ149" s="325">
        <v>0</v>
      </c>
      <c r="BA149" s="325">
        <v>0</v>
      </c>
      <c r="BB149" s="325">
        <v>0</v>
      </c>
      <c r="BC149" s="325">
        <v>0</v>
      </c>
      <c r="BD149" s="325">
        <v>0</v>
      </c>
      <c r="BE149" s="325">
        <v>0</v>
      </c>
      <c r="BF149" s="325">
        <v>1</v>
      </c>
      <c r="BG149" s="325">
        <v>0</v>
      </c>
      <c r="BH149" s="325">
        <v>0</v>
      </c>
      <c r="BI149" s="325">
        <v>0</v>
      </c>
      <c r="BJ149" s="325">
        <v>0</v>
      </c>
      <c r="BK149" s="325">
        <v>0</v>
      </c>
      <c r="BL149" s="325">
        <v>0</v>
      </c>
      <c r="BM149" s="325">
        <v>0</v>
      </c>
      <c r="BN149" s="325">
        <v>0</v>
      </c>
      <c r="BO149" s="325">
        <v>0</v>
      </c>
      <c r="BP149" s="325">
        <v>0</v>
      </c>
      <c r="BQ149" s="325">
        <v>0</v>
      </c>
      <c r="BR149" s="325">
        <v>0</v>
      </c>
      <c r="BS149" s="325">
        <v>0</v>
      </c>
      <c r="BT149" s="325">
        <v>0</v>
      </c>
      <c r="BU149" s="325">
        <v>0</v>
      </c>
      <c r="BV149" s="325">
        <v>0</v>
      </c>
      <c r="BW149" s="325">
        <v>0</v>
      </c>
      <c r="BX149" s="325">
        <v>0</v>
      </c>
      <c r="BY149" s="325">
        <v>0</v>
      </c>
    </row>
    <row r="150" spans="2:77" ht="10.15" customHeight="1">
      <c r="B150" s="324" t="s">
        <v>107</v>
      </c>
      <c r="D150" s="319">
        <f t="shared" si="14"/>
        <v>0</v>
      </c>
      <c r="E150" s="319">
        <f t="shared" si="15"/>
        <v>0</v>
      </c>
      <c r="F150" s="319">
        <f t="shared" si="16"/>
        <v>0</v>
      </c>
      <c r="G150" s="319">
        <f t="shared" si="17"/>
        <v>0</v>
      </c>
      <c r="H150" s="319">
        <f t="shared" si="18"/>
        <v>0</v>
      </c>
      <c r="I150" s="319">
        <f t="shared" si="19"/>
        <v>0</v>
      </c>
      <c r="J150" s="319">
        <f t="shared" si="20"/>
        <v>0</v>
      </c>
      <c r="K150" s="319">
        <f t="shared" si="21"/>
        <v>0</v>
      </c>
      <c r="L150" s="319">
        <f t="shared" si="22"/>
        <v>0</v>
      </c>
      <c r="M150" s="319">
        <f t="shared" si="23"/>
        <v>0</v>
      </c>
      <c r="N150" s="319">
        <f t="shared" si="24"/>
        <v>0</v>
      </c>
      <c r="O150" s="319">
        <f t="shared" si="25"/>
        <v>0</v>
      </c>
      <c r="P150" s="319">
        <f t="shared" si="26"/>
        <v>0</v>
      </c>
      <c r="Q150" s="319">
        <f t="shared" si="27"/>
        <v>0</v>
      </c>
      <c r="R150" s="319">
        <f t="shared" si="28"/>
        <v>0</v>
      </c>
      <c r="S150" s="319">
        <f t="shared" si="29"/>
        <v>0</v>
      </c>
      <c r="T150" s="319">
        <f t="shared" si="30"/>
        <v>0</v>
      </c>
      <c r="U150" s="319">
        <f t="shared" si="31"/>
        <v>0</v>
      </c>
      <c r="V150" s="319">
        <f t="shared" si="32"/>
        <v>0</v>
      </c>
      <c r="W150" s="319">
        <f t="shared" si="33"/>
        <v>0</v>
      </c>
      <c r="X150" s="319">
        <f t="shared" si="34"/>
        <v>0</v>
      </c>
      <c r="Y150" s="319">
        <f t="shared" si="35"/>
        <v>0</v>
      </c>
      <c r="Z150" s="319">
        <f t="shared" si="36"/>
        <v>0</v>
      </c>
      <c r="AA150" s="319">
        <f t="shared" si="37"/>
        <v>0</v>
      </c>
      <c r="AB150" s="319">
        <f t="shared" si="38"/>
        <v>0</v>
      </c>
      <c r="AC150" s="319">
        <f t="shared" si="39"/>
        <v>0</v>
      </c>
      <c r="AD150" s="319">
        <f t="shared" si="40"/>
        <v>0</v>
      </c>
      <c r="AE150" s="319">
        <f t="shared" si="41"/>
        <v>0</v>
      </c>
      <c r="AF150" s="319">
        <f t="shared" si="42"/>
        <v>0</v>
      </c>
      <c r="AG150" s="319">
        <f t="shared" si="43"/>
        <v>0</v>
      </c>
      <c r="AH150" s="319">
        <f t="shared" si="44"/>
        <v>0</v>
      </c>
      <c r="AI150" s="319">
        <f t="shared" si="45"/>
        <v>0</v>
      </c>
      <c r="AJ150" s="319">
        <f t="shared" si="46"/>
        <v>0</v>
      </c>
      <c r="AK150" s="319">
        <f t="shared" si="47"/>
        <v>0</v>
      </c>
      <c r="AL150" s="319">
        <f t="shared" si="48"/>
        <v>0</v>
      </c>
      <c r="AM150" s="319">
        <f t="shared" si="49"/>
        <v>0</v>
      </c>
      <c r="AP150" s="266" t="s">
        <v>108</v>
      </c>
      <c r="AQ150" s="326">
        <v>0</v>
      </c>
      <c r="AR150" s="326">
        <v>0</v>
      </c>
      <c r="AS150" s="326">
        <v>0</v>
      </c>
      <c r="AT150" s="326">
        <v>0</v>
      </c>
      <c r="AU150" s="325">
        <v>0</v>
      </c>
      <c r="AV150" s="325">
        <v>0</v>
      </c>
      <c r="AW150" s="325">
        <v>0</v>
      </c>
      <c r="AX150" s="325">
        <v>0</v>
      </c>
      <c r="AY150" s="325">
        <v>0</v>
      </c>
      <c r="AZ150" s="325">
        <v>0</v>
      </c>
      <c r="BA150" s="325">
        <v>0</v>
      </c>
      <c r="BB150" s="325">
        <v>0</v>
      </c>
      <c r="BC150" s="325">
        <v>0</v>
      </c>
      <c r="BD150" s="325">
        <v>0</v>
      </c>
      <c r="BE150" s="325">
        <v>0</v>
      </c>
      <c r="BF150" s="325">
        <v>0</v>
      </c>
      <c r="BG150" s="325">
        <v>1</v>
      </c>
      <c r="BH150" s="325">
        <v>0</v>
      </c>
      <c r="BI150" s="325">
        <v>0</v>
      </c>
      <c r="BJ150" s="325">
        <v>0</v>
      </c>
      <c r="BK150" s="325">
        <v>0</v>
      </c>
      <c r="BL150" s="325">
        <v>0</v>
      </c>
      <c r="BM150" s="325">
        <v>0</v>
      </c>
      <c r="BN150" s="325">
        <v>0</v>
      </c>
      <c r="BO150" s="325">
        <v>0</v>
      </c>
      <c r="BP150" s="325">
        <v>0</v>
      </c>
      <c r="BQ150" s="325">
        <v>0</v>
      </c>
      <c r="BR150" s="325">
        <v>0</v>
      </c>
      <c r="BS150" s="325">
        <v>0</v>
      </c>
      <c r="BT150" s="325">
        <v>0</v>
      </c>
      <c r="BU150" s="325">
        <v>0</v>
      </c>
      <c r="BV150" s="325">
        <v>0</v>
      </c>
      <c r="BW150" s="325">
        <v>0</v>
      </c>
      <c r="BX150" s="325">
        <v>0</v>
      </c>
      <c r="BY150" s="325">
        <v>0</v>
      </c>
    </row>
    <row r="151" spans="2:77" ht="10.15" customHeight="1">
      <c r="B151" s="324" t="s">
        <v>108</v>
      </c>
      <c r="D151" s="319">
        <f t="shared" si="14"/>
        <v>0</v>
      </c>
      <c r="E151" s="319">
        <f t="shared" si="15"/>
        <v>0</v>
      </c>
      <c r="F151" s="319">
        <f t="shared" si="16"/>
        <v>0</v>
      </c>
      <c r="G151" s="319">
        <f t="shared" si="17"/>
        <v>0</v>
      </c>
      <c r="H151" s="319">
        <f t="shared" si="18"/>
        <v>0</v>
      </c>
      <c r="I151" s="319">
        <f t="shared" si="19"/>
        <v>0</v>
      </c>
      <c r="J151" s="319">
        <f t="shared" si="20"/>
        <v>0</v>
      </c>
      <c r="K151" s="319">
        <f t="shared" si="21"/>
        <v>0</v>
      </c>
      <c r="L151" s="319">
        <f t="shared" si="22"/>
        <v>0</v>
      </c>
      <c r="M151" s="319">
        <f t="shared" si="23"/>
        <v>0</v>
      </c>
      <c r="N151" s="319">
        <f t="shared" si="24"/>
        <v>0</v>
      </c>
      <c r="O151" s="319">
        <f t="shared" si="25"/>
        <v>0</v>
      </c>
      <c r="P151" s="319">
        <f t="shared" si="26"/>
        <v>0</v>
      </c>
      <c r="Q151" s="319">
        <f t="shared" si="27"/>
        <v>0</v>
      </c>
      <c r="R151" s="319">
        <f t="shared" si="28"/>
        <v>0</v>
      </c>
      <c r="S151" s="319">
        <f t="shared" si="29"/>
        <v>0</v>
      </c>
      <c r="T151" s="319">
        <f t="shared" si="30"/>
        <v>0</v>
      </c>
      <c r="U151" s="319">
        <f t="shared" si="31"/>
        <v>0</v>
      </c>
      <c r="V151" s="319">
        <f t="shared" si="32"/>
        <v>0</v>
      </c>
      <c r="W151" s="319">
        <f t="shared" si="33"/>
        <v>0</v>
      </c>
      <c r="X151" s="319">
        <f t="shared" si="34"/>
        <v>0</v>
      </c>
      <c r="Y151" s="319">
        <f t="shared" si="35"/>
        <v>0</v>
      </c>
      <c r="Z151" s="319">
        <f t="shared" si="36"/>
        <v>0</v>
      </c>
      <c r="AA151" s="319">
        <f t="shared" si="37"/>
        <v>0</v>
      </c>
      <c r="AB151" s="319">
        <f t="shared" si="38"/>
        <v>0</v>
      </c>
      <c r="AC151" s="319">
        <f t="shared" si="39"/>
        <v>0</v>
      </c>
      <c r="AD151" s="319">
        <f t="shared" si="40"/>
        <v>0</v>
      </c>
      <c r="AE151" s="319">
        <f t="shared" si="41"/>
        <v>0</v>
      </c>
      <c r="AF151" s="319">
        <f t="shared" si="42"/>
        <v>0</v>
      </c>
      <c r="AG151" s="319">
        <f t="shared" si="43"/>
        <v>0</v>
      </c>
      <c r="AH151" s="319">
        <f t="shared" si="44"/>
        <v>0</v>
      </c>
      <c r="AI151" s="319">
        <f t="shared" si="45"/>
        <v>0</v>
      </c>
      <c r="AJ151" s="319">
        <f t="shared" si="46"/>
        <v>0</v>
      </c>
      <c r="AK151" s="319">
        <f t="shared" si="47"/>
        <v>0</v>
      </c>
      <c r="AL151" s="319">
        <f t="shared" si="48"/>
        <v>0</v>
      </c>
      <c r="AM151" s="319">
        <f t="shared" si="49"/>
        <v>0</v>
      </c>
      <c r="AP151" s="266" t="s">
        <v>109</v>
      </c>
      <c r="AQ151" s="326">
        <v>0</v>
      </c>
      <c r="AR151" s="326">
        <v>0</v>
      </c>
      <c r="AS151" s="326">
        <v>0</v>
      </c>
      <c r="AT151" s="326">
        <v>0</v>
      </c>
      <c r="AU151" s="325">
        <v>0</v>
      </c>
      <c r="AV151" s="325">
        <v>0</v>
      </c>
      <c r="AW151" s="325">
        <v>0</v>
      </c>
      <c r="AX151" s="325">
        <v>0</v>
      </c>
      <c r="AY151" s="325">
        <v>0</v>
      </c>
      <c r="AZ151" s="325">
        <v>0</v>
      </c>
      <c r="BA151" s="325">
        <v>0</v>
      </c>
      <c r="BB151" s="325">
        <v>0</v>
      </c>
      <c r="BC151" s="325">
        <v>0</v>
      </c>
      <c r="BD151" s="325">
        <v>0</v>
      </c>
      <c r="BE151" s="325">
        <v>0</v>
      </c>
      <c r="BF151" s="325">
        <v>0</v>
      </c>
      <c r="BG151" s="325">
        <v>0</v>
      </c>
      <c r="BH151" s="325">
        <v>1</v>
      </c>
      <c r="BI151" s="325">
        <v>0</v>
      </c>
      <c r="BJ151" s="325">
        <v>0</v>
      </c>
      <c r="BK151" s="325">
        <v>0</v>
      </c>
      <c r="BL151" s="325">
        <v>0</v>
      </c>
      <c r="BM151" s="325">
        <v>0</v>
      </c>
      <c r="BN151" s="325">
        <v>0</v>
      </c>
      <c r="BO151" s="325">
        <v>0</v>
      </c>
      <c r="BP151" s="325">
        <v>0</v>
      </c>
      <c r="BQ151" s="325">
        <v>0</v>
      </c>
      <c r="BR151" s="325">
        <v>0</v>
      </c>
      <c r="BS151" s="325">
        <v>0</v>
      </c>
      <c r="BT151" s="325">
        <v>0</v>
      </c>
      <c r="BU151" s="325">
        <v>0</v>
      </c>
      <c r="BV151" s="325">
        <v>0</v>
      </c>
      <c r="BW151" s="325">
        <v>0</v>
      </c>
      <c r="BX151" s="325">
        <v>0</v>
      </c>
      <c r="BY151" s="325">
        <v>0</v>
      </c>
    </row>
    <row r="152" spans="2:77" ht="10.15" customHeight="1">
      <c r="B152" s="324" t="s">
        <v>109</v>
      </c>
      <c r="D152" s="319">
        <f t="shared" si="14"/>
        <v>0</v>
      </c>
      <c r="E152" s="319">
        <f t="shared" si="15"/>
        <v>0</v>
      </c>
      <c r="F152" s="319">
        <f t="shared" si="16"/>
        <v>0</v>
      </c>
      <c r="G152" s="319">
        <f t="shared" si="17"/>
        <v>0</v>
      </c>
      <c r="H152" s="319">
        <f t="shared" si="18"/>
        <v>0</v>
      </c>
      <c r="I152" s="319">
        <f t="shared" si="19"/>
        <v>0</v>
      </c>
      <c r="J152" s="319">
        <f t="shared" si="20"/>
        <v>0</v>
      </c>
      <c r="K152" s="319">
        <f t="shared" si="21"/>
        <v>0</v>
      </c>
      <c r="L152" s="319">
        <f t="shared" si="22"/>
        <v>0</v>
      </c>
      <c r="M152" s="319">
        <f t="shared" si="23"/>
        <v>0</v>
      </c>
      <c r="N152" s="319">
        <f t="shared" si="24"/>
        <v>0</v>
      </c>
      <c r="O152" s="319">
        <f t="shared" si="25"/>
        <v>0</v>
      </c>
      <c r="P152" s="319">
        <f t="shared" si="26"/>
        <v>0</v>
      </c>
      <c r="Q152" s="319">
        <f t="shared" si="27"/>
        <v>0</v>
      </c>
      <c r="R152" s="319">
        <f t="shared" si="28"/>
        <v>0</v>
      </c>
      <c r="S152" s="319">
        <f t="shared" si="29"/>
        <v>0</v>
      </c>
      <c r="T152" s="319">
        <f t="shared" si="30"/>
        <v>0</v>
      </c>
      <c r="U152" s="319">
        <f t="shared" si="31"/>
        <v>0</v>
      </c>
      <c r="V152" s="319">
        <f t="shared" si="32"/>
        <v>0</v>
      </c>
      <c r="W152" s="319">
        <f t="shared" si="33"/>
        <v>0</v>
      </c>
      <c r="X152" s="319">
        <f t="shared" si="34"/>
        <v>0</v>
      </c>
      <c r="Y152" s="319">
        <f t="shared" si="35"/>
        <v>0</v>
      </c>
      <c r="Z152" s="319">
        <f t="shared" si="36"/>
        <v>0</v>
      </c>
      <c r="AA152" s="319">
        <f t="shared" si="37"/>
        <v>0</v>
      </c>
      <c r="AB152" s="319">
        <f t="shared" si="38"/>
        <v>0</v>
      </c>
      <c r="AC152" s="319">
        <f t="shared" si="39"/>
        <v>0</v>
      </c>
      <c r="AD152" s="319">
        <f t="shared" si="40"/>
        <v>0</v>
      </c>
      <c r="AE152" s="319">
        <f t="shared" si="41"/>
        <v>0</v>
      </c>
      <c r="AF152" s="319">
        <f t="shared" si="42"/>
        <v>0</v>
      </c>
      <c r="AG152" s="319">
        <f t="shared" si="43"/>
        <v>0</v>
      </c>
      <c r="AH152" s="319">
        <f t="shared" si="44"/>
        <v>0</v>
      </c>
      <c r="AI152" s="319">
        <f t="shared" si="45"/>
        <v>0</v>
      </c>
      <c r="AJ152" s="319">
        <f t="shared" si="46"/>
        <v>0</v>
      </c>
      <c r="AK152" s="319">
        <f t="shared" si="47"/>
        <v>0</v>
      </c>
      <c r="AL152" s="319">
        <f t="shared" si="48"/>
        <v>0</v>
      </c>
      <c r="AM152" s="319">
        <f t="shared" si="49"/>
        <v>0</v>
      </c>
      <c r="AP152" s="266" t="s">
        <v>110</v>
      </c>
      <c r="AQ152" s="326">
        <v>0</v>
      </c>
      <c r="AR152" s="326">
        <v>0</v>
      </c>
      <c r="AS152" s="326">
        <v>0</v>
      </c>
      <c r="AT152" s="326">
        <v>0</v>
      </c>
      <c r="AU152" s="325">
        <v>0</v>
      </c>
      <c r="AV152" s="325">
        <v>0</v>
      </c>
      <c r="AW152" s="325">
        <v>0</v>
      </c>
      <c r="AX152" s="325">
        <v>0</v>
      </c>
      <c r="AY152" s="325">
        <v>0</v>
      </c>
      <c r="AZ152" s="325">
        <v>0</v>
      </c>
      <c r="BA152" s="325">
        <v>0</v>
      </c>
      <c r="BB152" s="325">
        <v>0</v>
      </c>
      <c r="BC152" s="325">
        <v>0</v>
      </c>
      <c r="BD152" s="325">
        <v>0</v>
      </c>
      <c r="BE152" s="325">
        <v>0</v>
      </c>
      <c r="BF152" s="325">
        <v>0</v>
      </c>
      <c r="BG152" s="325">
        <v>0</v>
      </c>
      <c r="BH152" s="325">
        <v>0</v>
      </c>
      <c r="BI152" s="325">
        <v>1</v>
      </c>
      <c r="BJ152" s="325">
        <v>0</v>
      </c>
      <c r="BK152" s="325">
        <v>0</v>
      </c>
      <c r="BL152" s="325">
        <v>0</v>
      </c>
      <c r="BM152" s="325">
        <v>0</v>
      </c>
      <c r="BN152" s="325">
        <v>0</v>
      </c>
      <c r="BO152" s="325">
        <v>0</v>
      </c>
      <c r="BP152" s="325">
        <v>0</v>
      </c>
      <c r="BQ152" s="325">
        <v>0</v>
      </c>
      <c r="BR152" s="325">
        <v>0</v>
      </c>
      <c r="BS152" s="325">
        <v>0</v>
      </c>
      <c r="BT152" s="325">
        <v>0</v>
      </c>
      <c r="BU152" s="325">
        <v>0</v>
      </c>
      <c r="BV152" s="325">
        <v>0</v>
      </c>
      <c r="BW152" s="325">
        <v>0</v>
      </c>
      <c r="BX152" s="325">
        <v>0</v>
      </c>
      <c r="BY152" s="325">
        <v>0</v>
      </c>
    </row>
    <row r="153" spans="2:77" ht="10.15" customHeight="1">
      <c r="B153" s="324" t="s">
        <v>110</v>
      </c>
      <c r="D153" s="319">
        <f t="shared" si="14"/>
        <v>0</v>
      </c>
      <c r="E153" s="319">
        <f t="shared" si="15"/>
        <v>0</v>
      </c>
      <c r="F153" s="319">
        <f t="shared" si="16"/>
        <v>0</v>
      </c>
      <c r="G153" s="319">
        <f t="shared" si="17"/>
        <v>0</v>
      </c>
      <c r="H153" s="319">
        <f t="shared" si="18"/>
        <v>0</v>
      </c>
      <c r="I153" s="319">
        <f t="shared" si="19"/>
        <v>0</v>
      </c>
      <c r="J153" s="319">
        <f t="shared" si="20"/>
        <v>0</v>
      </c>
      <c r="K153" s="319">
        <f t="shared" si="21"/>
        <v>0</v>
      </c>
      <c r="L153" s="319">
        <f t="shared" si="22"/>
        <v>0</v>
      </c>
      <c r="M153" s="319">
        <f t="shared" si="23"/>
        <v>0</v>
      </c>
      <c r="N153" s="319">
        <f t="shared" si="24"/>
        <v>0</v>
      </c>
      <c r="O153" s="319">
        <f t="shared" si="25"/>
        <v>0</v>
      </c>
      <c r="P153" s="319">
        <f t="shared" si="26"/>
        <v>0</v>
      </c>
      <c r="Q153" s="319">
        <f t="shared" si="27"/>
        <v>0</v>
      </c>
      <c r="R153" s="319">
        <f t="shared" si="28"/>
        <v>0</v>
      </c>
      <c r="S153" s="319">
        <f t="shared" si="29"/>
        <v>0</v>
      </c>
      <c r="T153" s="319">
        <f t="shared" si="30"/>
        <v>0</v>
      </c>
      <c r="U153" s="319">
        <f t="shared" si="31"/>
        <v>0</v>
      </c>
      <c r="V153" s="319">
        <f t="shared" si="32"/>
        <v>0</v>
      </c>
      <c r="W153" s="319">
        <f t="shared" si="33"/>
        <v>0</v>
      </c>
      <c r="X153" s="319">
        <f t="shared" si="34"/>
        <v>0</v>
      </c>
      <c r="Y153" s="319">
        <f t="shared" si="35"/>
        <v>0</v>
      </c>
      <c r="Z153" s="319">
        <f t="shared" si="36"/>
        <v>0</v>
      </c>
      <c r="AA153" s="319">
        <f t="shared" si="37"/>
        <v>0</v>
      </c>
      <c r="AB153" s="319">
        <f t="shared" si="38"/>
        <v>0</v>
      </c>
      <c r="AC153" s="319">
        <f t="shared" si="39"/>
        <v>0</v>
      </c>
      <c r="AD153" s="319">
        <f t="shared" si="40"/>
        <v>0</v>
      </c>
      <c r="AE153" s="319">
        <f t="shared" si="41"/>
        <v>0</v>
      </c>
      <c r="AF153" s="319">
        <f t="shared" si="42"/>
        <v>0</v>
      </c>
      <c r="AG153" s="319">
        <f t="shared" si="43"/>
        <v>0</v>
      </c>
      <c r="AH153" s="319">
        <f t="shared" si="44"/>
        <v>0</v>
      </c>
      <c r="AI153" s="319">
        <f t="shared" si="45"/>
        <v>0</v>
      </c>
      <c r="AJ153" s="319">
        <f t="shared" si="46"/>
        <v>0</v>
      </c>
      <c r="AK153" s="319">
        <f t="shared" si="47"/>
        <v>0</v>
      </c>
      <c r="AL153" s="319">
        <f t="shared" si="48"/>
        <v>0</v>
      </c>
      <c r="AM153" s="319">
        <f t="shared" si="49"/>
        <v>0</v>
      </c>
      <c r="AP153" s="266" t="s">
        <v>111</v>
      </c>
      <c r="AQ153" s="326">
        <v>0</v>
      </c>
      <c r="AR153" s="326">
        <v>0</v>
      </c>
      <c r="AS153" s="326">
        <v>0</v>
      </c>
      <c r="AT153" s="326">
        <v>0</v>
      </c>
      <c r="AU153" s="325">
        <v>0</v>
      </c>
      <c r="AV153" s="325">
        <v>0</v>
      </c>
      <c r="AW153" s="325">
        <v>0</v>
      </c>
      <c r="AX153" s="325">
        <v>0</v>
      </c>
      <c r="AY153" s="325">
        <v>0</v>
      </c>
      <c r="AZ153" s="325">
        <v>0</v>
      </c>
      <c r="BA153" s="325">
        <v>0</v>
      </c>
      <c r="BB153" s="325">
        <v>0</v>
      </c>
      <c r="BC153" s="325">
        <v>0</v>
      </c>
      <c r="BD153" s="325">
        <v>0</v>
      </c>
      <c r="BE153" s="325">
        <v>0</v>
      </c>
      <c r="BF153" s="325">
        <v>0</v>
      </c>
      <c r="BG153" s="325">
        <v>0</v>
      </c>
      <c r="BH153" s="325">
        <v>0</v>
      </c>
      <c r="BI153" s="325">
        <v>0</v>
      </c>
      <c r="BJ153" s="325">
        <v>1</v>
      </c>
      <c r="BK153" s="325">
        <v>0</v>
      </c>
      <c r="BL153" s="325">
        <v>0</v>
      </c>
      <c r="BM153" s="325">
        <v>0</v>
      </c>
      <c r="BN153" s="325">
        <v>0</v>
      </c>
      <c r="BO153" s="325">
        <v>0</v>
      </c>
      <c r="BP153" s="325">
        <v>0</v>
      </c>
      <c r="BQ153" s="325">
        <v>0</v>
      </c>
      <c r="BR153" s="325">
        <v>0</v>
      </c>
      <c r="BS153" s="325">
        <v>0</v>
      </c>
      <c r="BT153" s="325">
        <v>0</v>
      </c>
      <c r="BU153" s="325">
        <v>0</v>
      </c>
      <c r="BV153" s="325">
        <v>0</v>
      </c>
      <c r="BW153" s="325">
        <v>0</v>
      </c>
      <c r="BX153" s="325">
        <v>0</v>
      </c>
      <c r="BY153" s="325">
        <v>0</v>
      </c>
    </row>
    <row r="154" spans="2:77" ht="10.15" customHeight="1">
      <c r="B154" s="324" t="s">
        <v>111</v>
      </c>
      <c r="D154" s="319">
        <f t="shared" si="14"/>
        <v>0</v>
      </c>
      <c r="E154" s="319">
        <f t="shared" si="15"/>
        <v>0</v>
      </c>
      <c r="F154" s="319">
        <f t="shared" si="16"/>
        <v>0</v>
      </c>
      <c r="G154" s="319">
        <f t="shared" si="17"/>
        <v>0</v>
      </c>
      <c r="H154" s="319">
        <f t="shared" si="18"/>
        <v>0</v>
      </c>
      <c r="I154" s="319">
        <f t="shared" si="19"/>
        <v>0</v>
      </c>
      <c r="J154" s="319">
        <f t="shared" si="20"/>
        <v>0</v>
      </c>
      <c r="K154" s="319">
        <f t="shared" si="21"/>
        <v>0</v>
      </c>
      <c r="L154" s="319">
        <f t="shared" si="22"/>
        <v>0</v>
      </c>
      <c r="M154" s="319">
        <f t="shared" si="23"/>
        <v>0</v>
      </c>
      <c r="N154" s="319">
        <f t="shared" si="24"/>
        <v>0</v>
      </c>
      <c r="O154" s="319">
        <f t="shared" si="25"/>
        <v>0</v>
      </c>
      <c r="P154" s="319">
        <f t="shared" si="26"/>
        <v>0</v>
      </c>
      <c r="Q154" s="319">
        <f t="shared" si="27"/>
        <v>0</v>
      </c>
      <c r="R154" s="319">
        <f t="shared" si="28"/>
        <v>0</v>
      </c>
      <c r="S154" s="319">
        <f t="shared" si="29"/>
        <v>0</v>
      </c>
      <c r="T154" s="319">
        <f t="shared" si="30"/>
        <v>0</v>
      </c>
      <c r="U154" s="319">
        <f t="shared" si="31"/>
        <v>0</v>
      </c>
      <c r="V154" s="319">
        <f t="shared" si="32"/>
        <v>0</v>
      </c>
      <c r="W154" s="319">
        <f t="shared" si="33"/>
        <v>0</v>
      </c>
      <c r="X154" s="319">
        <f t="shared" si="34"/>
        <v>0</v>
      </c>
      <c r="Y154" s="319">
        <f t="shared" si="35"/>
        <v>0</v>
      </c>
      <c r="Z154" s="319">
        <f t="shared" si="36"/>
        <v>0</v>
      </c>
      <c r="AA154" s="319">
        <f t="shared" si="37"/>
        <v>0</v>
      </c>
      <c r="AB154" s="319">
        <f t="shared" si="38"/>
        <v>0</v>
      </c>
      <c r="AC154" s="319">
        <f t="shared" si="39"/>
        <v>0</v>
      </c>
      <c r="AD154" s="319">
        <f t="shared" si="40"/>
        <v>0</v>
      </c>
      <c r="AE154" s="319">
        <f t="shared" si="41"/>
        <v>0</v>
      </c>
      <c r="AF154" s="319">
        <f t="shared" si="42"/>
        <v>0</v>
      </c>
      <c r="AG154" s="319">
        <f t="shared" si="43"/>
        <v>0</v>
      </c>
      <c r="AH154" s="319">
        <f t="shared" si="44"/>
        <v>0</v>
      </c>
      <c r="AI154" s="319">
        <f t="shared" si="45"/>
        <v>0</v>
      </c>
      <c r="AJ154" s="319">
        <f t="shared" si="46"/>
        <v>0</v>
      </c>
      <c r="AK154" s="319">
        <f t="shared" si="47"/>
        <v>0</v>
      </c>
      <c r="AL154" s="319">
        <f t="shared" si="48"/>
        <v>0</v>
      </c>
      <c r="AM154" s="319">
        <f t="shared" si="49"/>
        <v>0</v>
      </c>
      <c r="AP154" s="266" t="s">
        <v>112</v>
      </c>
      <c r="AQ154" s="326">
        <v>0</v>
      </c>
      <c r="AR154" s="326">
        <v>0</v>
      </c>
      <c r="AS154" s="326">
        <v>0</v>
      </c>
      <c r="AT154" s="326">
        <v>0</v>
      </c>
      <c r="AU154" s="325">
        <v>0</v>
      </c>
      <c r="AV154" s="325">
        <v>0</v>
      </c>
      <c r="AW154" s="325">
        <v>0</v>
      </c>
      <c r="AX154" s="325">
        <v>0</v>
      </c>
      <c r="AY154" s="325">
        <v>0</v>
      </c>
      <c r="AZ154" s="325">
        <v>0</v>
      </c>
      <c r="BA154" s="325">
        <v>0</v>
      </c>
      <c r="BB154" s="325">
        <v>0</v>
      </c>
      <c r="BC154" s="325">
        <v>0</v>
      </c>
      <c r="BD154" s="325">
        <v>0</v>
      </c>
      <c r="BE154" s="325">
        <v>0</v>
      </c>
      <c r="BF154" s="325">
        <v>0</v>
      </c>
      <c r="BG154" s="325">
        <v>0</v>
      </c>
      <c r="BH154" s="325">
        <v>0</v>
      </c>
      <c r="BI154" s="325">
        <v>0</v>
      </c>
      <c r="BJ154" s="325">
        <v>0</v>
      </c>
      <c r="BK154" s="325">
        <v>1</v>
      </c>
      <c r="BL154" s="325">
        <v>0</v>
      </c>
      <c r="BM154" s="325">
        <v>0</v>
      </c>
      <c r="BN154" s="325">
        <v>0</v>
      </c>
      <c r="BO154" s="325">
        <v>0</v>
      </c>
      <c r="BP154" s="325">
        <v>0</v>
      </c>
      <c r="BQ154" s="325">
        <v>0</v>
      </c>
      <c r="BR154" s="325">
        <v>0</v>
      </c>
      <c r="BS154" s="325">
        <v>0</v>
      </c>
      <c r="BT154" s="325">
        <v>0</v>
      </c>
      <c r="BU154" s="325">
        <v>0</v>
      </c>
      <c r="BV154" s="325">
        <v>0</v>
      </c>
      <c r="BW154" s="325">
        <v>0</v>
      </c>
      <c r="BX154" s="325">
        <v>0</v>
      </c>
      <c r="BY154" s="325">
        <v>0</v>
      </c>
    </row>
    <row r="155" spans="2:77" ht="10.15" customHeight="1">
      <c r="B155" s="324" t="s">
        <v>112</v>
      </c>
      <c r="D155" s="319">
        <f t="shared" si="14"/>
        <v>0</v>
      </c>
      <c r="E155" s="319">
        <f t="shared" si="15"/>
        <v>0</v>
      </c>
      <c r="F155" s="319">
        <f t="shared" si="16"/>
        <v>0</v>
      </c>
      <c r="G155" s="319">
        <f t="shared" si="17"/>
        <v>0</v>
      </c>
      <c r="H155" s="319">
        <f t="shared" si="18"/>
        <v>0</v>
      </c>
      <c r="I155" s="319">
        <f t="shared" si="19"/>
        <v>0</v>
      </c>
      <c r="J155" s="319">
        <f t="shared" si="20"/>
        <v>0</v>
      </c>
      <c r="K155" s="319">
        <f t="shared" si="21"/>
        <v>0</v>
      </c>
      <c r="L155" s="319">
        <f t="shared" si="22"/>
        <v>0</v>
      </c>
      <c r="M155" s="319">
        <f t="shared" si="23"/>
        <v>0</v>
      </c>
      <c r="N155" s="319">
        <f t="shared" si="24"/>
        <v>0</v>
      </c>
      <c r="O155" s="319">
        <f t="shared" si="25"/>
        <v>0</v>
      </c>
      <c r="P155" s="319">
        <f t="shared" si="26"/>
        <v>0</v>
      </c>
      <c r="Q155" s="319">
        <f t="shared" si="27"/>
        <v>0</v>
      </c>
      <c r="R155" s="319">
        <f t="shared" si="28"/>
        <v>0</v>
      </c>
      <c r="S155" s="319">
        <f t="shared" si="29"/>
        <v>0</v>
      </c>
      <c r="T155" s="319">
        <f t="shared" si="30"/>
        <v>0</v>
      </c>
      <c r="U155" s="319">
        <f t="shared" si="31"/>
        <v>0</v>
      </c>
      <c r="V155" s="319">
        <f t="shared" si="32"/>
        <v>0</v>
      </c>
      <c r="W155" s="319">
        <f t="shared" si="33"/>
        <v>0</v>
      </c>
      <c r="X155" s="319">
        <f t="shared" si="34"/>
        <v>0</v>
      </c>
      <c r="Y155" s="319">
        <f t="shared" si="35"/>
        <v>0</v>
      </c>
      <c r="Z155" s="319">
        <f t="shared" si="36"/>
        <v>0</v>
      </c>
      <c r="AA155" s="319">
        <f t="shared" si="37"/>
        <v>0</v>
      </c>
      <c r="AB155" s="319">
        <f t="shared" si="38"/>
        <v>0</v>
      </c>
      <c r="AC155" s="319">
        <f t="shared" si="39"/>
        <v>0</v>
      </c>
      <c r="AD155" s="319">
        <f t="shared" si="40"/>
        <v>0</v>
      </c>
      <c r="AE155" s="319">
        <f t="shared" si="41"/>
        <v>0</v>
      </c>
      <c r="AF155" s="319">
        <f t="shared" si="42"/>
        <v>0</v>
      </c>
      <c r="AG155" s="319">
        <f t="shared" si="43"/>
        <v>0</v>
      </c>
      <c r="AH155" s="319">
        <f t="shared" si="44"/>
        <v>0</v>
      </c>
      <c r="AI155" s="319">
        <f t="shared" si="45"/>
        <v>0</v>
      </c>
      <c r="AJ155" s="319">
        <f t="shared" si="46"/>
        <v>0</v>
      </c>
      <c r="AK155" s="319">
        <f t="shared" si="47"/>
        <v>0</v>
      </c>
      <c r="AL155" s="319">
        <f t="shared" si="48"/>
        <v>0</v>
      </c>
      <c r="AM155" s="319">
        <f t="shared" si="49"/>
        <v>0</v>
      </c>
      <c r="AP155" s="266" t="s">
        <v>113</v>
      </c>
      <c r="AQ155" s="326">
        <v>0</v>
      </c>
      <c r="AR155" s="326">
        <v>0</v>
      </c>
      <c r="AS155" s="326">
        <v>0</v>
      </c>
      <c r="AT155" s="326">
        <v>0</v>
      </c>
      <c r="AU155" s="325">
        <v>0</v>
      </c>
      <c r="AV155" s="325">
        <v>0</v>
      </c>
      <c r="AW155" s="325">
        <v>0</v>
      </c>
      <c r="AX155" s="325">
        <v>0</v>
      </c>
      <c r="AY155" s="325">
        <v>0</v>
      </c>
      <c r="AZ155" s="325">
        <v>0</v>
      </c>
      <c r="BA155" s="325">
        <v>0</v>
      </c>
      <c r="BB155" s="325">
        <v>0</v>
      </c>
      <c r="BC155" s="325">
        <v>0</v>
      </c>
      <c r="BD155" s="325">
        <v>0</v>
      </c>
      <c r="BE155" s="325">
        <v>0</v>
      </c>
      <c r="BF155" s="325">
        <v>0</v>
      </c>
      <c r="BG155" s="325">
        <v>0</v>
      </c>
      <c r="BH155" s="325">
        <v>0</v>
      </c>
      <c r="BI155" s="325">
        <v>0</v>
      </c>
      <c r="BJ155" s="325">
        <v>0</v>
      </c>
      <c r="BK155" s="325">
        <v>0</v>
      </c>
      <c r="BL155" s="325">
        <v>1</v>
      </c>
      <c r="BM155" s="325">
        <v>0</v>
      </c>
      <c r="BN155" s="325">
        <v>0</v>
      </c>
      <c r="BO155" s="325">
        <v>0</v>
      </c>
      <c r="BP155" s="325">
        <v>0</v>
      </c>
      <c r="BQ155" s="325">
        <v>0</v>
      </c>
      <c r="BR155" s="325">
        <v>0</v>
      </c>
      <c r="BS155" s="325">
        <v>0</v>
      </c>
      <c r="BT155" s="325">
        <v>0</v>
      </c>
      <c r="BU155" s="325">
        <v>0</v>
      </c>
      <c r="BV155" s="325">
        <v>0</v>
      </c>
      <c r="BW155" s="325">
        <v>0</v>
      </c>
      <c r="BX155" s="325">
        <v>0</v>
      </c>
      <c r="BY155" s="325">
        <v>0</v>
      </c>
    </row>
    <row r="156" spans="2:77" ht="10.15" customHeight="1">
      <c r="B156" s="324" t="s">
        <v>113</v>
      </c>
      <c r="D156" s="319">
        <f t="shared" si="14"/>
        <v>0</v>
      </c>
      <c r="E156" s="319">
        <f t="shared" si="15"/>
        <v>0</v>
      </c>
      <c r="F156" s="319">
        <f t="shared" si="16"/>
        <v>0</v>
      </c>
      <c r="G156" s="319">
        <f t="shared" si="17"/>
        <v>0</v>
      </c>
      <c r="H156" s="319">
        <f t="shared" si="18"/>
        <v>0</v>
      </c>
      <c r="I156" s="319">
        <f t="shared" si="19"/>
        <v>0</v>
      </c>
      <c r="J156" s="319">
        <f t="shared" si="20"/>
        <v>0</v>
      </c>
      <c r="K156" s="319">
        <f t="shared" si="21"/>
        <v>0</v>
      </c>
      <c r="L156" s="319">
        <f t="shared" si="22"/>
        <v>0</v>
      </c>
      <c r="M156" s="319">
        <f t="shared" si="23"/>
        <v>0</v>
      </c>
      <c r="N156" s="319">
        <f t="shared" si="24"/>
        <v>0</v>
      </c>
      <c r="O156" s="319">
        <f t="shared" si="25"/>
        <v>0</v>
      </c>
      <c r="P156" s="319">
        <f t="shared" si="26"/>
        <v>0</v>
      </c>
      <c r="Q156" s="319">
        <f t="shared" si="27"/>
        <v>0</v>
      </c>
      <c r="R156" s="319">
        <f t="shared" si="28"/>
        <v>0</v>
      </c>
      <c r="S156" s="319">
        <f t="shared" si="29"/>
        <v>0</v>
      </c>
      <c r="T156" s="319">
        <f t="shared" si="30"/>
        <v>0</v>
      </c>
      <c r="U156" s="319">
        <f t="shared" si="31"/>
        <v>0</v>
      </c>
      <c r="V156" s="319">
        <f t="shared" si="32"/>
        <v>0</v>
      </c>
      <c r="W156" s="319">
        <f t="shared" si="33"/>
        <v>0</v>
      </c>
      <c r="X156" s="319">
        <f t="shared" si="34"/>
        <v>0</v>
      </c>
      <c r="Y156" s="319">
        <f t="shared" si="35"/>
        <v>0</v>
      </c>
      <c r="Z156" s="319">
        <f t="shared" si="36"/>
        <v>0</v>
      </c>
      <c r="AA156" s="319">
        <f t="shared" si="37"/>
        <v>0</v>
      </c>
      <c r="AB156" s="319">
        <f t="shared" si="38"/>
        <v>0</v>
      </c>
      <c r="AC156" s="319">
        <f t="shared" si="39"/>
        <v>0</v>
      </c>
      <c r="AD156" s="319">
        <f t="shared" si="40"/>
        <v>0</v>
      </c>
      <c r="AE156" s="319">
        <f t="shared" si="41"/>
        <v>0</v>
      </c>
      <c r="AF156" s="319">
        <f t="shared" si="42"/>
        <v>0</v>
      </c>
      <c r="AG156" s="319">
        <f t="shared" si="43"/>
        <v>0</v>
      </c>
      <c r="AH156" s="319">
        <f t="shared" si="44"/>
        <v>0</v>
      </c>
      <c r="AI156" s="319">
        <f t="shared" si="45"/>
        <v>0</v>
      </c>
      <c r="AJ156" s="319">
        <f t="shared" si="46"/>
        <v>0</v>
      </c>
      <c r="AK156" s="319">
        <f t="shared" si="47"/>
        <v>0</v>
      </c>
      <c r="AL156" s="319">
        <f t="shared" si="48"/>
        <v>0</v>
      </c>
      <c r="AM156" s="319">
        <f t="shared" si="49"/>
        <v>0</v>
      </c>
      <c r="AP156" s="266" t="s">
        <v>114</v>
      </c>
      <c r="AQ156" s="326">
        <v>0</v>
      </c>
      <c r="AR156" s="326">
        <v>0</v>
      </c>
      <c r="AS156" s="326">
        <v>0</v>
      </c>
      <c r="AT156" s="326">
        <v>0</v>
      </c>
      <c r="AU156" s="325">
        <v>0</v>
      </c>
      <c r="AV156" s="325">
        <v>0</v>
      </c>
      <c r="AW156" s="325">
        <v>0</v>
      </c>
      <c r="AX156" s="325">
        <v>0</v>
      </c>
      <c r="AY156" s="325">
        <v>0</v>
      </c>
      <c r="AZ156" s="325">
        <v>0</v>
      </c>
      <c r="BA156" s="325">
        <v>0</v>
      </c>
      <c r="BB156" s="325">
        <v>0</v>
      </c>
      <c r="BC156" s="325">
        <v>0</v>
      </c>
      <c r="BD156" s="325">
        <v>0</v>
      </c>
      <c r="BE156" s="325">
        <v>0</v>
      </c>
      <c r="BF156" s="325">
        <v>0</v>
      </c>
      <c r="BG156" s="325">
        <v>0</v>
      </c>
      <c r="BH156" s="325">
        <v>0</v>
      </c>
      <c r="BI156" s="325">
        <v>0</v>
      </c>
      <c r="BJ156" s="325">
        <v>0</v>
      </c>
      <c r="BK156" s="325">
        <v>0</v>
      </c>
      <c r="BL156" s="325">
        <v>0</v>
      </c>
      <c r="BM156" s="325">
        <v>1</v>
      </c>
      <c r="BN156" s="325">
        <v>0</v>
      </c>
      <c r="BO156" s="325">
        <v>0</v>
      </c>
      <c r="BP156" s="325">
        <v>0</v>
      </c>
      <c r="BQ156" s="325">
        <v>0</v>
      </c>
      <c r="BR156" s="325">
        <v>0</v>
      </c>
      <c r="BS156" s="325">
        <v>0</v>
      </c>
      <c r="BT156" s="325">
        <v>0</v>
      </c>
      <c r="BU156" s="325">
        <v>0</v>
      </c>
      <c r="BV156" s="325">
        <v>0</v>
      </c>
      <c r="BW156" s="325">
        <v>0</v>
      </c>
      <c r="BX156" s="325">
        <v>0</v>
      </c>
      <c r="BY156" s="325">
        <v>0</v>
      </c>
    </row>
    <row r="157" spans="2:77" ht="10.15" customHeight="1">
      <c r="B157" s="324" t="s">
        <v>114</v>
      </c>
      <c r="D157" s="319">
        <f t="shared" si="14"/>
        <v>0</v>
      </c>
      <c r="E157" s="319">
        <f t="shared" si="15"/>
        <v>0</v>
      </c>
      <c r="F157" s="319">
        <f t="shared" si="16"/>
        <v>0</v>
      </c>
      <c r="G157" s="319">
        <f t="shared" si="17"/>
        <v>0</v>
      </c>
      <c r="H157" s="319">
        <f t="shared" si="18"/>
        <v>0</v>
      </c>
      <c r="I157" s="319">
        <f t="shared" si="19"/>
        <v>0</v>
      </c>
      <c r="J157" s="319">
        <f t="shared" si="20"/>
        <v>0</v>
      </c>
      <c r="K157" s="319">
        <f t="shared" si="21"/>
        <v>0</v>
      </c>
      <c r="L157" s="319">
        <f t="shared" si="22"/>
        <v>0</v>
      </c>
      <c r="M157" s="319">
        <f t="shared" si="23"/>
        <v>0</v>
      </c>
      <c r="N157" s="319">
        <f t="shared" si="24"/>
        <v>0</v>
      </c>
      <c r="O157" s="319">
        <f t="shared" si="25"/>
        <v>0</v>
      </c>
      <c r="P157" s="319">
        <f t="shared" si="26"/>
        <v>0</v>
      </c>
      <c r="Q157" s="319">
        <f t="shared" si="27"/>
        <v>0</v>
      </c>
      <c r="R157" s="319">
        <f t="shared" si="28"/>
        <v>0</v>
      </c>
      <c r="S157" s="319">
        <f t="shared" si="29"/>
        <v>0</v>
      </c>
      <c r="T157" s="319">
        <f t="shared" si="30"/>
        <v>0</v>
      </c>
      <c r="U157" s="319">
        <f t="shared" si="31"/>
        <v>0</v>
      </c>
      <c r="V157" s="319">
        <f t="shared" si="32"/>
        <v>0</v>
      </c>
      <c r="W157" s="319">
        <f t="shared" si="33"/>
        <v>0</v>
      </c>
      <c r="X157" s="319">
        <f t="shared" si="34"/>
        <v>0</v>
      </c>
      <c r="Y157" s="319">
        <f t="shared" si="35"/>
        <v>0</v>
      </c>
      <c r="Z157" s="319">
        <f t="shared" si="36"/>
        <v>0</v>
      </c>
      <c r="AA157" s="319">
        <f t="shared" si="37"/>
        <v>0</v>
      </c>
      <c r="AB157" s="319">
        <f t="shared" si="38"/>
        <v>0</v>
      </c>
      <c r="AC157" s="319">
        <f t="shared" si="39"/>
        <v>0</v>
      </c>
      <c r="AD157" s="319">
        <f t="shared" si="40"/>
        <v>0</v>
      </c>
      <c r="AE157" s="319">
        <f t="shared" si="41"/>
        <v>0</v>
      </c>
      <c r="AF157" s="319">
        <f t="shared" si="42"/>
        <v>0</v>
      </c>
      <c r="AG157" s="319">
        <f t="shared" si="43"/>
        <v>0</v>
      </c>
      <c r="AH157" s="319">
        <f t="shared" si="44"/>
        <v>0</v>
      </c>
      <c r="AI157" s="319">
        <f t="shared" si="45"/>
        <v>0</v>
      </c>
      <c r="AJ157" s="319">
        <f t="shared" si="46"/>
        <v>0</v>
      </c>
      <c r="AK157" s="319">
        <f t="shared" si="47"/>
        <v>0</v>
      </c>
      <c r="AL157" s="319">
        <f t="shared" si="48"/>
        <v>0</v>
      </c>
      <c r="AM157" s="319">
        <f t="shared" si="49"/>
        <v>0</v>
      </c>
      <c r="AP157" s="266" t="s">
        <v>115</v>
      </c>
      <c r="AQ157" s="326">
        <v>0</v>
      </c>
      <c r="AR157" s="326">
        <v>0</v>
      </c>
      <c r="AS157" s="326">
        <v>0</v>
      </c>
      <c r="AT157" s="326">
        <v>0</v>
      </c>
      <c r="AU157" s="325">
        <v>0</v>
      </c>
      <c r="AV157" s="325">
        <v>0</v>
      </c>
      <c r="AW157" s="325">
        <v>0</v>
      </c>
      <c r="AX157" s="325">
        <v>0</v>
      </c>
      <c r="AY157" s="325">
        <v>0</v>
      </c>
      <c r="AZ157" s="325">
        <v>0</v>
      </c>
      <c r="BA157" s="325">
        <v>0</v>
      </c>
      <c r="BB157" s="325">
        <v>0</v>
      </c>
      <c r="BC157" s="325">
        <v>0</v>
      </c>
      <c r="BD157" s="325">
        <v>0</v>
      </c>
      <c r="BE157" s="325">
        <v>0</v>
      </c>
      <c r="BF157" s="325">
        <v>0</v>
      </c>
      <c r="BG157" s="325">
        <v>0</v>
      </c>
      <c r="BH157" s="325">
        <v>0</v>
      </c>
      <c r="BI157" s="325">
        <v>0</v>
      </c>
      <c r="BJ157" s="325">
        <v>0</v>
      </c>
      <c r="BK157" s="325">
        <v>0</v>
      </c>
      <c r="BL157" s="325">
        <v>0</v>
      </c>
      <c r="BM157" s="325">
        <v>0</v>
      </c>
      <c r="BN157" s="325">
        <v>1</v>
      </c>
      <c r="BO157" s="325">
        <v>0</v>
      </c>
      <c r="BP157" s="325">
        <v>0</v>
      </c>
      <c r="BQ157" s="325">
        <v>0</v>
      </c>
      <c r="BR157" s="325">
        <v>0</v>
      </c>
      <c r="BS157" s="325">
        <v>0</v>
      </c>
      <c r="BT157" s="325">
        <v>0</v>
      </c>
      <c r="BU157" s="325">
        <v>0</v>
      </c>
      <c r="BV157" s="325">
        <v>0</v>
      </c>
      <c r="BW157" s="325">
        <v>0</v>
      </c>
      <c r="BX157" s="325">
        <v>0</v>
      </c>
      <c r="BY157" s="325">
        <v>0</v>
      </c>
    </row>
    <row r="158" spans="2:77" ht="10.15" customHeight="1">
      <c r="B158" s="324" t="s">
        <v>115</v>
      </c>
      <c r="D158" s="319">
        <f t="shared" si="14"/>
        <v>0</v>
      </c>
      <c r="E158" s="319">
        <f t="shared" si="15"/>
        <v>0</v>
      </c>
      <c r="F158" s="319">
        <f t="shared" si="16"/>
        <v>0</v>
      </c>
      <c r="G158" s="319">
        <f t="shared" si="17"/>
        <v>0</v>
      </c>
      <c r="H158" s="319">
        <f t="shared" si="18"/>
        <v>0</v>
      </c>
      <c r="I158" s="319">
        <f t="shared" si="19"/>
        <v>0</v>
      </c>
      <c r="J158" s="319">
        <f t="shared" si="20"/>
        <v>0</v>
      </c>
      <c r="K158" s="319">
        <f t="shared" si="21"/>
        <v>0</v>
      </c>
      <c r="L158" s="319">
        <f t="shared" si="22"/>
        <v>0</v>
      </c>
      <c r="M158" s="319">
        <f t="shared" si="23"/>
        <v>0</v>
      </c>
      <c r="N158" s="319">
        <f t="shared" si="24"/>
        <v>0</v>
      </c>
      <c r="O158" s="319">
        <f t="shared" si="25"/>
        <v>0</v>
      </c>
      <c r="P158" s="319">
        <f t="shared" si="26"/>
        <v>0</v>
      </c>
      <c r="Q158" s="319">
        <f t="shared" si="27"/>
        <v>0</v>
      </c>
      <c r="R158" s="319">
        <f t="shared" si="28"/>
        <v>0</v>
      </c>
      <c r="S158" s="319">
        <f t="shared" si="29"/>
        <v>0</v>
      </c>
      <c r="T158" s="319">
        <f t="shared" si="30"/>
        <v>0</v>
      </c>
      <c r="U158" s="319">
        <f t="shared" si="31"/>
        <v>0</v>
      </c>
      <c r="V158" s="319">
        <f t="shared" si="32"/>
        <v>0</v>
      </c>
      <c r="W158" s="319">
        <f t="shared" si="33"/>
        <v>0</v>
      </c>
      <c r="X158" s="319">
        <f t="shared" si="34"/>
        <v>0</v>
      </c>
      <c r="Y158" s="319">
        <f t="shared" si="35"/>
        <v>0</v>
      </c>
      <c r="Z158" s="319">
        <f t="shared" si="36"/>
        <v>0</v>
      </c>
      <c r="AA158" s="319">
        <f t="shared" si="37"/>
        <v>0</v>
      </c>
      <c r="AB158" s="319">
        <f t="shared" si="38"/>
        <v>0</v>
      </c>
      <c r="AC158" s="319">
        <f t="shared" si="39"/>
        <v>0</v>
      </c>
      <c r="AD158" s="319">
        <f t="shared" si="40"/>
        <v>0</v>
      </c>
      <c r="AE158" s="319">
        <f t="shared" si="41"/>
        <v>0</v>
      </c>
      <c r="AF158" s="319">
        <f t="shared" si="42"/>
        <v>0</v>
      </c>
      <c r="AG158" s="319">
        <f t="shared" si="43"/>
        <v>0</v>
      </c>
      <c r="AH158" s="319">
        <f t="shared" si="44"/>
        <v>0</v>
      </c>
      <c r="AI158" s="319">
        <f t="shared" si="45"/>
        <v>0</v>
      </c>
      <c r="AJ158" s="319">
        <f t="shared" si="46"/>
        <v>0</v>
      </c>
      <c r="AK158" s="319">
        <f t="shared" si="47"/>
        <v>0</v>
      </c>
      <c r="AL158" s="319">
        <f t="shared" si="48"/>
        <v>0</v>
      </c>
      <c r="AM158" s="319">
        <f t="shared" si="49"/>
        <v>0</v>
      </c>
      <c r="AP158" s="266" t="s">
        <v>116</v>
      </c>
      <c r="AQ158" s="326">
        <v>0</v>
      </c>
      <c r="AR158" s="326">
        <v>0</v>
      </c>
      <c r="AS158" s="326">
        <v>0</v>
      </c>
      <c r="AT158" s="326">
        <v>0</v>
      </c>
      <c r="AU158" s="325">
        <v>0</v>
      </c>
      <c r="AV158" s="325">
        <v>0</v>
      </c>
      <c r="AW158" s="325">
        <v>0</v>
      </c>
      <c r="AX158" s="325">
        <v>0</v>
      </c>
      <c r="AY158" s="325">
        <v>0</v>
      </c>
      <c r="AZ158" s="325">
        <v>0</v>
      </c>
      <c r="BA158" s="325">
        <v>0</v>
      </c>
      <c r="BB158" s="325">
        <v>0</v>
      </c>
      <c r="BC158" s="325">
        <v>0</v>
      </c>
      <c r="BD158" s="325">
        <v>0</v>
      </c>
      <c r="BE158" s="325">
        <v>0</v>
      </c>
      <c r="BF158" s="325">
        <v>0</v>
      </c>
      <c r="BG158" s="325">
        <v>0</v>
      </c>
      <c r="BH158" s="325">
        <v>0</v>
      </c>
      <c r="BI158" s="325">
        <v>0</v>
      </c>
      <c r="BJ158" s="325">
        <v>0</v>
      </c>
      <c r="BK158" s="325">
        <v>0</v>
      </c>
      <c r="BL158" s="325">
        <v>0</v>
      </c>
      <c r="BM158" s="325">
        <v>0</v>
      </c>
      <c r="BN158" s="325">
        <v>0</v>
      </c>
      <c r="BO158" s="325">
        <v>1</v>
      </c>
      <c r="BP158" s="325">
        <v>0</v>
      </c>
      <c r="BQ158" s="325">
        <v>0</v>
      </c>
      <c r="BR158" s="325">
        <v>0</v>
      </c>
      <c r="BS158" s="325">
        <v>0</v>
      </c>
      <c r="BT158" s="325">
        <v>0</v>
      </c>
      <c r="BU158" s="325">
        <v>0</v>
      </c>
      <c r="BV158" s="325">
        <v>0</v>
      </c>
      <c r="BW158" s="325">
        <v>0</v>
      </c>
      <c r="BX158" s="325">
        <v>0</v>
      </c>
      <c r="BY158" s="325">
        <v>0</v>
      </c>
    </row>
    <row r="159" spans="2:77" ht="10.15" customHeight="1">
      <c r="B159" s="324" t="s">
        <v>116</v>
      </c>
      <c r="D159" s="319">
        <f t="shared" si="14"/>
        <v>0</v>
      </c>
      <c r="E159" s="319">
        <f t="shared" si="15"/>
        <v>0</v>
      </c>
      <c r="F159" s="319">
        <f t="shared" si="16"/>
        <v>0</v>
      </c>
      <c r="G159" s="319">
        <f t="shared" si="17"/>
        <v>0</v>
      </c>
      <c r="H159" s="319">
        <f t="shared" si="18"/>
        <v>0</v>
      </c>
      <c r="I159" s="319">
        <f t="shared" si="19"/>
        <v>0</v>
      </c>
      <c r="J159" s="319">
        <f t="shared" si="20"/>
        <v>0</v>
      </c>
      <c r="K159" s="319">
        <f t="shared" si="21"/>
        <v>0</v>
      </c>
      <c r="L159" s="319">
        <f t="shared" si="22"/>
        <v>0</v>
      </c>
      <c r="M159" s="319">
        <f t="shared" si="23"/>
        <v>0</v>
      </c>
      <c r="N159" s="319">
        <f t="shared" si="24"/>
        <v>0</v>
      </c>
      <c r="O159" s="319">
        <f t="shared" si="25"/>
        <v>0</v>
      </c>
      <c r="P159" s="319">
        <f t="shared" si="26"/>
        <v>0</v>
      </c>
      <c r="Q159" s="319">
        <f t="shared" si="27"/>
        <v>0</v>
      </c>
      <c r="R159" s="319">
        <f t="shared" si="28"/>
        <v>0</v>
      </c>
      <c r="S159" s="319">
        <f t="shared" si="29"/>
        <v>0</v>
      </c>
      <c r="T159" s="319">
        <f t="shared" si="30"/>
        <v>0</v>
      </c>
      <c r="U159" s="319">
        <f t="shared" si="31"/>
        <v>0</v>
      </c>
      <c r="V159" s="319">
        <f t="shared" si="32"/>
        <v>0</v>
      </c>
      <c r="W159" s="319">
        <f t="shared" si="33"/>
        <v>0</v>
      </c>
      <c r="X159" s="319">
        <f t="shared" si="34"/>
        <v>0</v>
      </c>
      <c r="Y159" s="319">
        <f t="shared" si="35"/>
        <v>0</v>
      </c>
      <c r="Z159" s="319">
        <f t="shared" si="36"/>
        <v>0</v>
      </c>
      <c r="AA159" s="319">
        <f t="shared" si="37"/>
        <v>0</v>
      </c>
      <c r="AB159" s="319">
        <f t="shared" si="38"/>
        <v>0</v>
      </c>
      <c r="AC159" s="319">
        <f t="shared" si="39"/>
        <v>0</v>
      </c>
      <c r="AD159" s="319">
        <f t="shared" si="40"/>
        <v>0</v>
      </c>
      <c r="AE159" s="319">
        <f t="shared" si="41"/>
        <v>0</v>
      </c>
      <c r="AF159" s="319">
        <f t="shared" si="42"/>
        <v>0</v>
      </c>
      <c r="AG159" s="319">
        <f t="shared" si="43"/>
        <v>0</v>
      </c>
      <c r="AH159" s="319">
        <f t="shared" si="44"/>
        <v>0</v>
      </c>
      <c r="AI159" s="319">
        <f t="shared" si="45"/>
        <v>0</v>
      </c>
      <c r="AJ159" s="319">
        <f t="shared" si="46"/>
        <v>0</v>
      </c>
      <c r="AK159" s="319">
        <f t="shared" si="47"/>
        <v>0</v>
      </c>
      <c r="AL159" s="319">
        <f t="shared" si="48"/>
        <v>0</v>
      </c>
      <c r="AM159" s="319">
        <f t="shared" si="49"/>
        <v>0</v>
      </c>
      <c r="AP159" s="266" t="s">
        <v>117</v>
      </c>
      <c r="AQ159" s="326">
        <v>0</v>
      </c>
      <c r="AR159" s="326">
        <v>0</v>
      </c>
      <c r="AS159" s="326">
        <v>0</v>
      </c>
      <c r="AT159" s="326">
        <v>0</v>
      </c>
      <c r="AU159" s="325">
        <v>0</v>
      </c>
      <c r="AV159" s="325">
        <v>0</v>
      </c>
      <c r="AW159" s="325">
        <v>0</v>
      </c>
      <c r="AX159" s="325">
        <v>0</v>
      </c>
      <c r="AY159" s="325">
        <v>0</v>
      </c>
      <c r="AZ159" s="325">
        <v>0</v>
      </c>
      <c r="BA159" s="325">
        <v>0</v>
      </c>
      <c r="BB159" s="325">
        <v>0</v>
      </c>
      <c r="BC159" s="325">
        <v>0</v>
      </c>
      <c r="BD159" s="325">
        <v>0</v>
      </c>
      <c r="BE159" s="325">
        <v>0</v>
      </c>
      <c r="BF159" s="325">
        <v>0</v>
      </c>
      <c r="BG159" s="325">
        <v>0</v>
      </c>
      <c r="BH159" s="325">
        <v>0</v>
      </c>
      <c r="BI159" s="325">
        <v>0</v>
      </c>
      <c r="BJ159" s="325">
        <v>0</v>
      </c>
      <c r="BK159" s="325">
        <v>0</v>
      </c>
      <c r="BL159" s="325">
        <v>0</v>
      </c>
      <c r="BM159" s="325">
        <v>0</v>
      </c>
      <c r="BN159" s="325">
        <v>0</v>
      </c>
      <c r="BO159" s="325">
        <v>0</v>
      </c>
      <c r="BP159" s="325">
        <v>1</v>
      </c>
      <c r="BQ159" s="325">
        <v>0</v>
      </c>
      <c r="BR159" s="325">
        <v>0</v>
      </c>
      <c r="BS159" s="325">
        <v>0</v>
      </c>
      <c r="BT159" s="325">
        <v>0</v>
      </c>
      <c r="BU159" s="325">
        <v>0</v>
      </c>
      <c r="BV159" s="325">
        <v>0</v>
      </c>
      <c r="BW159" s="325">
        <v>0</v>
      </c>
      <c r="BX159" s="325">
        <v>0</v>
      </c>
      <c r="BY159" s="325">
        <v>0</v>
      </c>
    </row>
    <row r="160" spans="2:77" ht="10.15" customHeight="1">
      <c r="B160" s="324" t="s">
        <v>117</v>
      </c>
      <c r="D160" s="319">
        <f t="shared" si="14"/>
        <v>0</v>
      </c>
      <c r="E160" s="319">
        <f t="shared" si="15"/>
        <v>0</v>
      </c>
      <c r="F160" s="319">
        <f t="shared" si="16"/>
        <v>0</v>
      </c>
      <c r="G160" s="319">
        <f t="shared" si="17"/>
        <v>0</v>
      </c>
      <c r="H160" s="319">
        <f t="shared" si="18"/>
        <v>0</v>
      </c>
      <c r="I160" s="319">
        <f t="shared" si="19"/>
        <v>0</v>
      </c>
      <c r="J160" s="319">
        <f t="shared" si="20"/>
        <v>0</v>
      </c>
      <c r="K160" s="319">
        <f t="shared" si="21"/>
        <v>0</v>
      </c>
      <c r="L160" s="319">
        <f t="shared" si="22"/>
        <v>0</v>
      </c>
      <c r="M160" s="319">
        <f t="shared" si="23"/>
        <v>0</v>
      </c>
      <c r="N160" s="319">
        <f t="shared" si="24"/>
        <v>0</v>
      </c>
      <c r="O160" s="319">
        <f t="shared" si="25"/>
        <v>0</v>
      </c>
      <c r="P160" s="319">
        <f t="shared" si="26"/>
        <v>0</v>
      </c>
      <c r="Q160" s="319">
        <f t="shared" si="27"/>
        <v>0</v>
      </c>
      <c r="R160" s="319">
        <f t="shared" si="28"/>
        <v>0</v>
      </c>
      <c r="S160" s="319">
        <f t="shared" si="29"/>
        <v>0</v>
      </c>
      <c r="T160" s="319">
        <f t="shared" si="30"/>
        <v>0</v>
      </c>
      <c r="U160" s="319">
        <f t="shared" si="31"/>
        <v>0</v>
      </c>
      <c r="V160" s="319">
        <f t="shared" si="32"/>
        <v>0</v>
      </c>
      <c r="W160" s="319">
        <f t="shared" si="33"/>
        <v>0</v>
      </c>
      <c r="X160" s="319">
        <f t="shared" si="34"/>
        <v>0</v>
      </c>
      <c r="Y160" s="319">
        <f t="shared" si="35"/>
        <v>0</v>
      </c>
      <c r="Z160" s="319">
        <f t="shared" si="36"/>
        <v>0</v>
      </c>
      <c r="AA160" s="319">
        <f t="shared" si="37"/>
        <v>0</v>
      </c>
      <c r="AB160" s="319">
        <f t="shared" si="38"/>
        <v>0</v>
      </c>
      <c r="AC160" s="319">
        <f t="shared" si="39"/>
        <v>0</v>
      </c>
      <c r="AD160" s="319">
        <f t="shared" si="40"/>
        <v>0</v>
      </c>
      <c r="AE160" s="319">
        <f t="shared" si="41"/>
        <v>0</v>
      </c>
      <c r="AF160" s="319">
        <f t="shared" si="42"/>
        <v>0</v>
      </c>
      <c r="AG160" s="319">
        <f t="shared" si="43"/>
        <v>0</v>
      </c>
      <c r="AH160" s="319">
        <f t="shared" si="44"/>
        <v>0</v>
      </c>
      <c r="AI160" s="319">
        <f t="shared" si="45"/>
        <v>0</v>
      </c>
      <c r="AJ160" s="319">
        <f t="shared" si="46"/>
        <v>0</v>
      </c>
      <c r="AK160" s="319">
        <f t="shared" si="47"/>
        <v>0</v>
      </c>
      <c r="AL160" s="319">
        <f t="shared" si="48"/>
        <v>0</v>
      </c>
      <c r="AM160" s="319">
        <f t="shared" si="49"/>
        <v>0</v>
      </c>
      <c r="AP160" s="266" t="s">
        <v>118</v>
      </c>
      <c r="AQ160" s="326">
        <v>0</v>
      </c>
      <c r="AR160" s="326">
        <v>0</v>
      </c>
      <c r="AS160" s="326">
        <v>0</v>
      </c>
      <c r="AT160" s="326">
        <v>0</v>
      </c>
      <c r="AU160" s="325">
        <v>0</v>
      </c>
      <c r="AV160" s="325">
        <v>0</v>
      </c>
      <c r="AW160" s="325">
        <v>0</v>
      </c>
      <c r="AX160" s="325">
        <v>0</v>
      </c>
      <c r="AY160" s="325">
        <v>0</v>
      </c>
      <c r="AZ160" s="325">
        <v>0</v>
      </c>
      <c r="BA160" s="325">
        <v>0</v>
      </c>
      <c r="BB160" s="325">
        <v>0</v>
      </c>
      <c r="BC160" s="325">
        <v>0</v>
      </c>
      <c r="BD160" s="325">
        <v>0</v>
      </c>
      <c r="BE160" s="325">
        <v>0</v>
      </c>
      <c r="BF160" s="325">
        <v>0</v>
      </c>
      <c r="BG160" s="325">
        <v>0</v>
      </c>
      <c r="BH160" s="325">
        <v>0</v>
      </c>
      <c r="BI160" s="325">
        <v>0</v>
      </c>
      <c r="BJ160" s="325">
        <v>0</v>
      </c>
      <c r="BK160" s="325">
        <v>0</v>
      </c>
      <c r="BL160" s="325">
        <v>0</v>
      </c>
      <c r="BM160" s="325">
        <v>0</v>
      </c>
      <c r="BN160" s="325">
        <v>0</v>
      </c>
      <c r="BO160" s="325">
        <v>0</v>
      </c>
      <c r="BP160" s="325">
        <v>0</v>
      </c>
      <c r="BQ160" s="325">
        <v>1</v>
      </c>
      <c r="BR160" s="325">
        <v>0</v>
      </c>
      <c r="BS160" s="325">
        <v>0</v>
      </c>
      <c r="BT160" s="325">
        <v>0</v>
      </c>
      <c r="BU160" s="325">
        <v>0</v>
      </c>
      <c r="BV160" s="325">
        <v>0</v>
      </c>
      <c r="BW160" s="325">
        <v>0</v>
      </c>
      <c r="BX160" s="325">
        <v>0</v>
      </c>
      <c r="BY160" s="325">
        <v>0</v>
      </c>
    </row>
    <row r="161" spans="2:77" ht="10.15" customHeight="1">
      <c r="B161" s="324" t="s">
        <v>118</v>
      </c>
      <c r="D161" s="319">
        <f t="shared" si="14"/>
        <v>0</v>
      </c>
      <c r="E161" s="319">
        <f t="shared" si="15"/>
        <v>0</v>
      </c>
      <c r="F161" s="319">
        <f t="shared" si="16"/>
        <v>0</v>
      </c>
      <c r="G161" s="319">
        <f t="shared" si="17"/>
        <v>0</v>
      </c>
      <c r="H161" s="319">
        <f t="shared" si="18"/>
        <v>0</v>
      </c>
      <c r="I161" s="319">
        <f t="shared" si="19"/>
        <v>0</v>
      </c>
      <c r="J161" s="319">
        <f t="shared" si="20"/>
        <v>0</v>
      </c>
      <c r="K161" s="319">
        <f t="shared" si="21"/>
        <v>0</v>
      </c>
      <c r="L161" s="319">
        <f t="shared" si="22"/>
        <v>0</v>
      </c>
      <c r="M161" s="319">
        <f t="shared" si="23"/>
        <v>0</v>
      </c>
      <c r="N161" s="319">
        <f t="shared" si="24"/>
        <v>0</v>
      </c>
      <c r="O161" s="319">
        <f t="shared" si="25"/>
        <v>0</v>
      </c>
      <c r="P161" s="319">
        <f t="shared" si="26"/>
        <v>0</v>
      </c>
      <c r="Q161" s="319">
        <f t="shared" si="27"/>
        <v>0</v>
      </c>
      <c r="R161" s="319">
        <f t="shared" si="28"/>
        <v>0</v>
      </c>
      <c r="S161" s="319">
        <f t="shared" si="29"/>
        <v>0</v>
      </c>
      <c r="T161" s="319">
        <f t="shared" si="30"/>
        <v>0</v>
      </c>
      <c r="U161" s="319">
        <f t="shared" si="31"/>
        <v>0</v>
      </c>
      <c r="V161" s="319">
        <f t="shared" si="32"/>
        <v>0</v>
      </c>
      <c r="W161" s="319">
        <f t="shared" si="33"/>
        <v>0</v>
      </c>
      <c r="X161" s="319">
        <f t="shared" si="34"/>
        <v>0</v>
      </c>
      <c r="Y161" s="319">
        <f t="shared" si="35"/>
        <v>0</v>
      </c>
      <c r="Z161" s="319">
        <f t="shared" si="36"/>
        <v>0</v>
      </c>
      <c r="AA161" s="319">
        <f t="shared" si="37"/>
        <v>0</v>
      </c>
      <c r="AB161" s="319">
        <f t="shared" si="38"/>
        <v>0</v>
      </c>
      <c r="AC161" s="319">
        <f t="shared" si="39"/>
        <v>0</v>
      </c>
      <c r="AD161" s="319">
        <f t="shared" si="40"/>
        <v>0</v>
      </c>
      <c r="AE161" s="319">
        <f t="shared" si="41"/>
        <v>0</v>
      </c>
      <c r="AF161" s="319">
        <f t="shared" si="42"/>
        <v>0</v>
      </c>
      <c r="AG161" s="319">
        <f t="shared" si="43"/>
        <v>0</v>
      </c>
      <c r="AH161" s="319">
        <f t="shared" si="44"/>
        <v>0</v>
      </c>
      <c r="AI161" s="319">
        <f t="shared" si="45"/>
        <v>0</v>
      </c>
      <c r="AJ161" s="319">
        <f t="shared" si="46"/>
        <v>0</v>
      </c>
      <c r="AK161" s="319">
        <f t="shared" si="47"/>
        <v>0</v>
      </c>
      <c r="AL161" s="319">
        <f t="shared" si="48"/>
        <v>0</v>
      </c>
      <c r="AM161" s="319">
        <f t="shared" si="49"/>
        <v>0</v>
      </c>
      <c r="AP161" s="266" t="s">
        <v>119</v>
      </c>
      <c r="AQ161" s="326">
        <v>0</v>
      </c>
      <c r="AR161" s="326">
        <v>0</v>
      </c>
      <c r="AS161" s="326">
        <v>0</v>
      </c>
      <c r="AT161" s="326">
        <v>0</v>
      </c>
      <c r="AU161" s="325">
        <v>0</v>
      </c>
      <c r="AV161" s="325">
        <v>0</v>
      </c>
      <c r="AW161" s="325">
        <v>0</v>
      </c>
      <c r="AX161" s="325">
        <v>0</v>
      </c>
      <c r="AY161" s="325">
        <v>0</v>
      </c>
      <c r="AZ161" s="325">
        <v>0</v>
      </c>
      <c r="BA161" s="325">
        <v>0</v>
      </c>
      <c r="BB161" s="325">
        <v>0</v>
      </c>
      <c r="BC161" s="325">
        <v>0</v>
      </c>
      <c r="BD161" s="325">
        <v>0</v>
      </c>
      <c r="BE161" s="325">
        <v>0</v>
      </c>
      <c r="BF161" s="325">
        <v>0</v>
      </c>
      <c r="BG161" s="325">
        <v>0</v>
      </c>
      <c r="BH161" s="325">
        <v>0</v>
      </c>
      <c r="BI161" s="325">
        <v>0</v>
      </c>
      <c r="BJ161" s="325">
        <v>0</v>
      </c>
      <c r="BK161" s="325">
        <v>0</v>
      </c>
      <c r="BL161" s="325">
        <v>0</v>
      </c>
      <c r="BM161" s="325">
        <v>0</v>
      </c>
      <c r="BN161" s="325">
        <v>0</v>
      </c>
      <c r="BO161" s="325">
        <v>0</v>
      </c>
      <c r="BP161" s="325">
        <v>0</v>
      </c>
      <c r="BQ161" s="325">
        <v>0</v>
      </c>
      <c r="BR161" s="325">
        <v>1</v>
      </c>
      <c r="BS161" s="325">
        <v>0</v>
      </c>
      <c r="BT161" s="325">
        <v>0</v>
      </c>
      <c r="BU161" s="325">
        <v>0</v>
      </c>
      <c r="BV161" s="325">
        <v>0</v>
      </c>
      <c r="BW161" s="325">
        <v>0</v>
      </c>
      <c r="BX161" s="325">
        <v>0</v>
      </c>
      <c r="BY161" s="325">
        <v>0</v>
      </c>
    </row>
    <row r="162" spans="2:77" ht="10.15" customHeight="1">
      <c r="B162" s="324" t="s">
        <v>119</v>
      </c>
      <c r="D162" s="319">
        <f t="shared" si="14"/>
        <v>0</v>
      </c>
      <c r="E162" s="319">
        <f t="shared" si="15"/>
        <v>0</v>
      </c>
      <c r="F162" s="319">
        <f t="shared" si="16"/>
        <v>0</v>
      </c>
      <c r="G162" s="319">
        <f t="shared" si="17"/>
        <v>0</v>
      </c>
      <c r="H162" s="319">
        <f t="shared" si="18"/>
        <v>0</v>
      </c>
      <c r="I162" s="319">
        <f t="shared" si="19"/>
        <v>0</v>
      </c>
      <c r="J162" s="319">
        <f t="shared" si="20"/>
        <v>0</v>
      </c>
      <c r="K162" s="319">
        <f t="shared" si="21"/>
        <v>0</v>
      </c>
      <c r="L162" s="319">
        <f t="shared" si="22"/>
        <v>0</v>
      </c>
      <c r="M162" s="319">
        <f t="shared" si="23"/>
        <v>0</v>
      </c>
      <c r="N162" s="319">
        <f t="shared" si="24"/>
        <v>0</v>
      </c>
      <c r="O162" s="319">
        <f t="shared" si="25"/>
        <v>0</v>
      </c>
      <c r="P162" s="319">
        <f t="shared" si="26"/>
        <v>0</v>
      </c>
      <c r="Q162" s="319">
        <f t="shared" si="27"/>
        <v>0</v>
      </c>
      <c r="R162" s="319">
        <f t="shared" si="28"/>
        <v>0</v>
      </c>
      <c r="S162" s="319">
        <f t="shared" si="29"/>
        <v>0</v>
      </c>
      <c r="T162" s="319">
        <f t="shared" si="30"/>
        <v>0</v>
      </c>
      <c r="U162" s="319">
        <f t="shared" si="31"/>
        <v>0</v>
      </c>
      <c r="V162" s="319">
        <f t="shared" si="32"/>
        <v>0</v>
      </c>
      <c r="W162" s="319">
        <f t="shared" si="33"/>
        <v>0</v>
      </c>
      <c r="X162" s="319">
        <f t="shared" si="34"/>
        <v>0</v>
      </c>
      <c r="Y162" s="319">
        <f t="shared" si="35"/>
        <v>0</v>
      </c>
      <c r="Z162" s="319">
        <f t="shared" si="36"/>
        <v>0</v>
      </c>
      <c r="AA162" s="319">
        <f t="shared" si="37"/>
        <v>0</v>
      </c>
      <c r="AB162" s="319">
        <f t="shared" si="38"/>
        <v>0</v>
      </c>
      <c r="AC162" s="319">
        <f t="shared" si="39"/>
        <v>0</v>
      </c>
      <c r="AD162" s="319">
        <f t="shared" si="40"/>
        <v>0</v>
      </c>
      <c r="AE162" s="319">
        <f t="shared" si="41"/>
        <v>0</v>
      </c>
      <c r="AF162" s="319">
        <f t="shared" si="42"/>
        <v>0</v>
      </c>
      <c r="AG162" s="319">
        <f t="shared" si="43"/>
        <v>0</v>
      </c>
      <c r="AH162" s="319">
        <f t="shared" si="44"/>
        <v>0</v>
      </c>
      <c r="AI162" s="319">
        <f t="shared" si="45"/>
        <v>0</v>
      </c>
      <c r="AJ162" s="319">
        <f t="shared" si="46"/>
        <v>0</v>
      </c>
      <c r="AK162" s="319">
        <f t="shared" si="47"/>
        <v>0</v>
      </c>
      <c r="AL162" s="319">
        <f t="shared" si="48"/>
        <v>0</v>
      </c>
      <c r="AM162" s="319">
        <f t="shared" si="49"/>
        <v>0</v>
      </c>
      <c r="AP162" s="266" t="s">
        <v>120</v>
      </c>
      <c r="AQ162" s="326">
        <v>0</v>
      </c>
      <c r="AR162" s="326">
        <v>0</v>
      </c>
      <c r="AS162" s="326">
        <v>0</v>
      </c>
      <c r="AT162" s="326">
        <v>0</v>
      </c>
      <c r="AU162" s="325">
        <v>0</v>
      </c>
      <c r="AV162" s="325">
        <v>0</v>
      </c>
      <c r="AW162" s="325">
        <v>0</v>
      </c>
      <c r="AX162" s="325">
        <v>0</v>
      </c>
      <c r="AY162" s="325">
        <v>0</v>
      </c>
      <c r="AZ162" s="325">
        <v>0</v>
      </c>
      <c r="BA162" s="325">
        <v>0</v>
      </c>
      <c r="BB162" s="325">
        <v>0</v>
      </c>
      <c r="BC162" s="325">
        <v>0</v>
      </c>
      <c r="BD162" s="325">
        <v>0</v>
      </c>
      <c r="BE162" s="325">
        <v>0</v>
      </c>
      <c r="BF162" s="325">
        <v>0</v>
      </c>
      <c r="BG162" s="325">
        <v>0</v>
      </c>
      <c r="BH162" s="325">
        <v>0</v>
      </c>
      <c r="BI162" s="325">
        <v>0</v>
      </c>
      <c r="BJ162" s="325">
        <v>0</v>
      </c>
      <c r="BK162" s="325">
        <v>0</v>
      </c>
      <c r="BL162" s="325">
        <v>0</v>
      </c>
      <c r="BM162" s="325">
        <v>0</v>
      </c>
      <c r="BN162" s="325">
        <v>0</v>
      </c>
      <c r="BO162" s="325">
        <v>0</v>
      </c>
      <c r="BP162" s="325">
        <v>0</v>
      </c>
      <c r="BQ162" s="325">
        <v>0</v>
      </c>
      <c r="BR162" s="325">
        <v>0</v>
      </c>
      <c r="BS162" s="325">
        <v>1</v>
      </c>
      <c r="BT162" s="325">
        <v>0</v>
      </c>
      <c r="BU162" s="325">
        <v>0</v>
      </c>
      <c r="BV162" s="325">
        <v>0</v>
      </c>
      <c r="BW162" s="325">
        <v>0</v>
      </c>
      <c r="BX162" s="325">
        <v>0</v>
      </c>
      <c r="BY162" s="325">
        <v>0</v>
      </c>
    </row>
    <row r="163" spans="2:77" ht="10.15" customHeight="1">
      <c r="B163" s="324" t="s">
        <v>120</v>
      </c>
      <c r="D163" s="319">
        <f t="shared" si="14"/>
        <v>0</v>
      </c>
      <c r="E163" s="319">
        <f t="shared" si="15"/>
        <v>0</v>
      </c>
      <c r="F163" s="319">
        <f t="shared" si="16"/>
        <v>0</v>
      </c>
      <c r="G163" s="319">
        <f t="shared" si="17"/>
        <v>0</v>
      </c>
      <c r="H163" s="319">
        <f t="shared" si="18"/>
        <v>0</v>
      </c>
      <c r="I163" s="319">
        <f t="shared" si="19"/>
        <v>0</v>
      </c>
      <c r="J163" s="319">
        <f t="shared" si="20"/>
        <v>0</v>
      </c>
      <c r="K163" s="319">
        <f t="shared" si="21"/>
        <v>0</v>
      </c>
      <c r="L163" s="319">
        <f t="shared" si="22"/>
        <v>0</v>
      </c>
      <c r="M163" s="319">
        <f t="shared" si="23"/>
        <v>0</v>
      </c>
      <c r="N163" s="319">
        <f t="shared" si="24"/>
        <v>0</v>
      </c>
      <c r="O163" s="319">
        <f t="shared" si="25"/>
        <v>0</v>
      </c>
      <c r="P163" s="319">
        <f t="shared" si="26"/>
        <v>0</v>
      </c>
      <c r="Q163" s="319">
        <f t="shared" si="27"/>
        <v>0</v>
      </c>
      <c r="R163" s="319">
        <f t="shared" si="28"/>
        <v>0</v>
      </c>
      <c r="S163" s="319">
        <f t="shared" si="29"/>
        <v>0</v>
      </c>
      <c r="T163" s="319">
        <f t="shared" si="30"/>
        <v>0</v>
      </c>
      <c r="U163" s="319">
        <f t="shared" si="31"/>
        <v>0</v>
      </c>
      <c r="V163" s="319">
        <f t="shared" si="32"/>
        <v>0</v>
      </c>
      <c r="W163" s="319">
        <f t="shared" si="33"/>
        <v>0</v>
      </c>
      <c r="X163" s="319">
        <f t="shared" si="34"/>
        <v>0</v>
      </c>
      <c r="Y163" s="319">
        <f t="shared" si="35"/>
        <v>0</v>
      </c>
      <c r="Z163" s="319">
        <f t="shared" si="36"/>
        <v>0</v>
      </c>
      <c r="AA163" s="319">
        <f t="shared" si="37"/>
        <v>0</v>
      </c>
      <c r="AB163" s="319">
        <f t="shared" si="38"/>
        <v>0</v>
      </c>
      <c r="AC163" s="319">
        <f t="shared" si="39"/>
        <v>0</v>
      </c>
      <c r="AD163" s="319">
        <f t="shared" si="40"/>
        <v>0</v>
      </c>
      <c r="AE163" s="319">
        <f t="shared" si="41"/>
        <v>0</v>
      </c>
      <c r="AF163" s="319">
        <f t="shared" si="42"/>
        <v>0</v>
      </c>
      <c r="AG163" s="319">
        <f t="shared" si="43"/>
        <v>0</v>
      </c>
      <c r="AH163" s="319">
        <f t="shared" si="44"/>
        <v>0</v>
      </c>
      <c r="AI163" s="319">
        <f t="shared" si="45"/>
        <v>0</v>
      </c>
      <c r="AJ163" s="319">
        <f t="shared" si="46"/>
        <v>0</v>
      </c>
      <c r="AK163" s="319">
        <f t="shared" si="47"/>
        <v>0</v>
      </c>
      <c r="AL163" s="319">
        <f t="shared" si="48"/>
        <v>0</v>
      </c>
      <c r="AM163" s="319">
        <f t="shared" si="49"/>
        <v>0</v>
      </c>
      <c r="AP163" s="266" t="s">
        <v>121</v>
      </c>
      <c r="AQ163" s="326">
        <v>0</v>
      </c>
      <c r="AR163" s="326">
        <v>0</v>
      </c>
      <c r="AS163" s="326">
        <v>0</v>
      </c>
      <c r="AT163" s="326">
        <v>0</v>
      </c>
      <c r="AU163" s="325">
        <v>0</v>
      </c>
      <c r="AV163" s="325">
        <v>0</v>
      </c>
      <c r="AW163" s="325">
        <v>0</v>
      </c>
      <c r="AX163" s="325">
        <v>0</v>
      </c>
      <c r="AY163" s="325">
        <v>0</v>
      </c>
      <c r="AZ163" s="325">
        <v>0</v>
      </c>
      <c r="BA163" s="325">
        <v>0</v>
      </c>
      <c r="BB163" s="325">
        <v>0</v>
      </c>
      <c r="BC163" s="325">
        <v>0</v>
      </c>
      <c r="BD163" s="325">
        <v>0</v>
      </c>
      <c r="BE163" s="325">
        <v>0</v>
      </c>
      <c r="BF163" s="325">
        <v>0</v>
      </c>
      <c r="BG163" s="325">
        <v>0</v>
      </c>
      <c r="BH163" s="325">
        <v>0</v>
      </c>
      <c r="BI163" s="325">
        <v>0</v>
      </c>
      <c r="BJ163" s="325">
        <v>0</v>
      </c>
      <c r="BK163" s="325">
        <v>0</v>
      </c>
      <c r="BL163" s="325">
        <v>0</v>
      </c>
      <c r="BM163" s="325">
        <v>0</v>
      </c>
      <c r="BN163" s="325">
        <v>0</v>
      </c>
      <c r="BO163" s="325">
        <v>0</v>
      </c>
      <c r="BP163" s="325">
        <v>0</v>
      </c>
      <c r="BQ163" s="325">
        <v>0</v>
      </c>
      <c r="BR163" s="325">
        <v>0</v>
      </c>
      <c r="BS163" s="325">
        <v>0</v>
      </c>
      <c r="BT163" s="325">
        <v>1</v>
      </c>
      <c r="BU163" s="325">
        <v>0</v>
      </c>
      <c r="BV163" s="325">
        <v>0</v>
      </c>
      <c r="BW163" s="325">
        <v>0</v>
      </c>
      <c r="BX163" s="325">
        <v>0</v>
      </c>
      <c r="BY163" s="325">
        <v>0</v>
      </c>
    </row>
    <row r="164" spans="2:77" ht="10.15" customHeight="1">
      <c r="B164" s="324" t="s">
        <v>121</v>
      </c>
      <c r="D164" s="319">
        <f t="shared" si="14"/>
        <v>0</v>
      </c>
      <c r="E164" s="319">
        <f t="shared" si="15"/>
        <v>0</v>
      </c>
      <c r="F164" s="319">
        <f t="shared" si="16"/>
        <v>0</v>
      </c>
      <c r="G164" s="319">
        <f t="shared" si="17"/>
        <v>0</v>
      </c>
      <c r="H164" s="319">
        <f t="shared" si="18"/>
        <v>0</v>
      </c>
      <c r="I164" s="319">
        <f t="shared" si="19"/>
        <v>0</v>
      </c>
      <c r="J164" s="319">
        <f t="shared" si="20"/>
        <v>0</v>
      </c>
      <c r="K164" s="319">
        <f t="shared" si="21"/>
        <v>0</v>
      </c>
      <c r="L164" s="319">
        <f t="shared" si="22"/>
        <v>0</v>
      </c>
      <c r="M164" s="319">
        <f t="shared" si="23"/>
        <v>0</v>
      </c>
      <c r="N164" s="319">
        <f t="shared" si="24"/>
        <v>0</v>
      </c>
      <c r="O164" s="319">
        <f t="shared" si="25"/>
        <v>0</v>
      </c>
      <c r="P164" s="319">
        <f t="shared" si="26"/>
        <v>0</v>
      </c>
      <c r="Q164" s="319">
        <f t="shared" si="27"/>
        <v>0</v>
      </c>
      <c r="R164" s="319">
        <f t="shared" si="28"/>
        <v>0</v>
      </c>
      <c r="S164" s="319">
        <f t="shared" si="29"/>
        <v>0</v>
      </c>
      <c r="T164" s="319">
        <f t="shared" si="30"/>
        <v>0</v>
      </c>
      <c r="U164" s="319">
        <f t="shared" si="31"/>
        <v>0</v>
      </c>
      <c r="V164" s="319">
        <f t="shared" si="32"/>
        <v>0</v>
      </c>
      <c r="W164" s="319">
        <f t="shared" si="33"/>
        <v>0</v>
      </c>
      <c r="X164" s="319">
        <f t="shared" si="34"/>
        <v>0</v>
      </c>
      <c r="Y164" s="319">
        <f t="shared" si="35"/>
        <v>0</v>
      </c>
      <c r="Z164" s="319">
        <f t="shared" si="36"/>
        <v>0</v>
      </c>
      <c r="AA164" s="319">
        <f t="shared" si="37"/>
        <v>0</v>
      </c>
      <c r="AB164" s="319">
        <f t="shared" si="38"/>
        <v>0</v>
      </c>
      <c r="AC164" s="319">
        <f t="shared" si="39"/>
        <v>0</v>
      </c>
      <c r="AD164" s="319">
        <f t="shared" si="40"/>
        <v>0</v>
      </c>
      <c r="AE164" s="319">
        <f t="shared" si="41"/>
        <v>0</v>
      </c>
      <c r="AF164" s="319">
        <f t="shared" si="42"/>
        <v>0</v>
      </c>
      <c r="AG164" s="319">
        <f t="shared" si="43"/>
        <v>0</v>
      </c>
      <c r="AH164" s="319">
        <f t="shared" si="44"/>
        <v>0</v>
      </c>
      <c r="AI164" s="319">
        <f t="shared" si="45"/>
        <v>0</v>
      </c>
      <c r="AJ164" s="319">
        <f t="shared" si="46"/>
        <v>0</v>
      </c>
      <c r="AK164" s="319">
        <f t="shared" si="47"/>
        <v>0</v>
      </c>
      <c r="AL164" s="319">
        <f t="shared" si="48"/>
        <v>0</v>
      </c>
      <c r="AM164" s="319">
        <f t="shared" si="49"/>
        <v>0</v>
      </c>
      <c r="AP164" s="266" t="s">
        <v>122</v>
      </c>
      <c r="AQ164" s="326">
        <v>0</v>
      </c>
      <c r="AR164" s="326">
        <v>0</v>
      </c>
      <c r="AS164" s="326">
        <v>0</v>
      </c>
      <c r="AT164" s="326">
        <v>0</v>
      </c>
      <c r="AU164" s="325">
        <v>0</v>
      </c>
      <c r="AV164" s="325">
        <v>0</v>
      </c>
      <c r="AW164" s="325">
        <v>0</v>
      </c>
      <c r="AX164" s="325">
        <v>0</v>
      </c>
      <c r="AY164" s="325">
        <v>0</v>
      </c>
      <c r="AZ164" s="325">
        <v>0</v>
      </c>
      <c r="BA164" s="325">
        <v>0</v>
      </c>
      <c r="BB164" s="325">
        <v>0</v>
      </c>
      <c r="BC164" s="325">
        <v>0</v>
      </c>
      <c r="BD164" s="325">
        <v>0</v>
      </c>
      <c r="BE164" s="325">
        <v>0</v>
      </c>
      <c r="BF164" s="325">
        <v>0</v>
      </c>
      <c r="BG164" s="325">
        <v>0</v>
      </c>
      <c r="BH164" s="325">
        <v>0</v>
      </c>
      <c r="BI164" s="325">
        <v>0</v>
      </c>
      <c r="BJ164" s="325">
        <v>0</v>
      </c>
      <c r="BK164" s="325">
        <v>0</v>
      </c>
      <c r="BL164" s="325">
        <v>0</v>
      </c>
      <c r="BM164" s="325">
        <v>0</v>
      </c>
      <c r="BN164" s="325">
        <v>0</v>
      </c>
      <c r="BO164" s="325">
        <v>0</v>
      </c>
      <c r="BP164" s="325">
        <v>0</v>
      </c>
      <c r="BQ164" s="325">
        <v>0</v>
      </c>
      <c r="BR164" s="325">
        <v>0</v>
      </c>
      <c r="BS164" s="325">
        <v>0</v>
      </c>
      <c r="BT164" s="325">
        <v>0</v>
      </c>
      <c r="BU164" s="325">
        <v>1</v>
      </c>
      <c r="BV164" s="325">
        <v>0</v>
      </c>
      <c r="BW164" s="325">
        <v>0</v>
      </c>
      <c r="BX164" s="325">
        <v>0</v>
      </c>
      <c r="BY164" s="325">
        <v>0</v>
      </c>
    </row>
    <row r="165" spans="2:77" ht="10.15" customHeight="1">
      <c r="B165" s="324" t="s">
        <v>122</v>
      </c>
      <c r="D165" s="319">
        <f t="shared" si="14"/>
        <v>0</v>
      </c>
      <c r="E165" s="319">
        <f t="shared" si="15"/>
        <v>0</v>
      </c>
      <c r="F165" s="319">
        <f t="shared" si="16"/>
        <v>0</v>
      </c>
      <c r="G165" s="319">
        <f t="shared" si="17"/>
        <v>0</v>
      </c>
      <c r="H165" s="319">
        <f t="shared" si="18"/>
        <v>0</v>
      </c>
      <c r="I165" s="319">
        <f t="shared" si="19"/>
        <v>0</v>
      </c>
      <c r="J165" s="319">
        <f t="shared" si="20"/>
        <v>0</v>
      </c>
      <c r="K165" s="319">
        <f t="shared" si="21"/>
        <v>0</v>
      </c>
      <c r="L165" s="319">
        <f t="shared" si="22"/>
        <v>0</v>
      </c>
      <c r="M165" s="319">
        <f t="shared" si="23"/>
        <v>0</v>
      </c>
      <c r="N165" s="319">
        <f t="shared" si="24"/>
        <v>0</v>
      </c>
      <c r="O165" s="319">
        <f t="shared" si="25"/>
        <v>0</v>
      </c>
      <c r="P165" s="319">
        <f t="shared" si="26"/>
        <v>0</v>
      </c>
      <c r="Q165" s="319">
        <f t="shared" si="27"/>
        <v>0</v>
      </c>
      <c r="R165" s="319">
        <f t="shared" si="28"/>
        <v>0</v>
      </c>
      <c r="S165" s="319">
        <f t="shared" si="29"/>
        <v>0</v>
      </c>
      <c r="T165" s="319">
        <f t="shared" si="30"/>
        <v>0</v>
      </c>
      <c r="U165" s="319">
        <f t="shared" si="31"/>
        <v>0</v>
      </c>
      <c r="V165" s="319">
        <f t="shared" si="32"/>
        <v>0</v>
      </c>
      <c r="W165" s="319">
        <f t="shared" si="33"/>
        <v>0</v>
      </c>
      <c r="X165" s="319">
        <f t="shared" si="34"/>
        <v>0</v>
      </c>
      <c r="Y165" s="319">
        <f t="shared" si="35"/>
        <v>0</v>
      </c>
      <c r="Z165" s="319">
        <f t="shared" si="36"/>
        <v>0</v>
      </c>
      <c r="AA165" s="319">
        <f t="shared" si="37"/>
        <v>0</v>
      </c>
      <c r="AB165" s="319">
        <f t="shared" si="38"/>
        <v>0</v>
      </c>
      <c r="AC165" s="319">
        <f t="shared" si="39"/>
        <v>0</v>
      </c>
      <c r="AD165" s="319">
        <f t="shared" si="40"/>
        <v>0</v>
      </c>
      <c r="AE165" s="319">
        <f t="shared" si="41"/>
        <v>0</v>
      </c>
      <c r="AF165" s="319">
        <f t="shared" si="42"/>
        <v>0</v>
      </c>
      <c r="AG165" s="319">
        <f t="shared" si="43"/>
        <v>0</v>
      </c>
      <c r="AH165" s="319">
        <f t="shared" si="44"/>
        <v>0</v>
      </c>
      <c r="AI165" s="319">
        <f t="shared" si="45"/>
        <v>0</v>
      </c>
      <c r="AJ165" s="319">
        <f t="shared" si="46"/>
        <v>0</v>
      </c>
      <c r="AK165" s="319">
        <f t="shared" si="47"/>
        <v>0</v>
      </c>
      <c r="AL165" s="319">
        <f t="shared" si="48"/>
        <v>0</v>
      </c>
      <c r="AM165" s="319">
        <f t="shared" si="49"/>
        <v>0</v>
      </c>
      <c r="AP165" s="266" t="s">
        <v>123</v>
      </c>
      <c r="AQ165" s="326">
        <v>0</v>
      </c>
      <c r="AR165" s="326">
        <v>0</v>
      </c>
      <c r="AS165" s="326">
        <v>0</v>
      </c>
      <c r="AT165" s="326">
        <v>0</v>
      </c>
      <c r="AU165" s="325">
        <v>0</v>
      </c>
      <c r="AV165" s="325">
        <v>0</v>
      </c>
      <c r="AW165" s="325">
        <v>0</v>
      </c>
      <c r="AX165" s="325">
        <v>0</v>
      </c>
      <c r="AY165" s="325">
        <v>0</v>
      </c>
      <c r="AZ165" s="325">
        <v>0</v>
      </c>
      <c r="BA165" s="325">
        <v>0</v>
      </c>
      <c r="BB165" s="325">
        <v>0</v>
      </c>
      <c r="BC165" s="325">
        <v>0</v>
      </c>
      <c r="BD165" s="325">
        <v>0</v>
      </c>
      <c r="BE165" s="325">
        <v>0</v>
      </c>
      <c r="BF165" s="325">
        <v>0</v>
      </c>
      <c r="BG165" s="325">
        <v>0</v>
      </c>
      <c r="BH165" s="325">
        <v>0</v>
      </c>
      <c r="BI165" s="325">
        <v>0</v>
      </c>
      <c r="BJ165" s="325">
        <v>0</v>
      </c>
      <c r="BK165" s="325">
        <v>0</v>
      </c>
      <c r="BL165" s="325">
        <v>0</v>
      </c>
      <c r="BM165" s="325">
        <v>0</v>
      </c>
      <c r="BN165" s="325">
        <v>0</v>
      </c>
      <c r="BO165" s="325">
        <v>0</v>
      </c>
      <c r="BP165" s="325">
        <v>0</v>
      </c>
      <c r="BQ165" s="325">
        <v>0</v>
      </c>
      <c r="BR165" s="325">
        <v>0</v>
      </c>
      <c r="BS165" s="325">
        <v>0</v>
      </c>
      <c r="BT165" s="325">
        <v>0</v>
      </c>
      <c r="BU165" s="325">
        <v>0</v>
      </c>
      <c r="BV165" s="325">
        <v>1</v>
      </c>
      <c r="BW165" s="325">
        <v>0</v>
      </c>
      <c r="BX165" s="325">
        <v>0</v>
      </c>
      <c r="BY165" s="325">
        <v>0</v>
      </c>
    </row>
    <row r="166" spans="2:77" ht="10.15" customHeight="1">
      <c r="B166" s="324" t="s">
        <v>123</v>
      </c>
      <c r="D166" s="319">
        <f t="shared" si="14"/>
        <v>0</v>
      </c>
      <c r="E166" s="319">
        <f t="shared" si="15"/>
        <v>0</v>
      </c>
      <c r="F166" s="319">
        <f t="shared" si="16"/>
        <v>0</v>
      </c>
      <c r="G166" s="319">
        <f t="shared" si="17"/>
        <v>0</v>
      </c>
      <c r="H166" s="319">
        <f t="shared" si="18"/>
        <v>0</v>
      </c>
      <c r="I166" s="319">
        <f t="shared" si="19"/>
        <v>0</v>
      </c>
      <c r="J166" s="319">
        <f t="shared" si="20"/>
        <v>0</v>
      </c>
      <c r="K166" s="319">
        <f t="shared" si="21"/>
        <v>0</v>
      </c>
      <c r="L166" s="319">
        <f t="shared" si="22"/>
        <v>0</v>
      </c>
      <c r="M166" s="319">
        <f t="shared" si="23"/>
        <v>0</v>
      </c>
      <c r="N166" s="319">
        <f t="shared" si="24"/>
        <v>0</v>
      </c>
      <c r="O166" s="319">
        <f t="shared" si="25"/>
        <v>0</v>
      </c>
      <c r="P166" s="319">
        <f t="shared" si="26"/>
        <v>0</v>
      </c>
      <c r="Q166" s="319">
        <f t="shared" si="27"/>
        <v>0</v>
      </c>
      <c r="R166" s="319">
        <f t="shared" si="28"/>
        <v>0</v>
      </c>
      <c r="S166" s="319">
        <f t="shared" si="29"/>
        <v>0</v>
      </c>
      <c r="T166" s="319">
        <f t="shared" si="30"/>
        <v>0</v>
      </c>
      <c r="U166" s="319">
        <f t="shared" si="31"/>
        <v>0</v>
      </c>
      <c r="V166" s="319">
        <f t="shared" si="32"/>
        <v>0</v>
      </c>
      <c r="W166" s="319">
        <f t="shared" si="33"/>
        <v>0</v>
      </c>
      <c r="X166" s="319">
        <f t="shared" si="34"/>
        <v>0</v>
      </c>
      <c r="Y166" s="319">
        <f t="shared" si="35"/>
        <v>0</v>
      </c>
      <c r="Z166" s="319">
        <f t="shared" si="36"/>
        <v>0</v>
      </c>
      <c r="AA166" s="319">
        <f t="shared" si="37"/>
        <v>0</v>
      </c>
      <c r="AB166" s="319">
        <f t="shared" si="38"/>
        <v>0</v>
      </c>
      <c r="AC166" s="319">
        <f t="shared" si="39"/>
        <v>0</v>
      </c>
      <c r="AD166" s="319">
        <f t="shared" si="40"/>
        <v>0</v>
      </c>
      <c r="AE166" s="319">
        <f t="shared" si="41"/>
        <v>0</v>
      </c>
      <c r="AF166" s="319">
        <f t="shared" si="42"/>
        <v>0</v>
      </c>
      <c r="AG166" s="319">
        <f t="shared" si="43"/>
        <v>0</v>
      </c>
      <c r="AH166" s="319">
        <f t="shared" si="44"/>
        <v>0</v>
      </c>
      <c r="AI166" s="319">
        <f t="shared" si="45"/>
        <v>0</v>
      </c>
      <c r="AJ166" s="319">
        <f t="shared" si="46"/>
        <v>0</v>
      </c>
      <c r="AK166" s="319">
        <f t="shared" si="47"/>
        <v>0</v>
      </c>
      <c r="AL166" s="319">
        <f t="shared" si="48"/>
        <v>0</v>
      </c>
      <c r="AM166" s="319">
        <f t="shared" si="49"/>
        <v>0</v>
      </c>
      <c r="AP166" s="266" t="s">
        <v>124</v>
      </c>
      <c r="AQ166" s="326">
        <v>0</v>
      </c>
      <c r="AR166" s="326">
        <v>0</v>
      </c>
      <c r="AS166" s="326">
        <v>0</v>
      </c>
      <c r="AT166" s="326">
        <v>0</v>
      </c>
      <c r="AU166" s="326">
        <v>0</v>
      </c>
      <c r="AV166" s="326">
        <v>0</v>
      </c>
      <c r="AW166" s="326">
        <v>0</v>
      </c>
      <c r="AX166" s="326">
        <v>0</v>
      </c>
      <c r="AY166" s="326">
        <v>0</v>
      </c>
      <c r="AZ166" s="326">
        <v>0</v>
      </c>
      <c r="BA166" s="326">
        <v>0</v>
      </c>
      <c r="BB166" s="326">
        <v>0</v>
      </c>
      <c r="BC166" s="326">
        <v>0</v>
      </c>
      <c r="BD166" s="326">
        <v>0</v>
      </c>
      <c r="BE166" s="326">
        <v>0</v>
      </c>
      <c r="BF166" s="326">
        <v>0</v>
      </c>
      <c r="BG166" s="326">
        <v>0</v>
      </c>
      <c r="BH166" s="326">
        <v>0</v>
      </c>
      <c r="BI166" s="326">
        <v>0</v>
      </c>
      <c r="BJ166" s="326">
        <v>0</v>
      </c>
      <c r="BK166" s="326">
        <v>0</v>
      </c>
      <c r="BL166" s="326">
        <v>0</v>
      </c>
      <c r="BM166" s="326">
        <v>0</v>
      </c>
      <c r="BN166" s="326">
        <v>0</v>
      </c>
      <c r="BO166" s="326">
        <v>0</v>
      </c>
      <c r="BP166" s="326">
        <v>0</v>
      </c>
      <c r="BQ166" s="326">
        <v>0</v>
      </c>
      <c r="BR166" s="326">
        <v>0</v>
      </c>
      <c r="BS166" s="326">
        <v>0</v>
      </c>
      <c r="BT166" s="326">
        <v>0</v>
      </c>
      <c r="BU166" s="326">
        <v>0</v>
      </c>
      <c r="BV166" s="326">
        <v>0</v>
      </c>
      <c r="BW166" s="325">
        <v>1</v>
      </c>
      <c r="BX166" s="325">
        <v>0</v>
      </c>
      <c r="BY166" s="325">
        <v>0</v>
      </c>
    </row>
    <row r="167" spans="2:77" ht="10.15" customHeight="1">
      <c r="B167" s="324" t="s">
        <v>124</v>
      </c>
      <c r="D167" s="319">
        <f t="shared" ref="D167" si="50">SUM(E167:AM167)</f>
        <v>0</v>
      </c>
      <c r="E167" s="319">
        <f t="shared" ref="E167:AL167" si="51">IFERROR((D$112+D$113+D$123+D$124)*AQ167,0)</f>
        <v>0</v>
      </c>
      <c r="F167" s="319">
        <f t="shared" si="51"/>
        <v>0</v>
      </c>
      <c r="G167" s="319">
        <f t="shared" si="51"/>
        <v>0</v>
      </c>
      <c r="H167" s="319">
        <f t="shared" si="51"/>
        <v>0</v>
      </c>
      <c r="I167" s="319">
        <f t="shared" si="51"/>
        <v>0</v>
      </c>
      <c r="J167" s="319">
        <f t="shared" si="51"/>
        <v>0</v>
      </c>
      <c r="K167" s="319">
        <f t="shared" si="51"/>
        <v>0</v>
      </c>
      <c r="L167" s="319">
        <f t="shared" si="51"/>
        <v>0</v>
      </c>
      <c r="M167" s="319">
        <f t="shared" si="51"/>
        <v>0</v>
      </c>
      <c r="N167" s="319">
        <f t="shared" si="51"/>
        <v>0</v>
      </c>
      <c r="O167" s="319">
        <f t="shared" si="51"/>
        <v>0</v>
      </c>
      <c r="P167" s="319">
        <f t="shared" si="51"/>
        <v>0</v>
      </c>
      <c r="Q167" s="319">
        <f t="shared" si="51"/>
        <v>0</v>
      </c>
      <c r="R167" s="319">
        <f t="shared" si="51"/>
        <v>0</v>
      </c>
      <c r="S167" s="319">
        <f t="shared" si="51"/>
        <v>0</v>
      </c>
      <c r="T167" s="319">
        <f t="shared" si="51"/>
        <v>0</v>
      </c>
      <c r="U167" s="319">
        <f t="shared" si="51"/>
        <v>0</v>
      </c>
      <c r="V167" s="319">
        <f t="shared" si="51"/>
        <v>0</v>
      </c>
      <c r="W167" s="319">
        <f t="shared" si="51"/>
        <v>0</v>
      </c>
      <c r="X167" s="319">
        <f t="shared" si="51"/>
        <v>0</v>
      </c>
      <c r="Y167" s="319">
        <f t="shared" si="51"/>
        <v>0</v>
      </c>
      <c r="Z167" s="319">
        <f t="shared" si="51"/>
        <v>0</v>
      </c>
      <c r="AA167" s="319">
        <f t="shared" si="51"/>
        <v>0</v>
      </c>
      <c r="AB167" s="319">
        <f t="shared" si="51"/>
        <v>0</v>
      </c>
      <c r="AC167" s="319">
        <f t="shared" si="51"/>
        <v>0</v>
      </c>
      <c r="AD167" s="319">
        <f t="shared" si="51"/>
        <v>0</v>
      </c>
      <c r="AE167" s="319">
        <f t="shared" si="51"/>
        <v>0</v>
      </c>
      <c r="AF167" s="319">
        <f t="shared" si="51"/>
        <v>0</v>
      </c>
      <c r="AG167" s="319">
        <f t="shared" si="51"/>
        <v>0</v>
      </c>
      <c r="AH167" s="319">
        <f t="shared" si="51"/>
        <v>0</v>
      </c>
      <c r="AI167" s="319">
        <f t="shared" si="51"/>
        <v>0</v>
      </c>
      <c r="AJ167" s="319">
        <f t="shared" si="51"/>
        <v>0</v>
      </c>
      <c r="AK167" s="319">
        <f t="shared" si="51"/>
        <v>0</v>
      </c>
      <c r="AL167" s="319">
        <f t="shared" si="51"/>
        <v>0</v>
      </c>
      <c r="AM167" s="319" t="s">
        <v>1414</v>
      </c>
      <c r="AP167" s="266" t="s">
        <v>1256</v>
      </c>
      <c r="AQ167" s="326"/>
      <c r="AY167" s="325"/>
      <c r="AZ167" s="325"/>
      <c r="BA167" s="325"/>
      <c r="BB167" s="325"/>
      <c r="BC167" s="325"/>
      <c r="BD167" s="325"/>
      <c r="BE167" s="325"/>
      <c r="BF167" s="325"/>
      <c r="BG167" s="325"/>
      <c r="BH167" s="325"/>
      <c r="BI167" s="325"/>
      <c r="BJ167" s="325"/>
      <c r="BK167" s="325"/>
      <c r="BL167" s="325"/>
      <c r="BM167" s="325"/>
      <c r="BN167" s="325"/>
      <c r="BO167" s="325"/>
      <c r="BP167" s="325"/>
      <c r="BQ167" s="325"/>
      <c r="BR167" s="325"/>
      <c r="BS167" s="325"/>
      <c r="BU167" s="325"/>
      <c r="BV167" s="325"/>
      <c r="BW167" s="325"/>
      <c r="BX167" s="325"/>
    </row>
    <row r="168" spans="2:77" ht="10.15" customHeight="1"/>
    <row r="171" spans="2:77" ht="15.6">
      <c r="B171" s="789" t="s">
        <v>1415</v>
      </c>
    </row>
    <row r="172" spans="2:77" ht="15.6">
      <c r="B172" s="789"/>
      <c r="E172" s="316" t="s">
        <v>84</v>
      </c>
      <c r="F172" s="316" t="s">
        <v>86</v>
      </c>
      <c r="G172" s="316" t="s">
        <v>92</v>
      </c>
      <c r="H172" s="316" t="s">
        <v>93</v>
      </c>
      <c r="I172" s="316" t="s">
        <v>94</v>
      </c>
      <c r="J172" s="316" t="s">
        <v>95</v>
      </c>
      <c r="K172" s="316" t="s">
        <v>96</v>
      </c>
      <c r="L172" s="316" t="s">
        <v>97</v>
      </c>
      <c r="M172" s="316" t="s">
        <v>98</v>
      </c>
      <c r="N172" s="316" t="s">
        <v>99</v>
      </c>
      <c r="O172" s="316" t="s">
        <v>100</v>
      </c>
      <c r="P172" s="316" t="s">
        <v>101</v>
      </c>
      <c r="Q172" s="316" t="s">
        <v>102</v>
      </c>
      <c r="R172" s="316" t="s">
        <v>103</v>
      </c>
      <c r="S172" s="316" t="s">
        <v>104</v>
      </c>
      <c r="T172" s="316" t="s">
        <v>105</v>
      </c>
      <c r="U172" s="316" t="s">
        <v>106</v>
      </c>
      <c r="V172" s="316" t="s">
        <v>107</v>
      </c>
      <c r="W172" s="316" t="s">
        <v>108</v>
      </c>
      <c r="X172" s="316" t="s">
        <v>109</v>
      </c>
      <c r="Y172" s="316" t="s">
        <v>110</v>
      </c>
      <c r="Z172" s="316" t="s">
        <v>111</v>
      </c>
      <c r="AA172" s="316" t="s">
        <v>112</v>
      </c>
      <c r="AB172" s="316" t="s">
        <v>113</v>
      </c>
      <c r="AC172" s="316" t="s">
        <v>114</v>
      </c>
      <c r="AD172" s="316" t="s">
        <v>115</v>
      </c>
      <c r="AE172" s="316" t="s">
        <v>116</v>
      </c>
      <c r="AF172" s="316" t="s">
        <v>117</v>
      </c>
      <c r="AG172" s="316" t="s">
        <v>118</v>
      </c>
      <c r="AH172" s="316" t="s">
        <v>119</v>
      </c>
      <c r="AI172" s="316" t="s">
        <v>120</v>
      </c>
      <c r="AJ172" s="316" t="s">
        <v>121</v>
      </c>
      <c r="AK172" s="316" t="s">
        <v>122</v>
      </c>
      <c r="AL172" s="316" t="s">
        <v>123</v>
      </c>
      <c r="AM172" s="316" t="s">
        <v>124</v>
      </c>
      <c r="AN172" s="316"/>
    </row>
    <row r="173" spans="2:77">
      <c r="E173" s="319">
        <f t="array" ref="E173:AM173">TRANSPOSE(D174:D208)</f>
        <v>0</v>
      </c>
      <c r="F173" s="319">
        <v>0</v>
      </c>
      <c r="G173" s="319">
        <v>0</v>
      </c>
      <c r="H173" s="319">
        <v>1059.6635221024444</v>
      </c>
      <c r="I173" s="319">
        <v>1059.6635221024444</v>
      </c>
      <c r="J173" s="319">
        <v>1059.6635221024444</v>
      </c>
      <c r="K173" s="319">
        <v>0</v>
      </c>
      <c r="L173" s="319">
        <v>0</v>
      </c>
      <c r="M173" s="319">
        <v>0</v>
      </c>
      <c r="N173" s="319">
        <v>0</v>
      </c>
      <c r="O173" s="319">
        <v>0</v>
      </c>
      <c r="P173" s="319">
        <v>0</v>
      </c>
      <c r="Q173" s="319">
        <v>0</v>
      </c>
      <c r="R173" s="319">
        <v>0</v>
      </c>
      <c r="S173" s="319">
        <v>0</v>
      </c>
      <c r="T173" s="319">
        <v>0</v>
      </c>
      <c r="U173" s="319">
        <v>0</v>
      </c>
      <c r="V173" s="319">
        <v>0</v>
      </c>
      <c r="W173" s="319">
        <v>0</v>
      </c>
      <c r="X173" s="319">
        <v>0</v>
      </c>
      <c r="Y173" s="319">
        <v>0</v>
      </c>
      <c r="Z173" s="319">
        <v>0</v>
      </c>
      <c r="AA173" s="319">
        <v>0</v>
      </c>
      <c r="AB173" s="319">
        <v>0</v>
      </c>
      <c r="AC173" s="319">
        <v>0</v>
      </c>
      <c r="AD173" s="319">
        <v>0</v>
      </c>
      <c r="AE173" s="319">
        <v>0</v>
      </c>
      <c r="AF173" s="319">
        <v>0</v>
      </c>
      <c r="AG173" s="319">
        <v>0</v>
      </c>
      <c r="AH173" s="319">
        <v>0</v>
      </c>
      <c r="AI173" s="319">
        <v>0</v>
      </c>
      <c r="AJ173" s="319">
        <v>0</v>
      </c>
      <c r="AK173" s="319">
        <v>0</v>
      </c>
      <c r="AL173" s="319">
        <v>0</v>
      </c>
      <c r="AM173" s="319">
        <v>0</v>
      </c>
      <c r="AQ173" s="266">
        <v>1</v>
      </c>
      <c r="AR173" s="266">
        <v>2</v>
      </c>
      <c r="AS173" s="266">
        <v>3</v>
      </c>
      <c r="AT173" s="266">
        <v>4</v>
      </c>
      <c r="AU173" s="266">
        <v>5</v>
      </c>
      <c r="AV173" s="266">
        <v>6</v>
      </c>
      <c r="AW173" s="266">
        <v>7</v>
      </c>
      <c r="AX173" s="266">
        <v>8</v>
      </c>
      <c r="AY173" s="266">
        <v>9</v>
      </c>
      <c r="AZ173" s="266">
        <v>10</v>
      </c>
      <c r="BA173" s="266">
        <v>11</v>
      </c>
      <c r="BB173" s="266">
        <v>12</v>
      </c>
      <c r="BC173" s="266">
        <v>13</v>
      </c>
      <c r="BD173" s="266">
        <v>14</v>
      </c>
      <c r="BE173" s="266">
        <v>15</v>
      </c>
      <c r="BF173" s="266">
        <v>16</v>
      </c>
      <c r="BG173" s="266">
        <v>17</v>
      </c>
      <c r="BH173" s="266">
        <v>18</v>
      </c>
      <c r="BI173" s="266">
        <v>19</v>
      </c>
      <c r="BJ173" s="266">
        <v>20</v>
      </c>
      <c r="BK173" s="266">
        <v>21</v>
      </c>
      <c r="BL173" s="266">
        <v>22</v>
      </c>
      <c r="BM173" s="266">
        <v>23</v>
      </c>
      <c r="BN173" s="266">
        <v>24</v>
      </c>
      <c r="BO173" s="266">
        <v>25</v>
      </c>
      <c r="BP173" s="266">
        <v>26</v>
      </c>
      <c r="BQ173" s="266">
        <v>27</v>
      </c>
      <c r="BR173" s="266">
        <v>28</v>
      </c>
      <c r="BS173" s="266">
        <v>29</v>
      </c>
      <c r="BT173" s="266">
        <v>30</v>
      </c>
      <c r="BU173" s="266">
        <v>31</v>
      </c>
      <c r="BV173" s="266">
        <v>32</v>
      </c>
      <c r="BW173" s="266">
        <v>33</v>
      </c>
      <c r="BX173" s="266">
        <v>34</v>
      </c>
      <c r="BY173" s="266">
        <v>35</v>
      </c>
    </row>
    <row r="174" spans="2:77" ht="14.45">
      <c r="B174" s="324" t="s">
        <v>84</v>
      </c>
      <c r="D174" s="320">
        <f>SUM(E174:AN174)</f>
        <v>0</v>
      </c>
      <c r="E174" s="320">
        <f t="shared" ref="E174:E208" si="52">IFERROR((D$117+D$119+D$120)*AQ174,0)</f>
        <v>0</v>
      </c>
      <c r="F174" s="320">
        <f t="shared" ref="F174:F208" si="53">IFERROR((E$117+E$119+E$120)*AR174,0)</f>
        <v>0</v>
      </c>
      <c r="G174" s="320">
        <f t="shared" ref="G174:G208" si="54">IFERROR((F$117+F$119+F$120)*AS174,0)</f>
        <v>0</v>
      </c>
      <c r="H174" s="320">
        <f t="shared" ref="H174:H208" si="55">IFERROR((G$117+G$119+G$120)*AT174,0)</f>
        <v>0</v>
      </c>
      <c r="I174" s="320">
        <f t="shared" ref="I174:I208" si="56">IFERROR((H$117+H$119+H$120)*AU174,0)</f>
        <v>0</v>
      </c>
      <c r="J174" s="320">
        <f t="shared" ref="J174:J208" si="57">IFERROR((I$117+I$119+I$120)*AV174,0)</f>
        <v>0</v>
      </c>
      <c r="K174" s="320">
        <f t="shared" ref="K174:K208" si="58">IFERROR((J$117+J$119+J$120)*AW174,0)</f>
        <v>0</v>
      </c>
      <c r="L174" s="320">
        <f t="shared" ref="L174:L208" si="59">IFERROR((K$117+K$119+K$120)*AX174,0)</f>
        <v>0</v>
      </c>
      <c r="M174" s="320">
        <f t="shared" ref="M174:M208" si="60">IFERROR((L$117+L$119+L$120)*AY174,0)</f>
        <v>0</v>
      </c>
      <c r="N174" s="320">
        <f t="shared" ref="N174:N208" si="61">IFERROR((M$117+M$119+M$120)*AZ174,0)</f>
        <v>0</v>
      </c>
      <c r="O174" s="320">
        <f t="shared" ref="O174:O208" si="62">IFERROR((N$117+N$119+N$120)*BA174,0)</f>
        <v>0</v>
      </c>
      <c r="P174" s="320">
        <f t="shared" ref="P174:P208" si="63">IFERROR((O$117+O$119+O$120)*BB174,0)</f>
        <v>0</v>
      </c>
      <c r="Q174" s="320">
        <f t="shared" ref="Q174:Q208" si="64">IFERROR((P$117+P$119+P$120)*BC174,0)</f>
        <v>0</v>
      </c>
      <c r="R174" s="320">
        <f t="shared" ref="R174:R208" si="65">IFERROR((Q$117+Q$119+Q$120)*BD174,0)</f>
        <v>0</v>
      </c>
      <c r="S174" s="320">
        <f t="shared" ref="S174:S208" si="66">IFERROR((R$117+R$119+R$120)*BE174,0)</f>
        <v>0</v>
      </c>
      <c r="T174" s="320">
        <f t="shared" ref="T174:T208" si="67">IFERROR((S$117+S$119+S$120)*BF174,0)</f>
        <v>0</v>
      </c>
      <c r="U174" s="320">
        <f t="shared" ref="U174:U208" si="68">IFERROR((T$117+T$119+T$120)*BG174,0)</f>
        <v>0</v>
      </c>
      <c r="V174" s="320">
        <f t="shared" ref="V174:V208" si="69">IFERROR((U$117+U$119+U$120)*BH174,0)</f>
        <v>0</v>
      </c>
      <c r="W174" s="320">
        <f t="shared" ref="W174:W208" si="70">IFERROR((V$117+V$119+V$120)*BI174,0)</f>
        <v>0</v>
      </c>
      <c r="X174" s="320">
        <f t="shared" ref="X174:X208" si="71">IFERROR((W$117+W$119+W$120)*BJ174,0)</f>
        <v>0</v>
      </c>
      <c r="Y174" s="320">
        <f t="shared" ref="Y174:Y208" si="72">IFERROR((X$117+X$119+X$120)*BK174,0)</f>
        <v>0</v>
      </c>
      <c r="Z174" s="320">
        <f t="shared" ref="Z174:Z208" si="73">IFERROR((Y$117+Y$119+Y$120)*BL174,0)</f>
        <v>0</v>
      </c>
      <c r="AA174" s="320">
        <f t="shared" ref="AA174:AA208" si="74">IFERROR((Z$117+Z$119+Z$120)*BM174,0)</f>
        <v>0</v>
      </c>
      <c r="AB174" s="320">
        <f t="shared" ref="AB174:AB208" si="75">IFERROR((AA$117+AA$119+AA$120)*BN174,0)</f>
        <v>0</v>
      </c>
      <c r="AC174" s="320">
        <f t="shared" ref="AC174:AC208" si="76">IFERROR((AB$117+AB$119+AB$120)*BO174,0)</f>
        <v>0</v>
      </c>
      <c r="AD174" s="320">
        <f t="shared" ref="AD174:AD208" si="77">IFERROR((AC$117+AC$119+AC$120)*BP174,0)</f>
        <v>0</v>
      </c>
      <c r="AE174" s="320">
        <f t="shared" ref="AE174:AE208" si="78">IFERROR((AD$117+AD$119+AD$120)*BQ174,0)</f>
        <v>0</v>
      </c>
      <c r="AF174" s="320">
        <f t="shared" ref="AF174:AF208" si="79">IFERROR((AE$117+AE$119+AE$120)*BR174,0)</f>
        <v>0</v>
      </c>
      <c r="AG174" s="320">
        <f t="shared" ref="AG174:AG208" si="80">IFERROR((AF$117+AF$119+AF$120)*BS174,0)</f>
        <v>0</v>
      </c>
      <c r="AH174" s="320">
        <f t="shared" ref="AH174:AH208" si="81">IFERROR((AG$117+AG$119+AG$120)*BT174,0)</f>
        <v>0</v>
      </c>
      <c r="AI174" s="320">
        <f t="shared" ref="AI174:AI208" si="82">IFERROR((AH$117+AH$119+AH$120)*BU174,0)</f>
        <v>0</v>
      </c>
      <c r="AJ174" s="320">
        <f t="shared" ref="AJ174:AJ208" si="83">IFERROR((AI$117+AI$119+AI$120)*BV174,0)</f>
        <v>0</v>
      </c>
      <c r="AK174" s="320">
        <f t="shared" ref="AK174:AK208" si="84">IFERROR((AJ$117+AJ$119+AJ$120)*BW174,0)</f>
        <v>0</v>
      </c>
      <c r="AL174" s="320">
        <f t="shared" ref="AL174:AL208" si="85">IFERROR((AK$117+AK$119+AK$120)*BX174,0)</f>
        <v>0</v>
      </c>
      <c r="AM174" s="320">
        <f t="shared" ref="AM174:AM208" si="86">IFERROR((AL$117+AL$119+AL$120)*BY174,0)</f>
        <v>0</v>
      </c>
      <c r="AN174" s="320"/>
      <c r="AP174" s="266" t="s">
        <v>84</v>
      </c>
      <c r="AQ174" s="580">
        <v>0</v>
      </c>
      <c r="AR174" s="580">
        <v>0</v>
      </c>
      <c r="AS174" s="580">
        <v>0</v>
      </c>
      <c r="AT174" s="580">
        <v>0</v>
      </c>
      <c r="AU174" s="580">
        <v>0</v>
      </c>
      <c r="AV174" s="580">
        <v>0</v>
      </c>
      <c r="AW174" s="580">
        <v>0</v>
      </c>
      <c r="AX174" s="580">
        <v>0</v>
      </c>
      <c r="AY174" s="580">
        <v>0</v>
      </c>
      <c r="AZ174" s="580">
        <v>0</v>
      </c>
      <c r="BA174" s="580">
        <v>0</v>
      </c>
      <c r="BB174" s="580">
        <v>0</v>
      </c>
      <c r="BC174" s="580">
        <v>0</v>
      </c>
      <c r="BD174" s="580">
        <v>0</v>
      </c>
      <c r="BE174" s="580">
        <v>0</v>
      </c>
      <c r="BF174" s="580">
        <v>0</v>
      </c>
      <c r="BG174" s="580">
        <v>0</v>
      </c>
      <c r="BH174" s="580">
        <v>0</v>
      </c>
      <c r="BI174" s="580">
        <v>0</v>
      </c>
      <c r="BJ174" s="580">
        <v>0</v>
      </c>
      <c r="BK174" s="580">
        <v>0</v>
      </c>
      <c r="BL174" s="580">
        <v>0</v>
      </c>
      <c r="BM174" s="580">
        <v>0</v>
      </c>
      <c r="BN174" s="580">
        <v>0</v>
      </c>
      <c r="BO174" s="580">
        <v>0</v>
      </c>
      <c r="BP174" s="580">
        <v>0</v>
      </c>
      <c r="BQ174" s="580">
        <v>0</v>
      </c>
      <c r="BR174" s="580">
        <v>0</v>
      </c>
      <c r="BS174" s="580">
        <v>0</v>
      </c>
      <c r="BT174" s="580">
        <v>0</v>
      </c>
      <c r="BU174" s="580">
        <v>0</v>
      </c>
      <c r="BV174" s="580">
        <v>0</v>
      </c>
      <c r="BW174" s="580">
        <v>0</v>
      </c>
      <c r="BX174" s="580">
        <v>0</v>
      </c>
      <c r="BY174" s="580">
        <v>0</v>
      </c>
    </row>
    <row r="175" spans="2:77" ht="14.45">
      <c r="B175" s="324" t="s">
        <v>86</v>
      </c>
      <c r="D175" s="320">
        <f t="shared" ref="D175:D208" si="87">SUM(E175:AN175)</f>
        <v>0</v>
      </c>
      <c r="E175" s="320">
        <f t="shared" si="52"/>
        <v>0</v>
      </c>
      <c r="F175" s="320">
        <f t="shared" si="53"/>
        <v>0</v>
      </c>
      <c r="G175" s="320">
        <f t="shared" si="54"/>
        <v>0</v>
      </c>
      <c r="H175" s="320">
        <f t="shared" si="55"/>
        <v>0</v>
      </c>
      <c r="I175" s="320">
        <f t="shared" si="56"/>
        <v>0</v>
      </c>
      <c r="J175" s="320">
        <f t="shared" si="57"/>
        <v>0</v>
      </c>
      <c r="K175" s="320">
        <f t="shared" si="58"/>
        <v>0</v>
      </c>
      <c r="L175" s="320">
        <f t="shared" si="59"/>
        <v>0</v>
      </c>
      <c r="M175" s="320">
        <f t="shared" si="60"/>
        <v>0</v>
      </c>
      <c r="N175" s="320">
        <f t="shared" si="61"/>
        <v>0</v>
      </c>
      <c r="O175" s="320">
        <f t="shared" si="62"/>
        <v>0</v>
      </c>
      <c r="P175" s="320">
        <f t="shared" si="63"/>
        <v>0</v>
      </c>
      <c r="Q175" s="320">
        <f t="shared" si="64"/>
        <v>0</v>
      </c>
      <c r="R175" s="320">
        <f t="shared" si="65"/>
        <v>0</v>
      </c>
      <c r="S175" s="320">
        <f t="shared" si="66"/>
        <v>0</v>
      </c>
      <c r="T175" s="320">
        <f t="shared" si="67"/>
        <v>0</v>
      </c>
      <c r="U175" s="320">
        <f t="shared" si="68"/>
        <v>0</v>
      </c>
      <c r="V175" s="320">
        <f t="shared" si="69"/>
        <v>0</v>
      </c>
      <c r="W175" s="320">
        <f t="shared" si="70"/>
        <v>0</v>
      </c>
      <c r="X175" s="320">
        <f t="shared" si="71"/>
        <v>0</v>
      </c>
      <c r="Y175" s="320">
        <f t="shared" si="72"/>
        <v>0</v>
      </c>
      <c r="Z175" s="320">
        <f t="shared" si="73"/>
        <v>0</v>
      </c>
      <c r="AA175" s="320">
        <f t="shared" si="74"/>
        <v>0</v>
      </c>
      <c r="AB175" s="320">
        <f t="shared" si="75"/>
        <v>0</v>
      </c>
      <c r="AC175" s="320">
        <f t="shared" si="76"/>
        <v>0</v>
      </c>
      <c r="AD175" s="320">
        <f t="shared" si="77"/>
        <v>0</v>
      </c>
      <c r="AE175" s="320">
        <f t="shared" si="78"/>
        <v>0</v>
      </c>
      <c r="AF175" s="320">
        <f t="shared" si="79"/>
        <v>0</v>
      </c>
      <c r="AG175" s="320">
        <f t="shared" si="80"/>
        <v>0</v>
      </c>
      <c r="AH175" s="320">
        <f t="shared" si="81"/>
        <v>0</v>
      </c>
      <c r="AI175" s="320">
        <f t="shared" si="82"/>
        <v>0</v>
      </c>
      <c r="AJ175" s="320">
        <f t="shared" si="83"/>
        <v>0</v>
      </c>
      <c r="AK175" s="320">
        <f t="shared" si="84"/>
        <v>0</v>
      </c>
      <c r="AL175" s="320">
        <f t="shared" si="85"/>
        <v>0</v>
      </c>
      <c r="AM175" s="320">
        <f t="shared" si="86"/>
        <v>0</v>
      </c>
      <c r="AN175" s="320"/>
      <c r="AP175" s="266" t="s">
        <v>86</v>
      </c>
      <c r="AQ175" s="580">
        <v>0</v>
      </c>
      <c r="AR175" s="580">
        <v>0</v>
      </c>
      <c r="AS175" s="580">
        <v>0</v>
      </c>
      <c r="AT175" s="580">
        <v>0</v>
      </c>
      <c r="AU175" s="580">
        <v>0</v>
      </c>
      <c r="AV175" s="580">
        <v>0</v>
      </c>
      <c r="AW175" s="580">
        <v>0</v>
      </c>
      <c r="AX175" s="580">
        <v>0</v>
      </c>
      <c r="AY175" s="580">
        <v>0</v>
      </c>
      <c r="AZ175" s="580">
        <v>0</v>
      </c>
      <c r="BA175" s="580">
        <v>0</v>
      </c>
      <c r="BB175" s="580">
        <v>0</v>
      </c>
      <c r="BC175" s="580">
        <v>0</v>
      </c>
      <c r="BD175" s="580">
        <v>0</v>
      </c>
      <c r="BE175" s="580">
        <v>0</v>
      </c>
      <c r="BF175" s="580">
        <v>0</v>
      </c>
      <c r="BG175" s="580">
        <v>0</v>
      </c>
      <c r="BH175" s="580">
        <v>0</v>
      </c>
      <c r="BI175" s="580">
        <v>0</v>
      </c>
      <c r="BJ175" s="580">
        <v>0</v>
      </c>
      <c r="BK175" s="580">
        <v>0</v>
      </c>
      <c r="BL175" s="580">
        <v>0</v>
      </c>
      <c r="BM175" s="580">
        <v>0</v>
      </c>
      <c r="BN175" s="580">
        <v>0</v>
      </c>
      <c r="BO175" s="580">
        <v>0</v>
      </c>
      <c r="BP175" s="580">
        <v>0</v>
      </c>
      <c r="BQ175" s="580">
        <v>0</v>
      </c>
      <c r="BR175" s="580">
        <v>0</v>
      </c>
      <c r="BS175" s="580">
        <v>0</v>
      </c>
      <c r="BT175" s="580">
        <v>0</v>
      </c>
      <c r="BU175" s="580">
        <v>0</v>
      </c>
      <c r="BV175" s="580">
        <v>0</v>
      </c>
      <c r="BW175" s="580">
        <v>0</v>
      </c>
      <c r="BX175" s="580">
        <v>0</v>
      </c>
      <c r="BY175" s="580">
        <v>0</v>
      </c>
    </row>
    <row r="176" spans="2:77" ht="14.45">
      <c r="B176" s="324" t="s">
        <v>92</v>
      </c>
      <c r="D176" s="320">
        <f t="shared" si="87"/>
        <v>0</v>
      </c>
      <c r="E176" s="320">
        <f t="shared" si="52"/>
        <v>0</v>
      </c>
      <c r="F176" s="320">
        <f t="shared" si="53"/>
        <v>0</v>
      </c>
      <c r="G176" s="320">
        <f t="shared" si="54"/>
        <v>0</v>
      </c>
      <c r="H176" s="320">
        <f t="shared" si="55"/>
        <v>0</v>
      </c>
      <c r="I176" s="320">
        <f t="shared" si="56"/>
        <v>0</v>
      </c>
      <c r="J176" s="320">
        <f t="shared" si="57"/>
        <v>0</v>
      </c>
      <c r="K176" s="320">
        <f t="shared" si="58"/>
        <v>0</v>
      </c>
      <c r="L176" s="320">
        <f t="shared" si="59"/>
        <v>0</v>
      </c>
      <c r="M176" s="320">
        <f t="shared" si="60"/>
        <v>0</v>
      </c>
      <c r="N176" s="320">
        <f t="shared" si="61"/>
        <v>0</v>
      </c>
      <c r="O176" s="320">
        <f t="shared" si="62"/>
        <v>0</v>
      </c>
      <c r="P176" s="320">
        <f t="shared" si="63"/>
        <v>0</v>
      </c>
      <c r="Q176" s="320">
        <f t="shared" si="64"/>
        <v>0</v>
      </c>
      <c r="R176" s="320">
        <f t="shared" si="65"/>
        <v>0</v>
      </c>
      <c r="S176" s="320">
        <f t="shared" si="66"/>
        <v>0</v>
      </c>
      <c r="T176" s="320">
        <f t="shared" si="67"/>
        <v>0</v>
      </c>
      <c r="U176" s="320">
        <f t="shared" si="68"/>
        <v>0</v>
      </c>
      <c r="V176" s="320">
        <f t="shared" si="69"/>
        <v>0</v>
      </c>
      <c r="W176" s="320">
        <f t="shared" si="70"/>
        <v>0</v>
      </c>
      <c r="X176" s="320">
        <f t="shared" si="71"/>
        <v>0</v>
      </c>
      <c r="Y176" s="320">
        <f t="shared" si="72"/>
        <v>0</v>
      </c>
      <c r="Z176" s="320">
        <f t="shared" si="73"/>
        <v>0</v>
      </c>
      <c r="AA176" s="320">
        <f t="shared" si="74"/>
        <v>0</v>
      </c>
      <c r="AB176" s="320">
        <f t="shared" si="75"/>
        <v>0</v>
      </c>
      <c r="AC176" s="320">
        <f t="shared" si="76"/>
        <v>0</v>
      </c>
      <c r="AD176" s="320">
        <f t="shared" si="77"/>
        <v>0</v>
      </c>
      <c r="AE176" s="320">
        <f t="shared" si="78"/>
        <v>0</v>
      </c>
      <c r="AF176" s="320">
        <f t="shared" si="79"/>
        <v>0</v>
      </c>
      <c r="AG176" s="320">
        <f t="shared" si="80"/>
        <v>0</v>
      </c>
      <c r="AH176" s="320">
        <f t="shared" si="81"/>
        <v>0</v>
      </c>
      <c r="AI176" s="320">
        <f t="shared" si="82"/>
        <v>0</v>
      </c>
      <c r="AJ176" s="320">
        <f t="shared" si="83"/>
        <v>0</v>
      </c>
      <c r="AK176" s="320">
        <f t="shared" si="84"/>
        <v>0</v>
      </c>
      <c r="AL176" s="320">
        <f t="shared" si="85"/>
        <v>0</v>
      </c>
      <c r="AM176" s="320">
        <f t="shared" si="86"/>
        <v>0</v>
      </c>
      <c r="AN176" s="320"/>
      <c r="AP176" s="266" t="s">
        <v>92</v>
      </c>
      <c r="AQ176" s="580">
        <v>0.33333333333300003</v>
      </c>
      <c r="AR176" s="580">
        <v>0</v>
      </c>
      <c r="AS176" s="580">
        <v>0</v>
      </c>
      <c r="AT176" s="580">
        <v>0</v>
      </c>
      <c r="AU176" s="580">
        <v>0</v>
      </c>
      <c r="AV176" s="580">
        <v>0</v>
      </c>
      <c r="AW176" s="580">
        <v>0</v>
      </c>
      <c r="AX176" s="580">
        <v>0</v>
      </c>
      <c r="AY176" s="580">
        <v>0</v>
      </c>
      <c r="AZ176" s="580">
        <v>0</v>
      </c>
      <c r="BA176" s="580">
        <v>0</v>
      </c>
      <c r="BB176" s="580">
        <v>0</v>
      </c>
      <c r="BC176" s="580">
        <v>0</v>
      </c>
      <c r="BD176" s="580">
        <v>0</v>
      </c>
      <c r="BE176" s="580">
        <v>0</v>
      </c>
      <c r="BF176" s="580">
        <v>0</v>
      </c>
      <c r="BG176" s="580">
        <v>0</v>
      </c>
      <c r="BH176" s="580">
        <v>0</v>
      </c>
      <c r="BI176" s="580">
        <v>0</v>
      </c>
      <c r="BJ176" s="580">
        <v>0</v>
      </c>
      <c r="BK176" s="580">
        <v>0</v>
      </c>
      <c r="BL176" s="580">
        <v>0</v>
      </c>
      <c r="BM176" s="580">
        <v>0</v>
      </c>
      <c r="BN176" s="580">
        <v>0</v>
      </c>
      <c r="BO176" s="580">
        <v>0</v>
      </c>
      <c r="BP176" s="580">
        <v>0</v>
      </c>
      <c r="BQ176" s="580">
        <v>0</v>
      </c>
      <c r="BR176" s="580">
        <v>0</v>
      </c>
      <c r="BS176" s="580">
        <v>0</v>
      </c>
      <c r="BT176" s="580">
        <v>0</v>
      </c>
      <c r="BU176" s="580">
        <v>0</v>
      </c>
      <c r="BV176" s="580">
        <v>0</v>
      </c>
      <c r="BW176" s="580">
        <v>0</v>
      </c>
      <c r="BX176" s="580">
        <v>0</v>
      </c>
      <c r="BY176" s="580">
        <v>0</v>
      </c>
    </row>
    <row r="177" spans="2:89" ht="14.45">
      <c r="B177" s="324" t="s">
        <v>93</v>
      </c>
      <c r="D177" s="320">
        <f t="shared" si="87"/>
        <v>1059.6635221024444</v>
      </c>
      <c r="E177" s="320">
        <f t="shared" si="52"/>
        <v>0</v>
      </c>
      <c r="F177" s="320">
        <f t="shared" si="53"/>
        <v>1059.6635221024444</v>
      </c>
      <c r="G177" s="320">
        <f t="shared" si="54"/>
        <v>0</v>
      </c>
      <c r="H177" s="320">
        <f t="shared" si="55"/>
        <v>0</v>
      </c>
      <c r="I177" s="320">
        <f t="shared" si="56"/>
        <v>0</v>
      </c>
      <c r="J177" s="320">
        <f t="shared" si="57"/>
        <v>0</v>
      </c>
      <c r="K177" s="320">
        <f t="shared" si="58"/>
        <v>0</v>
      </c>
      <c r="L177" s="320">
        <f t="shared" si="59"/>
        <v>0</v>
      </c>
      <c r="M177" s="320">
        <f t="shared" si="60"/>
        <v>0</v>
      </c>
      <c r="N177" s="320">
        <f t="shared" si="61"/>
        <v>0</v>
      </c>
      <c r="O177" s="320">
        <f t="shared" si="62"/>
        <v>0</v>
      </c>
      <c r="P177" s="320">
        <f t="shared" si="63"/>
        <v>0</v>
      </c>
      <c r="Q177" s="320">
        <f t="shared" si="64"/>
        <v>0</v>
      </c>
      <c r="R177" s="320">
        <f t="shared" si="65"/>
        <v>0</v>
      </c>
      <c r="S177" s="320">
        <f t="shared" si="66"/>
        <v>0</v>
      </c>
      <c r="T177" s="320">
        <f t="shared" si="67"/>
        <v>0</v>
      </c>
      <c r="U177" s="320">
        <f t="shared" si="68"/>
        <v>0</v>
      </c>
      <c r="V177" s="320">
        <f t="shared" si="69"/>
        <v>0</v>
      </c>
      <c r="W177" s="320">
        <f t="shared" si="70"/>
        <v>0</v>
      </c>
      <c r="X177" s="320">
        <f t="shared" si="71"/>
        <v>0</v>
      </c>
      <c r="Y177" s="320">
        <f t="shared" si="72"/>
        <v>0</v>
      </c>
      <c r="Z177" s="320">
        <f t="shared" si="73"/>
        <v>0</v>
      </c>
      <c r="AA177" s="320">
        <f t="shared" si="74"/>
        <v>0</v>
      </c>
      <c r="AB177" s="320">
        <f t="shared" si="75"/>
        <v>0</v>
      </c>
      <c r="AC177" s="320">
        <f t="shared" si="76"/>
        <v>0</v>
      </c>
      <c r="AD177" s="320">
        <f t="shared" si="77"/>
        <v>0</v>
      </c>
      <c r="AE177" s="320">
        <f t="shared" si="78"/>
        <v>0</v>
      </c>
      <c r="AF177" s="320">
        <f t="shared" si="79"/>
        <v>0</v>
      </c>
      <c r="AG177" s="320">
        <f t="shared" si="80"/>
        <v>0</v>
      </c>
      <c r="AH177" s="320">
        <f t="shared" si="81"/>
        <v>0</v>
      </c>
      <c r="AI177" s="320">
        <f t="shared" si="82"/>
        <v>0</v>
      </c>
      <c r="AJ177" s="320">
        <f t="shared" si="83"/>
        <v>0</v>
      </c>
      <c r="AK177" s="320">
        <f t="shared" si="84"/>
        <v>0</v>
      </c>
      <c r="AL177" s="320">
        <f t="shared" si="85"/>
        <v>0</v>
      </c>
      <c r="AM177" s="320">
        <f t="shared" si="86"/>
        <v>0</v>
      </c>
      <c r="AN177" s="320"/>
      <c r="AP177" s="266" t="s">
        <v>93</v>
      </c>
      <c r="AQ177" s="580">
        <v>0.33333333333300003</v>
      </c>
      <c r="AR177" s="580">
        <v>0.33333333333300003</v>
      </c>
      <c r="AS177" s="580">
        <v>0</v>
      </c>
      <c r="AT177" s="580">
        <v>0</v>
      </c>
      <c r="AU177" s="580">
        <v>0</v>
      </c>
      <c r="AV177" s="580">
        <v>0</v>
      </c>
      <c r="AW177" s="580">
        <v>0</v>
      </c>
      <c r="AX177" s="580">
        <v>0</v>
      </c>
      <c r="AY177" s="580">
        <v>0</v>
      </c>
      <c r="AZ177" s="580">
        <v>0</v>
      </c>
      <c r="BA177" s="580">
        <v>0</v>
      </c>
      <c r="BB177" s="580">
        <v>0</v>
      </c>
      <c r="BC177" s="580">
        <v>0</v>
      </c>
      <c r="BD177" s="580">
        <v>0</v>
      </c>
      <c r="BE177" s="580">
        <v>0</v>
      </c>
      <c r="BF177" s="580">
        <v>0</v>
      </c>
      <c r="BG177" s="580">
        <v>0</v>
      </c>
      <c r="BH177" s="580">
        <v>0</v>
      </c>
      <c r="BI177" s="580">
        <v>0</v>
      </c>
      <c r="BJ177" s="580">
        <v>0</v>
      </c>
      <c r="BK177" s="580">
        <v>0</v>
      </c>
      <c r="BL177" s="580">
        <v>0</v>
      </c>
      <c r="BM177" s="580">
        <v>0</v>
      </c>
      <c r="BN177" s="580">
        <v>0</v>
      </c>
      <c r="BO177" s="580">
        <v>0</v>
      </c>
      <c r="BP177" s="580">
        <v>0</v>
      </c>
      <c r="BQ177" s="580">
        <v>0</v>
      </c>
      <c r="BR177" s="580">
        <v>0</v>
      </c>
      <c r="BS177" s="580">
        <v>0</v>
      </c>
      <c r="BT177" s="580">
        <v>0</v>
      </c>
      <c r="BU177" s="580">
        <v>0</v>
      </c>
      <c r="BV177" s="580">
        <v>0</v>
      </c>
      <c r="BW177" s="580">
        <v>0</v>
      </c>
      <c r="BX177" s="580">
        <v>0</v>
      </c>
      <c r="BY177" s="580">
        <v>0</v>
      </c>
    </row>
    <row r="178" spans="2:89" ht="14.45">
      <c r="B178" s="324" t="s">
        <v>94</v>
      </c>
      <c r="D178" s="320">
        <f t="shared" si="87"/>
        <v>1059.6635221024444</v>
      </c>
      <c r="E178" s="320">
        <f t="shared" si="52"/>
        <v>0</v>
      </c>
      <c r="F178" s="320">
        <f t="shared" si="53"/>
        <v>1059.6635221024444</v>
      </c>
      <c r="G178" s="320">
        <f t="shared" si="54"/>
        <v>0</v>
      </c>
      <c r="H178" s="320">
        <f t="shared" si="55"/>
        <v>0</v>
      </c>
      <c r="I178" s="320">
        <f t="shared" si="56"/>
        <v>0</v>
      </c>
      <c r="J178" s="320">
        <f t="shared" si="57"/>
        <v>0</v>
      </c>
      <c r="K178" s="320">
        <f t="shared" si="58"/>
        <v>0</v>
      </c>
      <c r="L178" s="320">
        <f t="shared" si="59"/>
        <v>0</v>
      </c>
      <c r="M178" s="320">
        <f t="shared" si="60"/>
        <v>0</v>
      </c>
      <c r="N178" s="320">
        <f t="shared" si="61"/>
        <v>0</v>
      </c>
      <c r="O178" s="320">
        <f t="shared" si="62"/>
        <v>0</v>
      </c>
      <c r="P178" s="320">
        <f t="shared" si="63"/>
        <v>0</v>
      </c>
      <c r="Q178" s="320">
        <f t="shared" si="64"/>
        <v>0</v>
      </c>
      <c r="R178" s="320">
        <f t="shared" si="65"/>
        <v>0</v>
      </c>
      <c r="S178" s="320">
        <f t="shared" si="66"/>
        <v>0</v>
      </c>
      <c r="T178" s="320">
        <f t="shared" si="67"/>
        <v>0</v>
      </c>
      <c r="U178" s="320">
        <f t="shared" si="68"/>
        <v>0</v>
      </c>
      <c r="V178" s="320">
        <f t="shared" si="69"/>
        <v>0</v>
      </c>
      <c r="W178" s="320">
        <f t="shared" si="70"/>
        <v>0</v>
      </c>
      <c r="X178" s="320">
        <f t="shared" si="71"/>
        <v>0</v>
      </c>
      <c r="Y178" s="320">
        <f t="shared" si="72"/>
        <v>0</v>
      </c>
      <c r="Z178" s="320">
        <f t="shared" si="73"/>
        <v>0</v>
      </c>
      <c r="AA178" s="320">
        <f t="shared" si="74"/>
        <v>0</v>
      </c>
      <c r="AB178" s="320">
        <f t="shared" si="75"/>
        <v>0</v>
      </c>
      <c r="AC178" s="320">
        <f t="shared" si="76"/>
        <v>0</v>
      </c>
      <c r="AD178" s="320">
        <f t="shared" si="77"/>
        <v>0</v>
      </c>
      <c r="AE178" s="320">
        <f t="shared" si="78"/>
        <v>0</v>
      </c>
      <c r="AF178" s="320">
        <f t="shared" si="79"/>
        <v>0</v>
      </c>
      <c r="AG178" s="320">
        <f t="shared" si="80"/>
        <v>0</v>
      </c>
      <c r="AH178" s="320">
        <f t="shared" si="81"/>
        <v>0</v>
      </c>
      <c r="AI178" s="320">
        <f t="shared" si="82"/>
        <v>0</v>
      </c>
      <c r="AJ178" s="320">
        <f t="shared" si="83"/>
        <v>0</v>
      </c>
      <c r="AK178" s="320">
        <f t="shared" si="84"/>
        <v>0</v>
      </c>
      <c r="AL178" s="320">
        <f t="shared" si="85"/>
        <v>0</v>
      </c>
      <c r="AM178" s="320">
        <f t="shared" si="86"/>
        <v>0</v>
      </c>
      <c r="AN178" s="320"/>
      <c r="AP178" s="266" t="s">
        <v>94</v>
      </c>
      <c r="AQ178" s="580">
        <v>0.33333333333300003</v>
      </c>
      <c r="AR178" s="580">
        <v>0.33333333333300003</v>
      </c>
      <c r="AS178" s="580">
        <v>0.33333333333300003</v>
      </c>
      <c r="AT178" s="580">
        <v>0</v>
      </c>
      <c r="AU178" s="580">
        <v>0</v>
      </c>
      <c r="AV178" s="580">
        <v>0</v>
      </c>
      <c r="AW178" s="580">
        <v>0</v>
      </c>
      <c r="AX178" s="580">
        <v>0</v>
      </c>
      <c r="AY178" s="580">
        <v>0</v>
      </c>
      <c r="AZ178" s="580">
        <v>0</v>
      </c>
      <c r="BA178" s="580">
        <v>0</v>
      </c>
      <c r="BB178" s="580">
        <v>0</v>
      </c>
      <c r="BC178" s="580">
        <v>0</v>
      </c>
      <c r="BD178" s="580">
        <v>0</v>
      </c>
      <c r="BE178" s="580">
        <v>0</v>
      </c>
      <c r="BF178" s="580">
        <v>0</v>
      </c>
      <c r="BG178" s="580">
        <v>0</v>
      </c>
      <c r="BH178" s="580">
        <v>0</v>
      </c>
      <c r="BI178" s="580">
        <v>0</v>
      </c>
      <c r="BJ178" s="580">
        <v>0</v>
      </c>
      <c r="BK178" s="580">
        <v>0</v>
      </c>
      <c r="BL178" s="580">
        <v>0</v>
      </c>
      <c r="BM178" s="580">
        <v>0</v>
      </c>
      <c r="BN178" s="580">
        <v>0</v>
      </c>
      <c r="BO178" s="580">
        <v>0</v>
      </c>
      <c r="BP178" s="580">
        <v>0</v>
      </c>
      <c r="BQ178" s="580">
        <v>0</v>
      </c>
      <c r="BR178" s="580">
        <v>0</v>
      </c>
      <c r="BS178" s="580">
        <v>0</v>
      </c>
      <c r="BT178" s="580">
        <v>0</v>
      </c>
      <c r="BU178" s="580">
        <v>0</v>
      </c>
      <c r="BV178" s="580">
        <v>0</v>
      </c>
      <c r="BW178" s="580">
        <v>0</v>
      </c>
      <c r="BX178" s="580">
        <v>0</v>
      </c>
      <c r="BY178" s="580">
        <v>0</v>
      </c>
    </row>
    <row r="179" spans="2:89" ht="14.45">
      <c r="B179" s="324" t="s">
        <v>95</v>
      </c>
      <c r="D179" s="320">
        <f t="shared" si="87"/>
        <v>1059.6635221024444</v>
      </c>
      <c r="E179" s="320">
        <f t="shared" si="52"/>
        <v>0</v>
      </c>
      <c r="F179" s="320">
        <f t="shared" si="53"/>
        <v>1059.6635221024444</v>
      </c>
      <c r="G179" s="320">
        <f t="shared" si="54"/>
        <v>0</v>
      </c>
      <c r="H179" s="320">
        <f t="shared" si="55"/>
        <v>0</v>
      </c>
      <c r="I179" s="320">
        <f t="shared" si="56"/>
        <v>0</v>
      </c>
      <c r="J179" s="320">
        <f t="shared" si="57"/>
        <v>0</v>
      </c>
      <c r="K179" s="320">
        <f t="shared" si="58"/>
        <v>0</v>
      </c>
      <c r="L179" s="320">
        <f t="shared" si="59"/>
        <v>0</v>
      </c>
      <c r="M179" s="320">
        <f t="shared" si="60"/>
        <v>0</v>
      </c>
      <c r="N179" s="320">
        <f t="shared" si="61"/>
        <v>0</v>
      </c>
      <c r="O179" s="320">
        <f t="shared" si="62"/>
        <v>0</v>
      </c>
      <c r="P179" s="320">
        <f t="shared" si="63"/>
        <v>0</v>
      </c>
      <c r="Q179" s="320">
        <f t="shared" si="64"/>
        <v>0</v>
      </c>
      <c r="R179" s="320">
        <f t="shared" si="65"/>
        <v>0</v>
      </c>
      <c r="S179" s="320">
        <f t="shared" si="66"/>
        <v>0</v>
      </c>
      <c r="T179" s="320">
        <f t="shared" si="67"/>
        <v>0</v>
      </c>
      <c r="U179" s="320">
        <f t="shared" si="68"/>
        <v>0</v>
      </c>
      <c r="V179" s="320">
        <f t="shared" si="69"/>
        <v>0</v>
      </c>
      <c r="W179" s="320">
        <f t="shared" si="70"/>
        <v>0</v>
      </c>
      <c r="X179" s="320">
        <f t="shared" si="71"/>
        <v>0</v>
      </c>
      <c r="Y179" s="320">
        <f t="shared" si="72"/>
        <v>0</v>
      </c>
      <c r="Z179" s="320">
        <f t="shared" si="73"/>
        <v>0</v>
      </c>
      <c r="AA179" s="320">
        <f t="shared" si="74"/>
        <v>0</v>
      </c>
      <c r="AB179" s="320">
        <f t="shared" si="75"/>
        <v>0</v>
      </c>
      <c r="AC179" s="320">
        <f t="shared" si="76"/>
        <v>0</v>
      </c>
      <c r="AD179" s="320">
        <f t="shared" si="77"/>
        <v>0</v>
      </c>
      <c r="AE179" s="320">
        <f t="shared" si="78"/>
        <v>0</v>
      </c>
      <c r="AF179" s="320">
        <f t="shared" si="79"/>
        <v>0</v>
      </c>
      <c r="AG179" s="320">
        <f t="shared" si="80"/>
        <v>0</v>
      </c>
      <c r="AH179" s="320">
        <f t="shared" si="81"/>
        <v>0</v>
      </c>
      <c r="AI179" s="320">
        <f t="shared" si="82"/>
        <v>0</v>
      </c>
      <c r="AJ179" s="320">
        <f t="shared" si="83"/>
        <v>0</v>
      </c>
      <c r="AK179" s="320">
        <f t="shared" si="84"/>
        <v>0</v>
      </c>
      <c r="AL179" s="320">
        <f t="shared" si="85"/>
        <v>0</v>
      </c>
      <c r="AM179" s="320">
        <f t="shared" si="86"/>
        <v>0</v>
      </c>
      <c r="AN179" s="320"/>
      <c r="AP179" s="266" t="s">
        <v>95</v>
      </c>
      <c r="AQ179" s="580">
        <v>0</v>
      </c>
      <c r="AR179" s="580">
        <v>0.33333333333300003</v>
      </c>
      <c r="AS179" s="580">
        <v>0.33333333333300003</v>
      </c>
      <c r="AT179" s="580">
        <v>0.33333333333300003</v>
      </c>
      <c r="AU179" s="580">
        <v>0</v>
      </c>
      <c r="AV179" s="580">
        <v>0</v>
      </c>
      <c r="AW179" s="580">
        <v>0</v>
      </c>
      <c r="AX179" s="580">
        <v>0</v>
      </c>
      <c r="AY179" s="580">
        <v>0</v>
      </c>
      <c r="AZ179" s="580">
        <v>0</v>
      </c>
      <c r="BA179" s="580">
        <v>0</v>
      </c>
      <c r="BB179" s="580">
        <v>0</v>
      </c>
      <c r="BC179" s="580">
        <v>0</v>
      </c>
      <c r="BD179" s="580">
        <v>0</v>
      </c>
      <c r="BE179" s="580">
        <v>0</v>
      </c>
      <c r="BF179" s="580">
        <v>0</v>
      </c>
      <c r="BG179" s="580">
        <v>0</v>
      </c>
      <c r="BH179" s="580">
        <v>0</v>
      </c>
      <c r="BI179" s="580">
        <v>0</v>
      </c>
      <c r="BJ179" s="580">
        <v>0</v>
      </c>
      <c r="BK179" s="580">
        <v>0</v>
      </c>
      <c r="BL179" s="580">
        <v>0</v>
      </c>
      <c r="BM179" s="580">
        <v>0</v>
      </c>
      <c r="BN179" s="580">
        <v>0</v>
      </c>
      <c r="BO179" s="580">
        <v>0</v>
      </c>
      <c r="BP179" s="580">
        <v>0</v>
      </c>
      <c r="BQ179" s="580">
        <v>0</v>
      </c>
      <c r="BR179" s="580">
        <v>0</v>
      </c>
      <c r="BS179" s="580">
        <v>0</v>
      </c>
      <c r="BT179" s="580">
        <v>0</v>
      </c>
      <c r="BU179" s="580">
        <v>0</v>
      </c>
      <c r="BV179" s="580">
        <v>0</v>
      </c>
      <c r="BW179" s="580">
        <v>0</v>
      </c>
      <c r="BX179" s="580">
        <v>0</v>
      </c>
      <c r="BY179" s="580">
        <v>0</v>
      </c>
    </row>
    <row r="180" spans="2:89" ht="14.45">
      <c r="B180" s="324" t="s">
        <v>96</v>
      </c>
      <c r="D180" s="320">
        <f t="shared" si="87"/>
        <v>0</v>
      </c>
      <c r="E180" s="320">
        <f t="shared" si="52"/>
        <v>0</v>
      </c>
      <c r="F180" s="320">
        <f t="shared" si="53"/>
        <v>0</v>
      </c>
      <c r="G180" s="320">
        <f t="shared" si="54"/>
        <v>0</v>
      </c>
      <c r="H180" s="320">
        <f t="shared" si="55"/>
        <v>0</v>
      </c>
      <c r="I180" s="320">
        <f t="shared" si="56"/>
        <v>0</v>
      </c>
      <c r="J180" s="320">
        <f t="shared" si="57"/>
        <v>0</v>
      </c>
      <c r="K180" s="320">
        <f t="shared" si="58"/>
        <v>0</v>
      </c>
      <c r="L180" s="320">
        <f t="shared" si="59"/>
        <v>0</v>
      </c>
      <c r="M180" s="320">
        <f t="shared" si="60"/>
        <v>0</v>
      </c>
      <c r="N180" s="320">
        <f t="shared" si="61"/>
        <v>0</v>
      </c>
      <c r="O180" s="320">
        <f t="shared" si="62"/>
        <v>0</v>
      </c>
      <c r="P180" s="320">
        <f t="shared" si="63"/>
        <v>0</v>
      </c>
      <c r="Q180" s="320">
        <f t="shared" si="64"/>
        <v>0</v>
      </c>
      <c r="R180" s="320">
        <f t="shared" si="65"/>
        <v>0</v>
      </c>
      <c r="S180" s="320">
        <f t="shared" si="66"/>
        <v>0</v>
      </c>
      <c r="T180" s="320">
        <f t="shared" si="67"/>
        <v>0</v>
      </c>
      <c r="U180" s="320">
        <f t="shared" si="68"/>
        <v>0</v>
      </c>
      <c r="V180" s="320">
        <f t="shared" si="69"/>
        <v>0</v>
      </c>
      <c r="W180" s="320">
        <f t="shared" si="70"/>
        <v>0</v>
      </c>
      <c r="X180" s="320">
        <f t="shared" si="71"/>
        <v>0</v>
      </c>
      <c r="Y180" s="320">
        <f t="shared" si="72"/>
        <v>0</v>
      </c>
      <c r="Z180" s="320">
        <f t="shared" si="73"/>
        <v>0</v>
      </c>
      <c r="AA180" s="320">
        <f t="shared" si="74"/>
        <v>0</v>
      </c>
      <c r="AB180" s="320">
        <f t="shared" si="75"/>
        <v>0</v>
      </c>
      <c r="AC180" s="320">
        <f t="shared" si="76"/>
        <v>0</v>
      </c>
      <c r="AD180" s="320">
        <f t="shared" si="77"/>
        <v>0</v>
      </c>
      <c r="AE180" s="320">
        <f t="shared" si="78"/>
        <v>0</v>
      </c>
      <c r="AF180" s="320">
        <f t="shared" si="79"/>
        <v>0</v>
      </c>
      <c r="AG180" s="320">
        <f t="shared" si="80"/>
        <v>0</v>
      </c>
      <c r="AH180" s="320">
        <f t="shared" si="81"/>
        <v>0</v>
      </c>
      <c r="AI180" s="320">
        <f t="shared" si="82"/>
        <v>0</v>
      </c>
      <c r="AJ180" s="320">
        <f t="shared" si="83"/>
        <v>0</v>
      </c>
      <c r="AK180" s="320">
        <f t="shared" si="84"/>
        <v>0</v>
      </c>
      <c r="AL180" s="320">
        <f t="shared" si="85"/>
        <v>0</v>
      </c>
      <c r="AM180" s="320">
        <f t="shared" si="86"/>
        <v>0</v>
      </c>
      <c r="AN180" s="320"/>
      <c r="AP180" s="266" t="s">
        <v>96</v>
      </c>
      <c r="AQ180" s="580">
        <v>0</v>
      </c>
      <c r="AR180" s="580">
        <v>0</v>
      </c>
      <c r="AS180" s="580">
        <v>0.33333333333300003</v>
      </c>
      <c r="AT180" s="580">
        <v>0.33333333333300003</v>
      </c>
      <c r="AU180" s="580">
        <v>0.33333333333300003</v>
      </c>
      <c r="AV180" s="580">
        <v>0</v>
      </c>
      <c r="AW180" s="580">
        <v>0</v>
      </c>
      <c r="AX180" s="580">
        <v>0</v>
      </c>
      <c r="AY180" s="580">
        <v>0</v>
      </c>
      <c r="AZ180" s="580">
        <v>0</v>
      </c>
      <c r="BA180" s="580">
        <v>0</v>
      </c>
      <c r="BB180" s="580">
        <v>0</v>
      </c>
      <c r="BC180" s="580">
        <v>0</v>
      </c>
      <c r="BD180" s="580">
        <v>0</v>
      </c>
      <c r="BE180" s="580">
        <v>0</v>
      </c>
      <c r="BF180" s="580">
        <v>0</v>
      </c>
      <c r="BG180" s="580">
        <v>0</v>
      </c>
      <c r="BH180" s="580">
        <v>0</v>
      </c>
      <c r="BI180" s="580">
        <v>0</v>
      </c>
      <c r="BJ180" s="580">
        <v>0</v>
      </c>
      <c r="BK180" s="580">
        <v>0</v>
      </c>
      <c r="BL180" s="580">
        <v>0</v>
      </c>
      <c r="BM180" s="580">
        <v>0</v>
      </c>
      <c r="BN180" s="580">
        <v>0</v>
      </c>
      <c r="BO180" s="580">
        <v>0</v>
      </c>
      <c r="BP180" s="580">
        <v>0</v>
      </c>
      <c r="BQ180" s="580">
        <v>0</v>
      </c>
      <c r="BR180" s="580">
        <v>0</v>
      </c>
      <c r="BS180" s="580">
        <v>0</v>
      </c>
      <c r="BT180" s="580">
        <v>0</v>
      </c>
      <c r="BU180" s="580">
        <v>0</v>
      </c>
      <c r="BV180" s="580">
        <v>0</v>
      </c>
      <c r="BW180" s="580">
        <v>0</v>
      </c>
      <c r="BX180" s="580">
        <v>0</v>
      </c>
      <c r="BY180" s="580">
        <v>0</v>
      </c>
    </row>
    <row r="181" spans="2:89" ht="14.45">
      <c r="B181" s="324" t="s">
        <v>97</v>
      </c>
      <c r="D181" s="320">
        <f t="shared" si="87"/>
        <v>0</v>
      </c>
      <c r="E181" s="320">
        <f t="shared" si="52"/>
        <v>0</v>
      </c>
      <c r="F181" s="320">
        <f t="shared" si="53"/>
        <v>0</v>
      </c>
      <c r="G181" s="320">
        <f t="shared" si="54"/>
        <v>0</v>
      </c>
      <c r="H181" s="320">
        <f t="shared" si="55"/>
        <v>0</v>
      </c>
      <c r="I181" s="320">
        <f t="shared" si="56"/>
        <v>0</v>
      </c>
      <c r="J181" s="320">
        <f t="shared" si="57"/>
        <v>0</v>
      </c>
      <c r="K181" s="320">
        <f t="shared" si="58"/>
        <v>0</v>
      </c>
      <c r="L181" s="320">
        <f t="shared" si="59"/>
        <v>0</v>
      </c>
      <c r="M181" s="320">
        <f t="shared" si="60"/>
        <v>0</v>
      </c>
      <c r="N181" s="320">
        <f t="shared" si="61"/>
        <v>0</v>
      </c>
      <c r="O181" s="320">
        <f t="shared" si="62"/>
        <v>0</v>
      </c>
      <c r="P181" s="320">
        <f t="shared" si="63"/>
        <v>0</v>
      </c>
      <c r="Q181" s="320">
        <f t="shared" si="64"/>
        <v>0</v>
      </c>
      <c r="R181" s="320">
        <f t="shared" si="65"/>
        <v>0</v>
      </c>
      <c r="S181" s="320">
        <f t="shared" si="66"/>
        <v>0</v>
      </c>
      <c r="T181" s="320">
        <f t="shared" si="67"/>
        <v>0</v>
      </c>
      <c r="U181" s="320">
        <f t="shared" si="68"/>
        <v>0</v>
      </c>
      <c r="V181" s="320">
        <f t="shared" si="69"/>
        <v>0</v>
      </c>
      <c r="W181" s="320">
        <f t="shared" si="70"/>
        <v>0</v>
      </c>
      <c r="X181" s="320">
        <f t="shared" si="71"/>
        <v>0</v>
      </c>
      <c r="Y181" s="320">
        <f t="shared" si="72"/>
        <v>0</v>
      </c>
      <c r="Z181" s="320">
        <f t="shared" si="73"/>
        <v>0</v>
      </c>
      <c r="AA181" s="320">
        <f t="shared" si="74"/>
        <v>0</v>
      </c>
      <c r="AB181" s="320">
        <f t="shared" si="75"/>
        <v>0</v>
      </c>
      <c r="AC181" s="320">
        <f t="shared" si="76"/>
        <v>0</v>
      </c>
      <c r="AD181" s="320">
        <f t="shared" si="77"/>
        <v>0</v>
      </c>
      <c r="AE181" s="320">
        <f t="shared" si="78"/>
        <v>0</v>
      </c>
      <c r="AF181" s="320">
        <f t="shared" si="79"/>
        <v>0</v>
      </c>
      <c r="AG181" s="320">
        <f t="shared" si="80"/>
        <v>0</v>
      </c>
      <c r="AH181" s="320">
        <f t="shared" si="81"/>
        <v>0</v>
      </c>
      <c r="AI181" s="320">
        <f t="shared" si="82"/>
        <v>0</v>
      </c>
      <c r="AJ181" s="320">
        <f t="shared" si="83"/>
        <v>0</v>
      </c>
      <c r="AK181" s="320">
        <f t="shared" si="84"/>
        <v>0</v>
      </c>
      <c r="AL181" s="320">
        <f t="shared" si="85"/>
        <v>0</v>
      </c>
      <c r="AM181" s="320">
        <f t="shared" si="86"/>
        <v>0</v>
      </c>
      <c r="AN181" s="320"/>
      <c r="AP181" s="266" t="s">
        <v>97</v>
      </c>
      <c r="AQ181" s="580">
        <v>0</v>
      </c>
      <c r="AR181" s="580">
        <v>0</v>
      </c>
      <c r="AS181" s="580">
        <v>0</v>
      </c>
      <c r="AT181" s="580">
        <v>0.33333333333300003</v>
      </c>
      <c r="AU181" s="580">
        <v>0.33333333333300003</v>
      </c>
      <c r="AV181" s="580">
        <v>0.33333333333300003</v>
      </c>
      <c r="AW181" s="580">
        <v>0</v>
      </c>
      <c r="AX181" s="580">
        <v>0</v>
      </c>
      <c r="AY181" s="580">
        <v>0</v>
      </c>
      <c r="AZ181" s="580">
        <v>0</v>
      </c>
      <c r="BA181" s="580">
        <v>0</v>
      </c>
      <c r="BB181" s="580">
        <v>0</v>
      </c>
      <c r="BC181" s="580">
        <v>0</v>
      </c>
      <c r="BD181" s="580">
        <v>0</v>
      </c>
      <c r="BE181" s="580">
        <v>0</v>
      </c>
      <c r="BF181" s="580">
        <v>0</v>
      </c>
      <c r="BG181" s="580">
        <v>0</v>
      </c>
      <c r="BH181" s="580">
        <v>0</v>
      </c>
      <c r="BI181" s="580">
        <v>0</v>
      </c>
      <c r="BJ181" s="580">
        <v>0</v>
      </c>
      <c r="BK181" s="580">
        <v>0</v>
      </c>
      <c r="BL181" s="580">
        <v>0</v>
      </c>
      <c r="BM181" s="580">
        <v>0</v>
      </c>
      <c r="BN181" s="580">
        <v>0</v>
      </c>
      <c r="BO181" s="580">
        <v>0</v>
      </c>
      <c r="BP181" s="580">
        <v>0</v>
      </c>
      <c r="BQ181" s="580">
        <v>0</v>
      </c>
      <c r="BR181" s="580">
        <v>0</v>
      </c>
      <c r="BS181" s="580">
        <v>0</v>
      </c>
      <c r="BT181" s="580">
        <v>0</v>
      </c>
      <c r="BU181" s="580">
        <v>0</v>
      </c>
      <c r="BV181" s="580">
        <v>0</v>
      </c>
      <c r="BW181" s="580">
        <v>0</v>
      </c>
      <c r="BX181" s="580">
        <v>0</v>
      </c>
      <c r="BY181" s="580">
        <v>0</v>
      </c>
    </row>
    <row r="182" spans="2:89" ht="14.45">
      <c r="B182" s="324" t="s">
        <v>98</v>
      </c>
      <c r="D182" s="320">
        <f t="shared" si="87"/>
        <v>0</v>
      </c>
      <c r="E182" s="320">
        <f t="shared" si="52"/>
        <v>0</v>
      </c>
      <c r="F182" s="320">
        <f t="shared" si="53"/>
        <v>0</v>
      </c>
      <c r="G182" s="320">
        <f t="shared" si="54"/>
        <v>0</v>
      </c>
      <c r="H182" s="320">
        <f t="shared" si="55"/>
        <v>0</v>
      </c>
      <c r="I182" s="320">
        <f t="shared" si="56"/>
        <v>0</v>
      </c>
      <c r="J182" s="320">
        <f t="shared" si="57"/>
        <v>0</v>
      </c>
      <c r="K182" s="320">
        <f t="shared" si="58"/>
        <v>0</v>
      </c>
      <c r="L182" s="320">
        <f t="shared" si="59"/>
        <v>0</v>
      </c>
      <c r="M182" s="320">
        <f t="shared" si="60"/>
        <v>0</v>
      </c>
      <c r="N182" s="320">
        <f t="shared" si="61"/>
        <v>0</v>
      </c>
      <c r="O182" s="320">
        <f t="shared" si="62"/>
        <v>0</v>
      </c>
      <c r="P182" s="320">
        <f t="shared" si="63"/>
        <v>0</v>
      </c>
      <c r="Q182" s="320">
        <f t="shared" si="64"/>
        <v>0</v>
      </c>
      <c r="R182" s="320">
        <f t="shared" si="65"/>
        <v>0</v>
      </c>
      <c r="S182" s="320">
        <f t="shared" si="66"/>
        <v>0</v>
      </c>
      <c r="T182" s="320">
        <f t="shared" si="67"/>
        <v>0</v>
      </c>
      <c r="U182" s="320">
        <f t="shared" si="68"/>
        <v>0</v>
      </c>
      <c r="V182" s="320">
        <f t="shared" si="69"/>
        <v>0</v>
      </c>
      <c r="W182" s="320">
        <f t="shared" si="70"/>
        <v>0</v>
      </c>
      <c r="X182" s="320">
        <f t="shared" si="71"/>
        <v>0</v>
      </c>
      <c r="Y182" s="320">
        <f t="shared" si="72"/>
        <v>0</v>
      </c>
      <c r="Z182" s="320">
        <f t="shared" si="73"/>
        <v>0</v>
      </c>
      <c r="AA182" s="320">
        <f t="shared" si="74"/>
        <v>0</v>
      </c>
      <c r="AB182" s="320">
        <f t="shared" si="75"/>
        <v>0</v>
      </c>
      <c r="AC182" s="320">
        <f t="shared" si="76"/>
        <v>0</v>
      </c>
      <c r="AD182" s="320">
        <f t="shared" si="77"/>
        <v>0</v>
      </c>
      <c r="AE182" s="320">
        <f t="shared" si="78"/>
        <v>0</v>
      </c>
      <c r="AF182" s="320">
        <f t="shared" si="79"/>
        <v>0</v>
      </c>
      <c r="AG182" s="320">
        <f t="shared" si="80"/>
        <v>0</v>
      </c>
      <c r="AH182" s="320">
        <f t="shared" si="81"/>
        <v>0</v>
      </c>
      <c r="AI182" s="320">
        <f t="shared" si="82"/>
        <v>0</v>
      </c>
      <c r="AJ182" s="320">
        <f t="shared" si="83"/>
        <v>0</v>
      </c>
      <c r="AK182" s="320">
        <f t="shared" si="84"/>
        <v>0</v>
      </c>
      <c r="AL182" s="320">
        <f t="shared" si="85"/>
        <v>0</v>
      </c>
      <c r="AM182" s="320">
        <f t="shared" si="86"/>
        <v>0</v>
      </c>
      <c r="AN182" s="320"/>
      <c r="AP182" s="266" t="s">
        <v>98</v>
      </c>
      <c r="AQ182" s="580">
        <v>0</v>
      </c>
      <c r="AR182" s="580">
        <v>0</v>
      </c>
      <c r="AS182" s="580">
        <v>0</v>
      </c>
      <c r="AT182" s="580">
        <v>0</v>
      </c>
      <c r="AU182" s="580">
        <v>0.33333333333300003</v>
      </c>
      <c r="AV182" s="580">
        <v>0.33333333333300003</v>
      </c>
      <c r="AW182" s="580">
        <v>0.33333333333300003</v>
      </c>
      <c r="AX182" s="580">
        <v>0</v>
      </c>
      <c r="AY182" s="580">
        <v>0</v>
      </c>
      <c r="AZ182" s="580">
        <v>0</v>
      </c>
      <c r="BA182" s="580">
        <v>0</v>
      </c>
      <c r="BB182" s="580">
        <v>0</v>
      </c>
      <c r="BC182" s="580">
        <v>0</v>
      </c>
      <c r="BD182" s="580">
        <v>0</v>
      </c>
      <c r="BE182" s="580">
        <v>0</v>
      </c>
      <c r="BF182" s="580">
        <v>0</v>
      </c>
      <c r="BG182" s="580">
        <v>0</v>
      </c>
      <c r="BH182" s="580">
        <v>0</v>
      </c>
      <c r="BI182" s="580">
        <v>0</v>
      </c>
      <c r="BJ182" s="580">
        <v>0</v>
      </c>
      <c r="BK182" s="580">
        <v>0</v>
      </c>
      <c r="BL182" s="580">
        <v>0</v>
      </c>
      <c r="BM182" s="580">
        <v>0</v>
      </c>
      <c r="BN182" s="580">
        <v>0</v>
      </c>
      <c r="BO182" s="580">
        <v>0</v>
      </c>
      <c r="BP182" s="580">
        <v>0</v>
      </c>
      <c r="BQ182" s="580">
        <v>0</v>
      </c>
      <c r="BR182" s="580">
        <v>0</v>
      </c>
      <c r="BS182" s="580">
        <v>0</v>
      </c>
      <c r="BT182" s="580">
        <v>0</v>
      </c>
      <c r="BU182" s="580">
        <v>0</v>
      </c>
      <c r="BV182" s="580">
        <v>0</v>
      </c>
      <c r="BW182" s="580">
        <v>0</v>
      </c>
      <c r="BX182" s="580">
        <v>0</v>
      </c>
      <c r="BY182" s="580">
        <v>0</v>
      </c>
    </row>
    <row r="183" spans="2:89" ht="14.45">
      <c r="B183" s="324" t="s">
        <v>99</v>
      </c>
      <c r="D183" s="320">
        <f t="shared" si="87"/>
        <v>0</v>
      </c>
      <c r="E183" s="320">
        <f t="shared" si="52"/>
        <v>0</v>
      </c>
      <c r="F183" s="320">
        <f t="shared" si="53"/>
        <v>0</v>
      </c>
      <c r="G183" s="320">
        <f t="shared" si="54"/>
        <v>0</v>
      </c>
      <c r="H183" s="320">
        <f t="shared" si="55"/>
        <v>0</v>
      </c>
      <c r="I183" s="320">
        <f t="shared" si="56"/>
        <v>0</v>
      </c>
      <c r="J183" s="320">
        <f t="shared" si="57"/>
        <v>0</v>
      </c>
      <c r="K183" s="320">
        <f t="shared" si="58"/>
        <v>0</v>
      </c>
      <c r="L183" s="320">
        <f t="shared" si="59"/>
        <v>0</v>
      </c>
      <c r="M183" s="320">
        <f t="shared" si="60"/>
        <v>0</v>
      </c>
      <c r="N183" s="320">
        <f t="shared" si="61"/>
        <v>0</v>
      </c>
      <c r="O183" s="320">
        <f t="shared" si="62"/>
        <v>0</v>
      </c>
      <c r="P183" s="320">
        <f t="shared" si="63"/>
        <v>0</v>
      </c>
      <c r="Q183" s="320">
        <f t="shared" si="64"/>
        <v>0</v>
      </c>
      <c r="R183" s="320">
        <f t="shared" si="65"/>
        <v>0</v>
      </c>
      <c r="S183" s="320">
        <f t="shared" si="66"/>
        <v>0</v>
      </c>
      <c r="T183" s="320">
        <f t="shared" si="67"/>
        <v>0</v>
      </c>
      <c r="U183" s="320">
        <f t="shared" si="68"/>
        <v>0</v>
      </c>
      <c r="V183" s="320">
        <f t="shared" si="69"/>
        <v>0</v>
      </c>
      <c r="W183" s="320">
        <f t="shared" si="70"/>
        <v>0</v>
      </c>
      <c r="X183" s="320">
        <f t="shared" si="71"/>
        <v>0</v>
      </c>
      <c r="Y183" s="320">
        <f t="shared" si="72"/>
        <v>0</v>
      </c>
      <c r="Z183" s="320">
        <f t="shared" si="73"/>
        <v>0</v>
      </c>
      <c r="AA183" s="320">
        <f t="shared" si="74"/>
        <v>0</v>
      </c>
      <c r="AB183" s="320">
        <f t="shared" si="75"/>
        <v>0</v>
      </c>
      <c r="AC183" s="320">
        <f t="shared" si="76"/>
        <v>0</v>
      </c>
      <c r="AD183" s="320">
        <f t="shared" si="77"/>
        <v>0</v>
      </c>
      <c r="AE183" s="320">
        <f t="shared" si="78"/>
        <v>0</v>
      </c>
      <c r="AF183" s="320">
        <f t="shared" si="79"/>
        <v>0</v>
      </c>
      <c r="AG183" s="320">
        <f t="shared" si="80"/>
        <v>0</v>
      </c>
      <c r="AH183" s="320">
        <f t="shared" si="81"/>
        <v>0</v>
      </c>
      <c r="AI183" s="320">
        <f t="shared" si="82"/>
        <v>0</v>
      </c>
      <c r="AJ183" s="320">
        <f t="shared" si="83"/>
        <v>0</v>
      </c>
      <c r="AK183" s="320">
        <f t="shared" si="84"/>
        <v>0</v>
      </c>
      <c r="AL183" s="320">
        <f t="shared" si="85"/>
        <v>0</v>
      </c>
      <c r="AM183" s="320">
        <f t="shared" si="86"/>
        <v>0</v>
      </c>
      <c r="AN183" s="320"/>
      <c r="AP183" s="266" t="s">
        <v>99</v>
      </c>
      <c r="AQ183" s="580">
        <v>0</v>
      </c>
      <c r="AR183" s="580">
        <v>0</v>
      </c>
      <c r="AS183" s="580">
        <v>0</v>
      </c>
      <c r="AT183" s="580">
        <v>0</v>
      </c>
      <c r="AU183" s="580">
        <v>0</v>
      </c>
      <c r="AV183" s="580">
        <v>0.33333333333300003</v>
      </c>
      <c r="AW183" s="580">
        <v>0.33333333333300003</v>
      </c>
      <c r="AX183" s="580">
        <v>0.33333333333300003</v>
      </c>
      <c r="AY183" s="580">
        <v>0</v>
      </c>
      <c r="AZ183" s="580">
        <v>0</v>
      </c>
      <c r="BA183" s="580">
        <v>0</v>
      </c>
      <c r="BB183" s="580">
        <v>0</v>
      </c>
      <c r="BC183" s="580">
        <v>0</v>
      </c>
      <c r="BD183" s="580">
        <v>0</v>
      </c>
      <c r="BE183" s="580">
        <v>0</v>
      </c>
      <c r="BF183" s="580">
        <v>0</v>
      </c>
      <c r="BG183" s="580">
        <v>0</v>
      </c>
      <c r="BH183" s="580">
        <v>0</v>
      </c>
      <c r="BI183" s="580">
        <v>0</v>
      </c>
      <c r="BJ183" s="580">
        <v>0</v>
      </c>
      <c r="BK183" s="580">
        <v>0</v>
      </c>
      <c r="BL183" s="580">
        <v>0</v>
      </c>
      <c r="BM183" s="580">
        <v>0</v>
      </c>
      <c r="BN183" s="580">
        <v>0</v>
      </c>
      <c r="BO183" s="580">
        <v>0</v>
      </c>
      <c r="BP183" s="580">
        <v>0</v>
      </c>
      <c r="BQ183" s="580">
        <v>0</v>
      </c>
      <c r="BR183" s="580">
        <v>0</v>
      </c>
      <c r="BS183" s="580">
        <v>0</v>
      </c>
      <c r="BT183" s="580">
        <v>0</v>
      </c>
      <c r="BU183" s="580">
        <v>0</v>
      </c>
      <c r="BV183" s="580">
        <v>0</v>
      </c>
      <c r="BW183" s="580">
        <v>0</v>
      </c>
      <c r="BX183" s="580">
        <v>0</v>
      </c>
      <c r="BY183" s="580">
        <v>0</v>
      </c>
    </row>
    <row r="184" spans="2:89" ht="14.45">
      <c r="B184" s="324" t="s">
        <v>100</v>
      </c>
      <c r="D184" s="320">
        <f t="shared" si="87"/>
        <v>0</v>
      </c>
      <c r="E184" s="320">
        <f t="shared" si="52"/>
        <v>0</v>
      </c>
      <c r="F184" s="320">
        <f t="shared" si="53"/>
        <v>0</v>
      </c>
      <c r="G184" s="320">
        <f t="shared" si="54"/>
        <v>0</v>
      </c>
      <c r="H184" s="320">
        <f t="shared" si="55"/>
        <v>0</v>
      </c>
      <c r="I184" s="320">
        <f t="shared" si="56"/>
        <v>0</v>
      </c>
      <c r="J184" s="320">
        <f t="shared" si="57"/>
        <v>0</v>
      </c>
      <c r="K184" s="320">
        <f t="shared" si="58"/>
        <v>0</v>
      </c>
      <c r="L184" s="320">
        <f t="shared" si="59"/>
        <v>0</v>
      </c>
      <c r="M184" s="320">
        <f t="shared" si="60"/>
        <v>0</v>
      </c>
      <c r="N184" s="320">
        <f t="shared" si="61"/>
        <v>0</v>
      </c>
      <c r="O184" s="320">
        <f t="shared" si="62"/>
        <v>0</v>
      </c>
      <c r="P184" s="320">
        <f t="shared" si="63"/>
        <v>0</v>
      </c>
      <c r="Q184" s="320">
        <f t="shared" si="64"/>
        <v>0</v>
      </c>
      <c r="R184" s="320">
        <f t="shared" si="65"/>
        <v>0</v>
      </c>
      <c r="S184" s="320">
        <f t="shared" si="66"/>
        <v>0</v>
      </c>
      <c r="T184" s="320">
        <f t="shared" si="67"/>
        <v>0</v>
      </c>
      <c r="U184" s="320">
        <f t="shared" si="68"/>
        <v>0</v>
      </c>
      <c r="V184" s="320">
        <f t="shared" si="69"/>
        <v>0</v>
      </c>
      <c r="W184" s="320">
        <f t="shared" si="70"/>
        <v>0</v>
      </c>
      <c r="X184" s="320">
        <f t="shared" si="71"/>
        <v>0</v>
      </c>
      <c r="Y184" s="320">
        <f t="shared" si="72"/>
        <v>0</v>
      </c>
      <c r="Z184" s="320">
        <f t="shared" si="73"/>
        <v>0</v>
      </c>
      <c r="AA184" s="320">
        <f t="shared" si="74"/>
        <v>0</v>
      </c>
      <c r="AB184" s="320">
        <f t="shared" si="75"/>
        <v>0</v>
      </c>
      <c r="AC184" s="320">
        <f t="shared" si="76"/>
        <v>0</v>
      </c>
      <c r="AD184" s="320">
        <f t="shared" si="77"/>
        <v>0</v>
      </c>
      <c r="AE184" s="320">
        <f t="shared" si="78"/>
        <v>0</v>
      </c>
      <c r="AF184" s="320">
        <f t="shared" si="79"/>
        <v>0</v>
      </c>
      <c r="AG184" s="320">
        <f t="shared" si="80"/>
        <v>0</v>
      </c>
      <c r="AH184" s="320">
        <f t="shared" si="81"/>
        <v>0</v>
      </c>
      <c r="AI184" s="320">
        <f t="shared" si="82"/>
        <v>0</v>
      </c>
      <c r="AJ184" s="320">
        <f t="shared" si="83"/>
        <v>0</v>
      </c>
      <c r="AK184" s="320">
        <f t="shared" si="84"/>
        <v>0</v>
      </c>
      <c r="AL184" s="320">
        <f t="shared" si="85"/>
        <v>0</v>
      </c>
      <c r="AM184" s="320">
        <f t="shared" si="86"/>
        <v>0</v>
      </c>
      <c r="AN184" s="320"/>
      <c r="AP184" s="266" t="s">
        <v>100</v>
      </c>
      <c r="AQ184" s="580">
        <v>0</v>
      </c>
      <c r="AR184" s="580">
        <v>0</v>
      </c>
      <c r="AS184" s="580">
        <v>0</v>
      </c>
      <c r="AT184" s="580">
        <v>0</v>
      </c>
      <c r="AU184" s="580">
        <v>0</v>
      </c>
      <c r="AV184" s="580">
        <v>0</v>
      </c>
      <c r="AW184" s="580">
        <v>0.33333333333300003</v>
      </c>
      <c r="AX184" s="580">
        <v>0.33333333333300003</v>
      </c>
      <c r="AY184" s="580">
        <v>0.33333333333300003</v>
      </c>
      <c r="AZ184" s="580">
        <v>0</v>
      </c>
      <c r="BA184" s="580">
        <v>0</v>
      </c>
      <c r="BB184" s="580">
        <v>0</v>
      </c>
      <c r="BC184" s="580">
        <v>0</v>
      </c>
      <c r="BD184" s="580">
        <v>0</v>
      </c>
      <c r="BE184" s="580">
        <v>0</v>
      </c>
      <c r="BF184" s="580">
        <v>0</v>
      </c>
      <c r="BG184" s="580">
        <v>0</v>
      </c>
      <c r="BH184" s="580">
        <v>0</v>
      </c>
      <c r="BI184" s="580">
        <v>0</v>
      </c>
      <c r="BJ184" s="580">
        <v>0</v>
      </c>
      <c r="BK184" s="580">
        <v>0</v>
      </c>
      <c r="BL184" s="580">
        <v>0</v>
      </c>
      <c r="BM184" s="580">
        <v>0</v>
      </c>
      <c r="BN184" s="580">
        <v>0</v>
      </c>
      <c r="BO184" s="580">
        <v>0</v>
      </c>
      <c r="BP184" s="580">
        <v>0</v>
      </c>
      <c r="BQ184" s="580">
        <v>0</v>
      </c>
      <c r="BR184" s="580">
        <v>0</v>
      </c>
      <c r="BS184" s="580">
        <v>0</v>
      </c>
      <c r="BT184" s="580">
        <v>0</v>
      </c>
      <c r="BU184" s="580">
        <v>0</v>
      </c>
      <c r="BV184" s="580">
        <v>0</v>
      </c>
      <c r="BW184" s="580">
        <v>0</v>
      </c>
      <c r="BX184" s="580">
        <v>0</v>
      </c>
      <c r="BY184" s="580">
        <v>0</v>
      </c>
    </row>
    <row r="185" spans="2:89" ht="14.45">
      <c r="B185" s="324" t="s">
        <v>101</v>
      </c>
      <c r="D185" s="320">
        <f t="shared" si="87"/>
        <v>0</v>
      </c>
      <c r="E185" s="320">
        <f t="shared" si="52"/>
        <v>0</v>
      </c>
      <c r="F185" s="320">
        <f t="shared" si="53"/>
        <v>0</v>
      </c>
      <c r="G185" s="320">
        <f t="shared" si="54"/>
        <v>0</v>
      </c>
      <c r="H185" s="320">
        <f t="shared" si="55"/>
        <v>0</v>
      </c>
      <c r="I185" s="320">
        <f t="shared" si="56"/>
        <v>0</v>
      </c>
      <c r="J185" s="320">
        <f t="shared" si="57"/>
        <v>0</v>
      </c>
      <c r="K185" s="320">
        <f t="shared" si="58"/>
        <v>0</v>
      </c>
      <c r="L185" s="320">
        <f t="shared" si="59"/>
        <v>0</v>
      </c>
      <c r="M185" s="320">
        <f t="shared" si="60"/>
        <v>0</v>
      </c>
      <c r="N185" s="320">
        <f t="shared" si="61"/>
        <v>0</v>
      </c>
      <c r="O185" s="320">
        <f t="shared" si="62"/>
        <v>0</v>
      </c>
      <c r="P185" s="320">
        <f t="shared" si="63"/>
        <v>0</v>
      </c>
      <c r="Q185" s="320">
        <f t="shared" si="64"/>
        <v>0</v>
      </c>
      <c r="R185" s="320">
        <f t="shared" si="65"/>
        <v>0</v>
      </c>
      <c r="S185" s="320">
        <f t="shared" si="66"/>
        <v>0</v>
      </c>
      <c r="T185" s="320">
        <f t="shared" si="67"/>
        <v>0</v>
      </c>
      <c r="U185" s="320">
        <f t="shared" si="68"/>
        <v>0</v>
      </c>
      <c r="V185" s="320">
        <f t="shared" si="69"/>
        <v>0</v>
      </c>
      <c r="W185" s="320">
        <f t="shared" si="70"/>
        <v>0</v>
      </c>
      <c r="X185" s="320">
        <f t="shared" si="71"/>
        <v>0</v>
      </c>
      <c r="Y185" s="320">
        <f t="shared" si="72"/>
        <v>0</v>
      </c>
      <c r="Z185" s="320">
        <f t="shared" si="73"/>
        <v>0</v>
      </c>
      <c r="AA185" s="320">
        <f t="shared" si="74"/>
        <v>0</v>
      </c>
      <c r="AB185" s="320">
        <f t="shared" si="75"/>
        <v>0</v>
      </c>
      <c r="AC185" s="320">
        <f t="shared" si="76"/>
        <v>0</v>
      </c>
      <c r="AD185" s="320">
        <f t="shared" si="77"/>
        <v>0</v>
      </c>
      <c r="AE185" s="320">
        <f t="shared" si="78"/>
        <v>0</v>
      </c>
      <c r="AF185" s="320">
        <f t="shared" si="79"/>
        <v>0</v>
      </c>
      <c r="AG185" s="320">
        <f t="shared" si="80"/>
        <v>0</v>
      </c>
      <c r="AH185" s="320">
        <f t="shared" si="81"/>
        <v>0</v>
      </c>
      <c r="AI185" s="320">
        <f t="shared" si="82"/>
        <v>0</v>
      </c>
      <c r="AJ185" s="320">
        <f t="shared" si="83"/>
        <v>0</v>
      </c>
      <c r="AK185" s="320">
        <f t="shared" si="84"/>
        <v>0</v>
      </c>
      <c r="AL185" s="320">
        <f t="shared" si="85"/>
        <v>0</v>
      </c>
      <c r="AM185" s="320">
        <f t="shared" si="86"/>
        <v>0</v>
      </c>
      <c r="AN185" s="320"/>
      <c r="AP185" s="266" t="s">
        <v>101</v>
      </c>
      <c r="AQ185" s="580">
        <v>0</v>
      </c>
      <c r="AR185" s="580">
        <v>0</v>
      </c>
      <c r="AS185" s="580">
        <v>0</v>
      </c>
      <c r="AT185" s="580">
        <v>0</v>
      </c>
      <c r="AU185" s="580">
        <v>0</v>
      </c>
      <c r="AV185" s="580">
        <v>0</v>
      </c>
      <c r="AW185" s="580">
        <v>0</v>
      </c>
      <c r="AX185" s="580">
        <v>0.33333333333300003</v>
      </c>
      <c r="AY185" s="580">
        <v>0.33333333333300003</v>
      </c>
      <c r="AZ185" s="580">
        <v>0.33333333333300003</v>
      </c>
      <c r="BA185" s="580">
        <v>0</v>
      </c>
      <c r="BB185" s="580">
        <v>0</v>
      </c>
      <c r="BC185" s="580">
        <v>0</v>
      </c>
      <c r="BD185" s="580">
        <v>0</v>
      </c>
      <c r="BE185" s="580">
        <v>0</v>
      </c>
      <c r="BF185" s="580">
        <v>0</v>
      </c>
      <c r="BG185" s="580">
        <v>0</v>
      </c>
      <c r="BH185" s="580">
        <v>0</v>
      </c>
      <c r="BI185" s="580">
        <v>0</v>
      </c>
      <c r="BJ185" s="580">
        <v>0</v>
      </c>
      <c r="BK185" s="580">
        <v>0</v>
      </c>
      <c r="BL185" s="580">
        <v>0</v>
      </c>
      <c r="BM185" s="580">
        <v>0</v>
      </c>
      <c r="BN185" s="580">
        <v>0</v>
      </c>
      <c r="BO185" s="580">
        <v>0</v>
      </c>
      <c r="BP185" s="580">
        <v>0</v>
      </c>
      <c r="BQ185" s="580">
        <v>0</v>
      </c>
      <c r="BR185" s="580">
        <v>0</v>
      </c>
      <c r="BS185" s="580">
        <v>0</v>
      </c>
      <c r="BT185" s="580">
        <v>0</v>
      </c>
      <c r="BU185" s="580">
        <v>0</v>
      </c>
      <c r="BV185" s="580">
        <v>0</v>
      </c>
      <c r="BW185" s="580">
        <v>0</v>
      </c>
      <c r="BX185" s="580">
        <v>0</v>
      </c>
      <c r="BY185" s="580">
        <v>0</v>
      </c>
    </row>
    <row r="186" spans="2:89" ht="14.45">
      <c r="B186" s="324" t="s">
        <v>102</v>
      </c>
      <c r="D186" s="320">
        <f t="shared" si="87"/>
        <v>0</v>
      </c>
      <c r="E186" s="320">
        <f t="shared" si="52"/>
        <v>0</v>
      </c>
      <c r="F186" s="320">
        <f t="shared" si="53"/>
        <v>0</v>
      </c>
      <c r="G186" s="320">
        <f t="shared" si="54"/>
        <v>0</v>
      </c>
      <c r="H186" s="320">
        <f t="shared" si="55"/>
        <v>0</v>
      </c>
      <c r="I186" s="320">
        <f t="shared" si="56"/>
        <v>0</v>
      </c>
      <c r="J186" s="320">
        <f t="shared" si="57"/>
        <v>0</v>
      </c>
      <c r="K186" s="320">
        <f t="shared" si="58"/>
        <v>0</v>
      </c>
      <c r="L186" s="320">
        <f t="shared" si="59"/>
        <v>0</v>
      </c>
      <c r="M186" s="320">
        <f t="shared" si="60"/>
        <v>0</v>
      </c>
      <c r="N186" s="320">
        <f t="shared" si="61"/>
        <v>0</v>
      </c>
      <c r="O186" s="320">
        <f t="shared" si="62"/>
        <v>0</v>
      </c>
      <c r="P186" s="320">
        <f t="shared" si="63"/>
        <v>0</v>
      </c>
      <c r="Q186" s="320">
        <f t="shared" si="64"/>
        <v>0</v>
      </c>
      <c r="R186" s="320">
        <f t="shared" si="65"/>
        <v>0</v>
      </c>
      <c r="S186" s="320">
        <f t="shared" si="66"/>
        <v>0</v>
      </c>
      <c r="T186" s="320">
        <f t="shared" si="67"/>
        <v>0</v>
      </c>
      <c r="U186" s="320">
        <f t="shared" si="68"/>
        <v>0</v>
      </c>
      <c r="V186" s="320">
        <f t="shared" si="69"/>
        <v>0</v>
      </c>
      <c r="W186" s="320">
        <f t="shared" si="70"/>
        <v>0</v>
      </c>
      <c r="X186" s="320">
        <f t="shared" si="71"/>
        <v>0</v>
      </c>
      <c r="Y186" s="320">
        <f t="shared" si="72"/>
        <v>0</v>
      </c>
      <c r="Z186" s="320">
        <f t="shared" si="73"/>
        <v>0</v>
      </c>
      <c r="AA186" s="320">
        <f t="shared" si="74"/>
        <v>0</v>
      </c>
      <c r="AB186" s="320">
        <f t="shared" si="75"/>
        <v>0</v>
      </c>
      <c r="AC186" s="320">
        <f t="shared" si="76"/>
        <v>0</v>
      </c>
      <c r="AD186" s="320">
        <f t="shared" si="77"/>
        <v>0</v>
      </c>
      <c r="AE186" s="320">
        <f t="shared" si="78"/>
        <v>0</v>
      </c>
      <c r="AF186" s="320">
        <f t="shared" si="79"/>
        <v>0</v>
      </c>
      <c r="AG186" s="320">
        <f t="shared" si="80"/>
        <v>0</v>
      </c>
      <c r="AH186" s="320">
        <f t="shared" si="81"/>
        <v>0</v>
      </c>
      <c r="AI186" s="320">
        <f t="shared" si="82"/>
        <v>0</v>
      </c>
      <c r="AJ186" s="320">
        <f t="shared" si="83"/>
        <v>0</v>
      </c>
      <c r="AK186" s="320">
        <f t="shared" si="84"/>
        <v>0</v>
      </c>
      <c r="AL186" s="320">
        <f t="shared" si="85"/>
        <v>0</v>
      </c>
      <c r="AM186" s="320">
        <f t="shared" si="86"/>
        <v>0</v>
      </c>
      <c r="AN186" s="320"/>
      <c r="AP186" s="266" t="s">
        <v>102</v>
      </c>
      <c r="AQ186" s="580">
        <v>0</v>
      </c>
      <c r="AR186" s="580">
        <v>0</v>
      </c>
      <c r="AS186" s="580">
        <v>0</v>
      </c>
      <c r="AT186" s="580">
        <v>0</v>
      </c>
      <c r="AU186" s="580">
        <v>0</v>
      </c>
      <c r="AV186" s="580">
        <v>0</v>
      </c>
      <c r="AW186" s="580">
        <v>0</v>
      </c>
      <c r="AX186" s="580">
        <v>0</v>
      </c>
      <c r="AY186" s="580">
        <v>0.33333333333300003</v>
      </c>
      <c r="AZ186" s="580">
        <v>0.33333333333300003</v>
      </c>
      <c r="BA186" s="580">
        <v>0.33333333333300003</v>
      </c>
      <c r="BB186" s="580">
        <v>0</v>
      </c>
      <c r="BC186" s="580">
        <v>0</v>
      </c>
      <c r="BD186" s="580">
        <v>0</v>
      </c>
      <c r="BE186" s="580">
        <v>0</v>
      </c>
      <c r="BF186" s="580">
        <v>0</v>
      </c>
      <c r="BG186" s="580">
        <v>0</v>
      </c>
      <c r="BH186" s="580">
        <v>0</v>
      </c>
      <c r="BI186" s="580">
        <v>0</v>
      </c>
      <c r="BJ186" s="580">
        <v>0</v>
      </c>
      <c r="BK186" s="580">
        <v>0</v>
      </c>
      <c r="BL186" s="580">
        <v>0</v>
      </c>
      <c r="BM186" s="580">
        <v>0</v>
      </c>
      <c r="BN186" s="580">
        <v>0</v>
      </c>
      <c r="BO186" s="580">
        <v>0</v>
      </c>
      <c r="BP186" s="580">
        <v>0</v>
      </c>
      <c r="BQ186" s="580">
        <v>0</v>
      </c>
      <c r="BR186" s="580">
        <v>0</v>
      </c>
      <c r="BS186" s="580">
        <v>0</v>
      </c>
      <c r="BT186" s="580">
        <v>0</v>
      </c>
      <c r="BU186" s="580">
        <v>0</v>
      </c>
      <c r="BV186" s="580">
        <v>0</v>
      </c>
      <c r="BW186" s="580">
        <v>0</v>
      </c>
      <c r="BX186" s="580">
        <v>0</v>
      </c>
      <c r="BY186" s="580">
        <v>0</v>
      </c>
    </row>
    <row r="187" spans="2:89" ht="14.45">
      <c r="B187" s="324" t="s">
        <v>103</v>
      </c>
      <c r="D187" s="320">
        <f t="shared" si="87"/>
        <v>0</v>
      </c>
      <c r="E187" s="320">
        <f t="shared" si="52"/>
        <v>0</v>
      </c>
      <c r="F187" s="320">
        <f t="shared" si="53"/>
        <v>0</v>
      </c>
      <c r="G187" s="320">
        <f t="shared" si="54"/>
        <v>0</v>
      </c>
      <c r="H187" s="320">
        <f t="shared" si="55"/>
        <v>0</v>
      </c>
      <c r="I187" s="320">
        <f t="shared" si="56"/>
        <v>0</v>
      </c>
      <c r="J187" s="320">
        <f t="shared" si="57"/>
        <v>0</v>
      </c>
      <c r="K187" s="320">
        <f t="shared" si="58"/>
        <v>0</v>
      </c>
      <c r="L187" s="320">
        <f t="shared" si="59"/>
        <v>0</v>
      </c>
      <c r="M187" s="320">
        <f t="shared" si="60"/>
        <v>0</v>
      </c>
      <c r="N187" s="320">
        <f t="shared" si="61"/>
        <v>0</v>
      </c>
      <c r="O187" s="320">
        <f t="shared" si="62"/>
        <v>0</v>
      </c>
      <c r="P187" s="320">
        <f t="shared" si="63"/>
        <v>0</v>
      </c>
      <c r="Q187" s="320">
        <f t="shared" si="64"/>
        <v>0</v>
      </c>
      <c r="R187" s="320">
        <f t="shared" si="65"/>
        <v>0</v>
      </c>
      <c r="S187" s="320">
        <f t="shared" si="66"/>
        <v>0</v>
      </c>
      <c r="T187" s="320">
        <f t="shared" si="67"/>
        <v>0</v>
      </c>
      <c r="U187" s="320">
        <f t="shared" si="68"/>
        <v>0</v>
      </c>
      <c r="V187" s="320">
        <f t="shared" si="69"/>
        <v>0</v>
      </c>
      <c r="W187" s="320">
        <f t="shared" si="70"/>
        <v>0</v>
      </c>
      <c r="X187" s="320">
        <f t="shared" si="71"/>
        <v>0</v>
      </c>
      <c r="Y187" s="320">
        <f t="shared" si="72"/>
        <v>0</v>
      </c>
      <c r="Z187" s="320">
        <f t="shared" si="73"/>
        <v>0</v>
      </c>
      <c r="AA187" s="320">
        <f t="shared" si="74"/>
        <v>0</v>
      </c>
      <c r="AB187" s="320">
        <f t="shared" si="75"/>
        <v>0</v>
      </c>
      <c r="AC187" s="320">
        <f t="shared" si="76"/>
        <v>0</v>
      </c>
      <c r="AD187" s="320">
        <f t="shared" si="77"/>
        <v>0</v>
      </c>
      <c r="AE187" s="320">
        <f t="shared" si="78"/>
        <v>0</v>
      </c>
      <c r="AF187" s="320">
        <f t="shared" si="79"/>
        <v>0</v>
      </c>
      <c r="AG187" s="320">
        <f t="shared" si="80"/>
        <v>0</v>
      </c>
      <c r="AH187" s="320">
        <f t="shared" si="81"/>
        <v>0</v>
      </c>
      <c r="AI187" s="320">
        <f t="shared" si="82"/>
        <v>0</v>
      </c>
      <c r="AJ187" s="320">
        <f t="shared" si="83"/>
        <v>0</v>
      </c>
      <c r="AK187" s="320">
        <f t="shared" si="84"/>
        <v>0</v>
      </c>
      <c r="AL187" s="320">
        <f t="shared" si="85"/>
        <v>0</v>
      </c>
      <c r="AM187" s="320">
        <f t="shared" si="86"/>
        <v>0</v>
      </c>
      <c r="AN187" s="320"/>
      <c r="AP187" s="266" t="s">
        <v>103</v>
      </c>
      <c r="AQ187" s="580">
        <v>0</v>
      </c>
      <c r="AR187" s="580">
        <v>0</v>
      </c>
      <c r="AS187" s="580">
        <v>0</v>
      </c>
      <c r="AT187" s="580">
        <v>0</v>
      </c>
      <c r="AU187" s="580">
        <v>0</v>
      </c>
      <c r="AV187" s="580">
        <v>0</v>
      </c>
      <c r="AW187" s="580">
        <v>0</v>
      </c>
      <c r="AX187" s="580">
        <v>0</v>
      </c>
      <c r="AY187" s="580">
        <v>0</v>
      </c>
      <c r="AZ187" s="580">
        <v>0.33333333333300003</v>
      </c>
      <c r="BA187" s="580">
        <v>0.33333333333300003</v>
      </c>
      <c r="BB187" s="580">
        <v>0.33333333333300003</v>
      </c>
      <c r="BC187" s="580">
        <v>0</v>
      </c>
      <c r="BD187" s="580">
        <v>0</v>
      </c>
      <c r="BE187" s="580">
        <v>0</v>
      </c>
      <c r="BF187" s="580">
        <v>0</v>
      </c>
      <c r="BG187" s="580">
        <v>0</v>
      </c>
      <c r="BH187" s="580">
        <v>0</v>
      </c>
      <c r="BI187" s="580">
        <v>0</v>
      </c>
      <c r="BJ187" s="580">
        <v>0</v>
      </c>
      <c r="BK187" s="580">
        <v>0</v>
      </c>
      <c r="BL187" s="580">
        <v>0</v>
      </c>
      <c r="BM187" s="580">
        <v>0</v>
      </c>
      <c r="BN187" s="580">
        <v>0</v>
      </c>
      <c r="BO187" s="580">
        <v>0</v>
      </c>
      <c r="BP187" s="580">
        <v>0</v>
      </c>
      <c r="BQ187" s="580">
        <v>0</v>
      </c>
      <c r="BR187" s="580">
        <v>0</v>
      </c>
      <c r="BS187" s="580">
        <v>0</v>
      </c>
      <c r="BT187" s="580">
        <v>0</v>
      </c>
      <c r="BU187" s="580">
        <v>0</v>
      </c>
      <c r="BV187" s="580">
        <v>0</v>
      </c>
      <c r="BW187" s="580">
        <v>0</v>
      </c>
      <c r="BX187" s="580">
        <v>0</v>
      </c>
      <c r="BY187" s="580">
        <v>0</v>
      </c>
      <c r="BZ187" s="325"/>
      <c r="CA187" s="325"/>
      <c r="CC187" s="325"/>
      <c r="CD187" s="325"/>
      <c r="CE187" s="325"/>
      <c r="CF187" s="325"/>
    </row>
    <row r="188" spans="2:89" ht="10.15" customHeight="1">
      <c r="B188" s="324" t="s">
        <v>104</v>
      </c>
      <c r="D188" s="320">
        <f t="shared" si="87"/>
        <v>0</v>
      </c>
      <c r="E188" s="320">
        <f t="shared" si="52"/>
        <v>0</v>
      </c>
      <c r="F188" s="320">
        <f t="shared" si="53"/>
        <v>0</v>
      </c>
      <c r="G188" s="320">
        <f t="shared" si="54"/>
        <v>0</v>
      </c>
      <c r="H188" s="320">
        <f t="shared" si="55"/>
        <v>0</v>
      </c>
      <c r="I188" s="320">
        <f t="shared" si="56"/>
        <v>0</v>
      </c>
      <c r="J188" s="320">
        <f t="shared" si="57"/>
        <v>0</v>
      </c>
      <c r="K188" s="320">
        <f t="shared" si="58"/>
        <v>0</v>
      </c>
      <c r="L188" s="320">
        <f t="shared" si="59"/>
        <v>0</v>
      </c>
      <c r="M188" s="320">
        <f t="shared" si="60"/>
        <v>0</v>
      </c>
      <c r="N188" s="320">
        <f t="shared" si="61"/>
        <v>0</v>
      </c>
      <c r="O188" s="320">
        <f t="shared" si="62"/>
        <v>0</v>
      </c>
      <c r="P188" s="320">
        <f t="shared" si="63"/>
        <v>0</v>
      </c>
      <c r="Q188" s="320">
        <f t="shared" si="64"/>
        <v>0</v>
      </c>
      <c r="R188" s="320">
        <f t="shared" si="65"/>
        <v>0</v>
      </c>
      <c r="S188" s="320">
        <f t="shared" si="66"/>
        <v>0</v>
      </c>
      <c r="T188" s="320">
        <f t="shared" si="67"/>
        <v>0</v>
      </c>
      <c r="U188" s="320">
        <f t="shared" si="68"/>
        <v>0</v>
      </c>
      <c r="V188" s="320">
        <f t="shared" si="69"/>
        <v>0</v>
      </c>
      <c r="W188" s="320">
        <f t="shared" si="70"/>
        <v>0</v>
      </c>
      <c r="X188" s="320">
        <f t="shared" si="71"/>
        <v>0</v>
      </c>
      <c r="Y188" s="320">
        <f t="shared" si="72"/>
        <v>0</v>
      </c>
      <c r="Z188" s="320">
        <f t="shared" si="73"/>
        <v>0</v>
      </c>
      <c r="AA188" s="320">
        <f t="shared" si="74"/>
        <v>0</v>
      </c>
      <c r="AB188" s="320">
        <f t="shared" si="75"/>
        <v>0</v>
      </c>
      <c r="AC188" s="320">
        <f t="shared" si="76"/>
        <v>0</v>
      </c>
      <c r="AD188" s="320">
        <f t="shared" si="77"/>
        <v>0</v>
      </c>
      <c r="AE188" s="320">
        <f t="shared" si="78"/>
        <v>0</v>
      </c>
      <c r="AF188" s="320">
        <f t="shared" si="79"/>
        <v>0</v>
      </c>
      <c r="AG188" s="320">
        <f t="shared" si="80"/>
        <v>0</v>
      </c>
      <c r="AH188" s="320">
        <f t="shared" si="81"/>
        <v>0</v>
      </c>
      <c r="AI188" s="320">
        <f t="shared" si="82"/>
        <v>0</v>
      </c>
      <c r="AJ188" s="320">
        <f t="shared" si="83"/>
        <v>0</v>
      </c>
      <c r="AK188" s="320">
        <f t="shared" si="84"/>
        <v>0</v>
      </c>
      <c r="AL188" s="320">
        <f t="shared" si="85"/>
        <v>0</v>
      </c>
      <c r="AM188" s="320">
        <f t="shared" si="86"/>
        <v>0</v>
      </c>
      <c r="AN188" s="320"/>
      <c r="AP188" s="266" t="s">
        <v>104</v>
      </c>
      <c r="AQ188" s="580">
        <v>0</v>
      </c>
      <c r="AR188" s="580">
        <v>0</v>
      </c>
      <c r="AS188" s="580">
        <v>0</v>
      </c>
      <c r="AT188" s="580">
        <v>0</v>
      </c>
      <c r="AU188" s="580">
        <v>0</v>
      </c>
      <c r="AV188" s="580">
        <v>0</v>
      </c>
      <c r="AW188" s="580">
        <v>0</v>
      </c>
      <c r="AX188" s="580">
        <v>0</v>
      </c>
      <c r="AY188" s="580">
        <v>0</v>
      </c>
      <c r="AZ188" s="580">
        <v>0</v>
      </c>
      <c r="BA188" s="580">
        <v>0.33333333333300003</v>
      </c>
      <c r="BB188" s="580">
        <v>0.33333333333300003</v>
      </c>
      <c r="BC188" s="580">
        <v>0.33333333333300003</v>
      </c>
      <c r="BD188" s="580">
        <v>0</v>
      </c>
      <c r="BE188" s="580">
        <v>0</v>
      </c>
      <c r="BF188" s="580">
        <v>0</v>
      </c>
      <c r="BG188" s="580">
        <v>0</v>
      </c>
      <c r="BH188" s="580">
        <v>0</v>
      </c>
      <c r="BI188" s="580">
        <v>0</v>
      </c>
      <c r="BJ188" s="580">
        <v>0</v>
      </c>
      <c r="BK188" s="580">
        <v>0</v>
      </c>
      <c r="BL188" s="580">
        <v>0</v>
      </c>
      <c r="BM188" s="580">
        <v>0</v>
      </c>
      <c r="BN188" s="580">
        <v>0</v>
      </c>
      <c r="BO188" s="580">
        <v>0</v>
      </c>
      <c r="BP188" s="580">
        <v>0</v>
      </c>
      <c r="BQ188" s="580">
        <v>0</v>
      </c>
      <c r="BR188" s="580">
        <v>0</v>
      </c>
      <c r="BS188" s="580">
        <v>0</v>
      </c>
      <c r="BT188" s="580">
        <v>0</v>
      </c>
      <c r="BU188" s="580">
        <v>0</v>
      </c>
      <c r="BV188" s="580">
        <v>0</v>
      </c>
      <c r="BW188" s="580">
        <v>0</v>
      </c>
      <c r="BX188" s="580">
        <v>0</v>
      </c>
      <c r="BY188" s="580">
        <v>0</v>
      </c>
      <c r="CH188" s="325"/>
    </row>
    <row r="189" spans="2:89" ht="10.15" customHeight="1">
      <c r="B189" s="324" t="s">
        <v>105</v>
      </c>
      <c r="D189" s="320">
        <f t="shared" si="87"/>
        <v>0</v>
      </c>
      <c r="E189" s="320">
        <f t="shared" si="52"/>
        <v>0</v>
      </c>
      <c r="F189" s="320">
        <f t="shared" si="53"/>
        <v>0</v>
      </c>
      <c r="G189" s="320">
        <f t="shared" si="54"/>
        <v>0</v>
      </c>
      <c r="H189" s="320">
        <f t="shared" si="55"/>
        <v>0</v>
      </c>
      <c r="I189" s="320">
        <f t="shared" si="56"/>
        <v>0</v>
      </c>
      <c r="J189" s="320">
        <f t="shared" si="57"/>
        <v>0</v>
      </c>
      <c r="K189" s="320">
        <f t="shared" si="58"/>
        <v>0</v>
      </c>
      <c r="L189" s="320">
        <f t="shared" si="59"/>
        <v>0</v>
      </c>
      <c r="M189" s="320">
        <f t="shared" si="60"/>
        <v>0</v>
      </c>
      <c r="N189" s="320">
        <f t="shared" si="61"/>
        <v>0</v>
      </c>
      <c r="O189" s="320">
        <f t="shared" si="62"/>
        <v>0</v>
      </c>
      <c r="P189" s="320">
        <f t="shared" si="63"/>
        <v>0</v>
      </c>
      <c r="Q189" s="320">
        <f t="shared" si="64"/>
        <v>0</v>
      </c>
      <c r="R189" s="320">
        <f t="shared" si="65"/>
        <v>0</v>
      </c>
      <c r="S189" s="320">
        <f t="shared" si="66"/>
        <v>0</v>
      </c>
      <c r="T189" s="320">
        <f t="shared" si="67"/>
        <v>0</v>
      </c>
      <c r="U189" s="320">
        <f t="shared" si="68"/>
        <v>0</v>
      </c>
      <c r="V189" s="320">
        <f t="shared" si="69"/>
        <v>0</v>
      </c>
      <c r="W189" s="320">
        <f t="shared" si="70"/>
        <v>0</v>
      </c>
      <c r="X189" s="320">
        <f t="shared" si="71"/>
        <v>0</v>
      </c>
      <c r="Y189" s="320">
        <f t="shared" si="72"/>
        <v>0</v>
      </c>
      <c r="Z189" s="320">
        <f t="shared" si="73"/>
        <v>0</v>
      </c>
      <c r="AA189" s="320">
        <f t="shared" si="74"/>
        <v>0</v>
      </c>
      <c r="AB189" s="320">
        <f t="shared" si="75"/>
        <v>0</v>
      </c>
      <c r="AC189" s="320">
        <f t="shared" si="76"/>
        <v>0</v>
      </c>
      <c r="AD189" s="320">
        <f t="shared" si="77"/>
        <v>0</v>
      </c>
      <c r="AE189" s="320">
        <f t="shared" si="78"/>
        <v>0</v>
      </c>
      <c r="AF189" s="320">
        <f t="shared" si="79"/>
        <v>0</v>
      </c>
      <c r="AG189" s="320">
        <f t="shared" si="80"/>
        <v>0</v>
      </c>
      <c r="AH189" s="320">
        <f t="shared" si="81"/>
        <v>0</v>
      </c>
      <c r="AI189" s="320">
        <f t="shared" si="82"/>
        <v>0</v>
      </c>
      <c r="AJ189" s="320">
        <f t="shared" si="83"/>
        <v>0</v>
      </c>
      <c r="AK189" s="320">
        <f t="shared" si="84"/>
        <v>0</v>
      </c>
      <c r="AL189" s="320">
        <f t="shared" si="85"/>
        <v>0</v>
      </c>
      <c r="AM189" s="320">
        <f t="shared" si="86"/>
        <v>0</v>
      </c>
      <c r="AN189" s="320"/>
      <c r="AP189" s="266" t="s">
        <v>105</v>
      </c>
      <c r="AQ189" s="580">
        <v>0</v>
      </c>
      <c r="AR189" s="580">
        <v>0</v>
      </c>
      <c r="AS189" s="580">
        <v>0</v>
      </c>
      <c r="AT189" s="580">
        <v>0</v>
      </c>
      <c r="AU189" s="580">
        <v>0</v>
      </c>
      <c r="AV189" s="580">
        <v>0</v>
      </c>
      <c r="AW189" s="580">
        <v>0</v>
      </c>
      <c r="AX189" s="580">
        <v>0</v>
      </c>
      <c r="AY189" s="580">
        <v>0</v>
      </c>
      <c r="AZ189" s="580">
        <v>0</v>
      </c>
      <c r="BA189" s="580">
        <v>0</v>
      </c>
      <c r="BB189" s="580">
        <v>0.33333333333300003</v>
      </c>
      <c r="BC189" s="580">
        <v>0.33333333333300003</v>
      </c>
      <c r="BD189" s="580">
        <v>0.33333333333300003</v>
      </c>
      <c r="BE189" s="580">
        <v>0</v>
      </c>
      <c r="BF189" s="580">
        <v>0</v>
      </c>
      <c r="BG189" s="580">
        <v>0</v>
      </c>
      <c r="BH189" s="580">
        <v>0</v>
      </c>
      <c r="BI189" s="580">
        <v>0</v>
      </c>
      <c r="BJ189" s="580">
        <v>0</v>
      </c>
      <c r="BK189" s="580">
        <v>0</v>
      </c>
      <c r="BL189" s="580">
        <v>0</v>
      </c>
      <c r="BM189" s="580">
        <v>0</v>
      </c>
      <c r="BN189" s="580">
        <v>0</v>
      </c>
      <c r="BO189" s="580">
        <v>0</v>
      </c>
      <c r="BP189" s="580">
        <v>0</v>
      </c>
      <c r="BQ189" s="580">
        <v>0</v>
      </c>
      <c r="BR189" s="580">
        <v>0</v>
      </c>
      <c r="BS189" s="580">
        <v>0</v>
      </c>
      <c r="BT189" s="580">
        <v>0</v>
      </c>
      <c r="BU189" s="580">
        <v>0</v>
      </c>
      <c r="BV189" s="580">
        <v>0</v>
      </c>
      <c r="BW189" s="580">
        <v>0</v>
      </c>
      <c r="BX189" s="580">
        <v>0</v>
      </c>
      <c r="BY189" s="580">
        <v>0</v>
      </c>
      <c r="CH189" s="325"/>
    </row>
    <row r="190" spans="2:89" ht="10.15" customHeight="1">
      <c r="B190" s="324" t="s">
        <v>106</v>
      </c>
      <c r="D190" s="320">
        <f t="shared" si="87"/>
        <v>0</v>
      </c>
      <c r="E190" s="320">
        <f t="shared" si="52"/>
        <v>0</v>
      </c>
      <c r="F190" s="320">
        <f t="shared" si="53"/>
        <v>0</v>
      </c>
      <c r="G190" s="320">
        <f t="shared" si="54"/>
        <v>0</v>
      </c>
      <c r="H190" s="320">
        <f t="shared" si="55"/>
        <v>0</v>
      </c>
      <c r="I190" s="320">
        <f t="shared" si="56"/>
        <v>0</v>
      </c>
      <c r="J190" s="320">
        <f t="shared" si="57"/>
        <v>0</v>
      </c>
      <c r="K190" s="320">
        <f t="shared" si="58"/>
        <v>0</v>
      </c>
      <c r="L190" s="320">
        <f t="shared" si="59"/>
        <v>0</v>
      </c>
      <c r="M190" s="320">
        <f t="shared" si="60"/>
        <v>0</v>
      </c>
      <c r="N190" s="320">
        <f t="shared" si="61"/>
        <v>0</v>
      </c>
      <c r="O190" s="320">
        <f t="shared" si="62"/>
        <v>0</v>
      </c>
      <c r="P190" s="320">
        <f t="shared" si="63"/>
        <v>0</v>
      </c>
      <c r="Q190" s="320">
        <f t="shared" si="64"/>
        <v>0</v>
      </c>
      <c r="R190" s="320">
        <f t="shared" si="65"/>
        <v>0</v>
      </c>
      <c r="S190" s="320">
        <f t="shared" si="66"/>
        <v>0</v>
      </c>
      <c r="T190" s="320">
        <f t="shared" si="67"/>
        <v>0</v>
      </c>
      <c r="U190" s="320">
        <f t="shared" si="68"/>
        <v>0</v>
      </c>
      <c r="V190" s="320">
        <f t="shared" si="69"/>
        <v>0</v>
      </c>
      <c r="W190" s="320">
        <f t="shared" si="70"/>
        <v>0</v>
      </c>
      <c r="X190" s="320">
        <f t="shared" si="71"/>
        <v>0</v>
      </c>
      <c r="Y190" s="320">
        <f t="shared" si="72"/>
        <v>0</v>
      </c>
      <c r="Z190" s="320">
        <f t="shared" si="73"/>
        <v>0</v>
      </c>
      <c r="AA190" s="320">
        <f t="shared" si="74"/>
        <v>0</v>
      </c>
      <c r="AB190" s="320">
        <f t="shared" si="75"/>
        <v>0</v>
      </c>
      <c r="AC190" s="320">
        <f t="shared" si="76"/>
        <v>0</v>
      </c>
      <c r="AD190" s="320">
        <f t="shared" si="77"/>
        <v>0</v>
      </c>
      <c r="AE190" s="320">
        <f t="shared" si="78"/>
        <v>0</v>
      </c>
      <c r="AF190" s="320">
        <f t="shared" si="79"/>
        <v>0</v>
      </c>
      <c r="AG190" s="320">
        <f t="shared" si="80"/>
        <v>0</v>
      </c>
      <c r="AH190" s="320">
        <f t="shared" si="81"/>
        <v>0</v>
      </c>
      <c r="AI190" s="320">
        <f t="shared" si="82"/>
        <v>0</v>
      </c>
      <c r="AJ190" s="320">
        <f t="shared" si="83"/>
        <v>0</v>
      </c>
      <c r="AK190" s="320">
        <f t="shared" si="84"/>
        <v>0</v>
      </c>
      <c r="AL190" s="320">
        <f t="shared" si="85"/>
        <v>0</v>
      </c>
      <c r="AM190" s="320">
        <f t="shared" si="86"/>
        <v>0</v>
      </c>
      <c r="AN190" s="320"/>
      <c r="AP190" s="266" t="s">
        <v>106</v>
      </c>
      <c r="AQ190" s="580">
        <v>0</v>
      </c>
      <c r="AR190" s="580">
        <v>0</v>
      </c>
      <c r="AS190" s="580">
        <v>0</v>
      </c>
      <c r="AT190" s="580">
        <v>0</v>
      </c>
      <c r="AU190" s="580">
        <v>0</v>
      </c>
      <c r="AV190" s="580">
        <v>0</v>
      </c>
      <c r="AW190" s="580">
        <v>0</v>
      </c>
      <c r="AX190" s="580">
        <v>0</v>
      </c>
      <c r="AY190" s="580">
        <v>0</v>
      </c>
      <c r="AZ190" s="580">
        <v>0</v>
      </c>
      <c r="BA190" s="580">
        <v>0</v>
      </c>
      <c r="BB190" s="580">
        <v>0</v>
      </c>
      <c r="BC190" s="580">
        <v>0.33333333333300003</v>
      </c>
      <c r="BD190" s="580">
        <v>0.33333333333300003</v>
      </c>
      <c r="BE190" s="580">
        <v>0.33333333333300003</v>
      </c>
      <c r="BF190" s="580">
        <v>0</v>
      </c>
      <c r="BG190" s="580">
        <v>0</v>
      </c>
      <c r="BH190" s="580">
        <v>0</v>
      </c>
      <c r="BI190" s="580">
        <v>0</v>
      </c>
      <c r="BJ190" s="580">
        <v>0</v>
      </c>
      <c r="BK190" s="580">
        <v>0</v>
      </c>
      <c r="BL190" s="580">
        <v>0</v>
      </c>
      <c r="BM190" s="580">
        <v>0</v>
      </c>
      <c r="BN190" s="580">
        <v>0</v>
      </c>
      <c r="BO190" s="580">
        <v>0</v>
      </c>
      <c r="BP190" s="580">
        <v>0</v>
      </c>
      <c r="BQ190" s="580">
        <v>0</v>
      </c>
      <c r="BR190" s="580">
        <v>0</v>
      </c>
      <c r="BS190" s="580">
        <v>0</v>
      </c>
      <c r="BT190" s="580">
        <v>0</v>
      </c>
      <c r="BU190" s="580">
        <v>0</v>
      </c>
      <c r="BV190" s="580">
        <v>0</v>
      </c>
      <c r="BW190" s="580">
        <v>0</v>
      </c>
      <c r="BX190" s="580">
        <v>0</v>
      </c>
      <c r="BY190" s="580">
        <v>0</v>
      </c>
      <c r="CI190" s="325"/>
    </row>
    <row r="191" spans="2:89" ht="10.15" customHeight="1">
      <c r="B191" s="324" t="s">
        <v>107</v>
      </c>
      <c r="D191" s="320">
        <f t="shared" si="87"/>
        <v>0</v>
      </c>
      <c r="E191" s="320">
        <f t="shared" si="52"/>
        <v>0</v>
      </c>
      <c r="F191" s="320">
        <f t="shared" si="53"/>
        <v>0</v>
      </c>
      <c r="G191" s="320">
        <f t="shared" si="54"/>
        <v>0</v>
      </c>
      <c r="H191" s="320">
        <f t="shared" si="55"/>
        <v>0</v>
      </c>
      <c r="I191" s="320">
        <f t="shared" si="56"/>
        <v>0</v>
      </c>
      <c r="J191" s="320">
        <f t="shared" si="57"/>
        <v>0</v>
      </c>
      <c r="K191" s="320">
        <f t="shared" si="58"/>
        <v>0</v>
      </c>
      <c r="L191" s="320">
        <f t="shared" si="59"/>
        <v>0</v>
      </c>
      <c r="M191" s="320">
        <f t="shared" si="60"/>
        <v>0</v>
      </c>
      <c r="N191" s="320">
        <f t="shared" si="61"/>
        <v>0</v>
      </c>
      <c r="O191" s="320">
        <f t="shared" si="62"/>
        <v>0</v>
      </c>
      <c r="P191" s="320">
        <f t="shared" si="63"/>
        <v>0</v>
      </c>
      <c r="Q191" s="320">
        <f t="shared" si="64"/>
        <v>0</v>
      </c>
      <c r="R191" s="320">
        <f t="shared" si="65"/>
        <v>0</v>
      </c>
      <c r="S191" s="320">
        <f t="shared" si="66"/>
        <v>0</v>
      </c>
      <c r="T191" s="320">
        <f t="shared" si="67"/>
        <v>0</v>
      </c>
      <c r="U191" s="320">
        <f t="shared" si="68"/>
        <v>0</v>
      </c>
      <c r="V191" s="320">
        <f t="shared" si="69"/>
        <v>0</v>
      </c>
      <c r="W191" s="320">
        <f t="shared" si="70"/>
        <v>0</v>
      </c>
      <c r="X191" s="320">
        <f t="shared" si="71"/>
        <v>0</v>
      </c>
      <c r="Y191" s="320">
        <f t="shared" si="72"/>
        <v>0</v>
      </c>
      <c r="Z191" s="320">
        <f t="shared" si="73"/>
        <v>0</v>
      </c>
      <c r="AA191" s="320">
        <f t="shared" si="74"/>
        <v>0</v>
      </c>
      <c r="AB191" s="320">
        <f t="shared" si="75"/>
        <v>0</v>
      </c>
      <c r="AC191" s="320">
        <f t="shared" si="76"/>
        <v>0</v>
      </c>
      <c r="AD191" s="320">
        <f t="shared" si="77"/>
        <v>0</v>
      </c>
      <c r="AE191" s="320">
        <f t="shared" si="78"/>
        <v>0</v>
      </c>
      <c r="AF191" s="320">
        <f t="shared" si="79"/>
        <v>0</v>
      </c>
      <c r="AG191" s="320">
        <f t="shared" si="80"/>
        <v>0</v>
      </c>
      <c r="AH191" s="320">
        <f t="shared" si="81"/>
        <v>0</v>
      </c>
      <c r="AI191" s="320">
        <f t="shared" si="82"/>
        <v>0</v>
      </c>
      <c r="AJ191" s="320">
        <f t="shared" si="83"/>
        <v>0</v>
      </c>
      <c r="AK191" s="320">
        <f t="shared" si="84"/>
        <v>0</v>
      </c>
      <c r="AL191" s="320">
        <f t="shared" si="85"/>
        <v>0</v>
      </c>
      <c r="AM191" s="320">
        <f t="shared" si="86"/>
        <v>0</v>
      </c>
      <c r="AN191" s="320"/>
      <c r="AP191" s="266" t="s">
        <v>107</v>
      </c>
      <c r="AQ191" s="580">
        <v>0</v>
      </c>
      <c r="AR191" s="580">
        <v>0</v>
      </c>
      <c r="AS191" s="580">
        <v>0</v>
      </c>
      <c r="AT191" s="580">
        <v>0</v>
      </c>
      <c r="AU191" s="580">
        <v>0</v>
      </c>
      <c r="AV191" s="580">
        <v>0</v>
      </c>
      <c r="AW191" s="580">
        <v>0</v>
      </c>
      <c r="AX191" s="580">
        <v>0</v>
      </c>
      <c r="AY191" s="580">
        <v>0</v>
      </c>
      <c r="AZ191" s="580">
        <v>0</v>
      </c>
      <c r="BA191" s="580">
        <v>0</v>
      </c>
      <c r="BB191" s="580">
        <v>0</v>
      </c>
      <c r="BC191" s="580">
        <v>0</v>
      </c>
      <c r="BD191" s="580">
        <v>0.33333333333300003</v>
      </c>
      <c r="BE191" s="580">
        <v>0.33333333333300003</v>
      </c>
      <c r="BF191" s="580">
        <v>0.33333333333300003</v>
      </c>
      <c r="BG191" s="580">
        <v>0</v>
      </c>
      <c r="BH191" s="580">
        <v>0</v>
      </c>
      <c r="BI191" s="580">
        <v>0</v>
      </c>
      <c r="BJ191" s="580">
        <v>0</v>
      </c>
      <c r="BK191" s="580">
        <v>0</v>
      </c>
      <c r="BL191" s="580">
        <v>0</v>
      </c>
      <c r="BM191" s="580">
        <v>0</v>
      </c>
      <c r="BN191" s="580">
        <v>0</v>
      </c>
      <c r="BO191" s="580">
        <v>0</v>
      </c>
      <c r="BP191" s="580">
        <v>0</v>
      </c>
      <c r="BQ191" s="580">
        <v>0</v>
      </c>
      <c r="BR191" s="580">
        <v>0</v>
      </c>
      <c r="BS191" s="580">
        <v>0</v>
      </c>
      <c r="BT191" s="580">
        <v>0</v>
      </c>
      <c r="BU191" s="580">
        <v>0</v>
      </c>
      <c r="BV191" s="580">
        <v>0</v>
      </c>
      <c r="BW191" s="580">
        <v>0</v>
      </c>
      <c r="BX191" s="580">
        <v>0</v>
      </c>
      <c r="BY191" s="580">
        <v>0</v>
      </c>
      <c r="CJ191" s="325"/>
    </row>
    <row r="192" spans="2:89" ht="10.15" customHeight="1">
      <c r="B192" s="324" t="s">
        <v>108</v>
      </c>
      <c r="D192" s="320">
        <f t="shared" si="87"/>
        <v>0</v>
      </c>
      <c r="E192" s="320">
        <f t="shared" si="52"/>
        <v>0</v>
      </c>
      <c r="F192" s="320">
        <f t="shared" si="53"/>
        <v>0</v>
      </c>
      <c r="G192" s="320">
        <f t="shared" si="54"/>
        <v>0</v>
      </c>
      <c r="H192" s="320">
        <f t="shared" si="55"/>
        <v>0</v>
      </c>
      <c r="I192" s="320">
        <f t="shared" si="56"/>
        <v>0</v>
      </c>
      <c r="J192" s="320">
        <f t="shared" si="57"/>
        <v>0</v>
      </c>
      <c r="K192" s="320">
        <f t="shared" si="58"/>
        <v>0</v>
      </c>
      <c r="L192" s="320">
        <f t="shared" si="59"/>
        <v>0</v>
      </c>
      <c r="M192" s="320">
        <f t="shared" si="60"/>
        <v>0</v>
      </c>
      <c r="N192" s="320">
        <f t="shared" si="61"/>
        <v>0</v>
      </c>
      <c r="O192" s="320">
        <f t="shared" si="62"/>
        <v>0</v>
      </c>
      <c r="P192" s="320">
        <f t="shared" si="63"/>
        <v>0</v>
      </c>
      <c r="Q192" s="320">
        <f t="shared" si="64"/>
        <v>0</v>
      </c>
      <c r="R192" s="320">
        <f t="shared" si="65"/>
        <v>0</v>
      </c>
      <c r="S192" s="320">
        <f t="shared" si="66"/>
        <v>0</v>
      </c>
      <c r="T192" s="320">
        <f t="shared" si="67"/>
        <v>0</v>
      </c>
      <c r="U192" s="320">
        <f t="shared" si="68"/>
        <v>0</v>
      </c>
      <c r="V192" s="320">
        <f t="shared" si="69"/>
        <v>0</v>
      </c>
      <c r="W192" s="320">
        <f t="shared" si="70"/>
        <v>0</v>
      </c>
      <c r="X192" s="320">
        <f t="shared" si="71"/>
        <v>0</v>
      </c>
      <c r="Y192" s="320">
        <f t="shared" si="72"/>
        <v>0</v>
      </c>
      <c r="Z192" s="320">
        <f t="shared" si="73"/>
        <v>0</v>
      </c>
      <c r="AA192" s="320">
        <f t="shared" si="74"/>
        <v>0</v>
      </c>
      <c r="AB192" s="320">
        <f t="shared" si="75"/>
        <v>0</v>
      </c>
      <c r="AC192" s="320">
        <f t="shared" si="76"/>
        <v>0</v>
      </c>
      <c r="AD192" s="320">
        <f t="shared" si="77"/>
        <v>0</v>
      </c>
      <c r="AE192" s="320">
        <f t="shared" si="78"/>
        <v>0</v>
      </c>
      <c r="AF192" s="320">
        <f t="shared" si="79"/>
        <v>0</v>
      </c>
      <c r="AG192" s="320">
        <f t="shared" si="80"/>
        <v>0</v>
      </c>
      <c r="AH192" s="320">
        <f t="shared" si="81"/>
        <v>0</v>
      </c>
      <c r="AI192" s="320">
        <f t="shared" si="82"/>
        <v>0</v>
      </c>
      <c r="AJ192" s="320">
        <f t="shared" si="83"/>
        <v>0</v>
      </c>
      <c r="AK192" s="320">
        <f t="shared" si="84"/>
        <v>0</v>
      </c>
      <c r="AL192" s="320">
        <f t="shared" si="85"/>
        <v>0</v>
      </c>
      <c r="AM192" s="320">
        <f t="shared" si="86"/>
        <v>0</v>
      </c>
      <c r="AN192" s="320"/>
      <c r="AP192" s="266" t="s">
        <v>108</v>
      </c>
      <c r="AQ192" s="580">
        <v>0</v>
      </c>
      <c r="AR192" s="580">
        <v>0</v>
      </c>
      <c r="AS192" s="580">
        <v>0</v>
      </c>
      <c r="AT192" s="580">
        <v>0</v>
      </c>
      <c r="AU192" s="580">
        <v>0</v>
      </c>
      <c r="AV192" s="580">
        <v>0</v>
      </c>
      <c r="AW192" s="580">
        <v>0</v>
      </c>
      <c r="AX192" s="580">
        <v>0</v>
      </c>
      <c r="AY192" s="580">
        <v>0</v>
      </c>
      <c r="AZ192" s="580">
        <v>0</v>
      </c>
      <c r="BA192" s="580">
        <v>0</v>
      </c>
      <c r="BB192" s="580">
        <v>0</v>
      </c>
      <c r="BC192" s="580">
        <v>0</v>
      </c>
      <c r="BD192" s="580">
        <v>0</v>
      </c>
      <c r="BE192" s="580">
        <v>0.33333333333300003</v>
      </c>
      <c r="BF192" s="580">
        <v>0.33333333333300003</v>
      </c>
      <c r="BG192" s="580">
        <v>0.33333333333300003</v>
      </c>
      <c r="BH192" s="580">
        <v>0</v>
      </c>
      <c r="BI192" s="580">
        <v>0</v>
      </c>
      <c r="BJ192" s="580">
        <v>0</v>
      </c>
      <c r="BK192" s="580">
        <v>0</v>
      </c>
      <c r="BL192" s="580">
        <v>0</v>
      </c>
      <c r="BM192" s="580">
        <v>0</v>
      </c>
      <c r="BN192" s="580">
        <v>0</v>
      </c>
      <c r="BO192" s="580">
        <v>0</v>
      </c>
      <c r="BP192" s="580">
        <v>0</v>
      </c>
      <c r="BQ192" s="580">
        <v>0</v>
      </c>
      <c r="BR192" s="580">
        <v>0</v>
      </c>
      <c r="BS192" s="580">
        <v>0</v>
      </c>
      <c r="BT192" s="580">
        <v>0</v>
      </c>
      <c r="BU192" s="580">
        <v>0</v>
      </c>
      <c r="BV192" s="580">
        <v>0</v>
      </c>
      <c r="BW192" s="580">
        <v>0</v>
      </c>
      <c r="BX192" s="580">
        <v>0</v>
      </c>
      <c r="BY192" s="580">
        <v>0</v>
      </c>
      <c r="CK192" s="325"/>
    </row>
    <row r="193" spans="2:91" ht="14.45" customHeight="1">
      <c r="B193" s="324" t="s">
        <v>109</v>
      </c>
      <c r="D193" s="320">
        <f t="shared" si="87"/>
        <v>0</v>
      </c>
      <c r="E193" s="320">
        <f t="shared" si="52"/>
        <v>0</v>
      </c>
      <c r="F193" s="320">
        <f t="shared" si="53"/>
        <v>0</v>
      </c>
      <c r="G193" s="320">
        <f t="shared" si="54"/>
        <v>0</v>
      </c>
      <c r="H193" s="320">
        <f t="shared" si="55"/>
        <v>0</v>
      </c>
      <c r="I193" s="320">
        <f t="shared" si="56"/>
        <v>0</v>
      </c>
      <c r="J193" s="320">
        <f t="shared" si="57"/>
        <v>0</v>
      </c>
      <c r="K193" s="320">
        <f t="shared" si="58"/>
        <v>0</v>
      </c>
      <c r="L193" s="320">
        <f t="shared" si="59"/>
        <v>0</v>
      </c>
      <c r="M193" s="320">
        <f t="shared" si="60"/>
        <v>0</v>
      </c>
      <c r="N193" s="320">
        <f t="shared" si="61"/>
        <v>0</v>
      </c>
      <c r="O193" s="320">
        <f t="shared" si="62"/>
        <v>0</v>
      </c>
      <c r="P193" s="320">
        <f t="shared" si="63"/>
        <v>0</v>
      </c>
      <c r="Q193" s="320">
        <f t="shared" si="64"/>
        <v>0</v>
      </c>
      <c r="R193" s="320">
        <f t="shared" si="65"/>
        <v>0</v>
      </c>
      <c r="S193" s="320">
        <f t="shared" si="66"/>
        <v>0</v>
      </c>
      <c r="T193" s="320">
        <f t="shared" si="67"/>
        <v>0</v>
      </c>
      <c r="U193" s="320">
        <f t="shared" si="68"/>
        <v>0</v>
      </c>
      <c r="V193" s="320">
        <f t="shared" si="69"/>
        <v>0</v>
      </c>
      <c r="W193" s="320">
        <f t="shared" si="70"/>
        <v>0</v>
      </c>
      <c r="X193" s="320">
        <f t="shared" si="71"/>
        <v>0</v>
      </c>
      <c r="Y193" s="320">
        <f t="shared" si="72"/>
        <v>0</v>
      </c>
      <c r="Z193" s="320">
        <f t="shared" si="73"/>
        <v>0</v>
      </c>
      <c r="AA193" s="320">
        <f t="shared" si="74"/>
        <v>0</v>
      </c>
      <c r="AB193" s="320">
        <f t="shared" si="75"/>
        <v>0</v>
      </c>
      <c r="AC193" s="320">
        <f t="shared" si="76"/>
        <v>0</v>
      </c>
      <c r="AD193" s="320">
        <f t="shared" si="77"/>
        <v>0</v>
      </c>
      <c r="AE193" s="320">
        <f t="shared" si="78"/>
        <v>0</v>
      </c>
      <c r="AF193" s="320">
        <f t="shared" si="79"/>
        <v>0</v>
      </c>
      <c r="AG193" s="320">
        <f t="shared" si="80"/>
        <v>0</v>
      </c>
      <c r="AH193" s="320">
        <f t="shared" si="81"/>
        <v>0</v>
      </c>
      <c r="AI193" s="320">
        <f t="shared" si="82"/>
        <v>0</v>
      </c>
      <c r="AJ193" s="320">
        <f t="shared" si="83"/>
        <v>0</v>
      </c>
      <c r="AK193" s="320">
        <f t="shared" si="84"/>
        <v>0</v>
      </c>
      <c r="AL193" s="320">
        <f t="shared" si="85"/>
        <v>0</v>
      </c>
      <c r="AM193" s="320">
        <f t="shared" si="86"/>
        <v>0</v>
      </c>
      <c r="AN193" s="320"/>
      <c r="AP193" s="266" t="s">
        <v>109</v>
      </c>
      <c r="AQ193" s="580">
        <v>0</v>
      </c>
      <c r="AR193" s="580">
        <v>0</v>
      </c>
      <c r="AS193" s="580">
        <v>0</v>
      </c>
      <c r="AT193" s="580">
        <v>0</v>
      </c>
      <c r="AU193" s="580">
        <v>0</v>
      </c>
      <c r="AV193" s="580">
        <v>0</v>
      </c>
      <c r="AW193" s="580">
        <v>0</v>
      </c>
      <c r="AX193" s="580">
        <v>0</v>
      </c>
      <c r="AY193" s="580">
        <v>0</v>
      </c>
      <c r="AZ193" s="580">
        <v>0</v>
      </c>
      <c r="BA193" s="580">
        <v>0</v>
      </c>
      <c r="BB193" s="580">
        <v>0</v>
      </c>
      <c r="BC193" s="580">
        <v>0</v>
      </c>
      <c r="BD193" s="580">
        <v>0</v>
      </c>
      <c r="BE193" s="580">
        <v>0</v>
      </c>
      <c r="BF193" s="580">
        <v>0.33333333333300003</v>
      </c>
      <c r="BG193" s="580">
        <v>0.33333333333300003</v>
      </c>
      <c r="BH193" s="580">
        <v>0.33333333333300003</v>
      </c>
      <c r="BI193" s="580">
        <v>0</v>
      </c>
      <c r="BJ193" s="580">
        <v>0</v>
      </c>
      <c r="BK193" s="580">
        <v>0</v>
      </c>
      <c r="BL193" s="580">
        <v>0</v>
      </c>
      <c r="BM193" s="580">
        <v>0</v>
      </c>
      <c r="BN193" s="580">
        <v>0</v>
      </c>
      <c r="BO193" s="580">
        <v>0</v>
      </c>
      <c r="BP193" s="580">
        <v>0</v>
      </c>
      <c r="BQ193" s="580">
        <v>0</v>
      </c>
      <c r="BR193" s="580">
        <v>0</v>
      </c>
      <c r="BS193" s="580">
        <v>0</v>
      </c>
      <c r="BT193" s="580">
        <v>0</v>
      </c>
      <c r="BU193" s="580">
        <v>0</v>
      </c>
      <c r="BV193" s="580">
        <v>0</v>
      </c>
      <c r="BW193" s="580">
        <v>0</v>
      </c>
      <c r="BX193" s="580">
        <v>0</v>
      </c>
      <c r="BY193" s="580">
        <v>0</v>
      </c>
      <c r="CL193" s="325"/>
    </row>
    <row r="194" spans="2:91" ht="14.45" customHeight="1">
      <c r="B194" s="324" t="s">
        <v>110</v>
      </c>
      <c r="D194" s="320">
        <f t="shared" si="87"/>
        <v>0</v>
      </c>
      <c r="E194" s="320">
        <f t="shared" si="52"/>
        <v>0</v>
      </c>
      <c r="F194" s="320">
        <f t="shared" si="53"/>
        <v>0</v>
      </c>
      <c r="G194" s="320">
        <f t="shared" si="54"/>
        <v>0</v>
      </c>
      <c r="H194" s="320">
        <f t="shared" si="55"/>
        <v>0</v>
      </c>
      <c r="I194" s="320">
        <f t="shared" si="56"/>
        <v>0</v>
      </c>
      <c r="J194" s="320">
        <f t="shared" si="57"/>
        <v>0</v>
      </c>
      <c r="K194" s="320">
        <f t="shared" si="58"/>
        <v>0</v>
      </c>
      <c r="L194" s="320">
        <f t="shared" si="59"/>
        <v>0</v>
      </c>
      <c r="M194" s="320">
        <f t="shared" si="60"/>
        <v>0</v>
      </c>
      <c r="N194" s="320">
        <f t="shared" si="61"/>
        <v>0</v>
      </c>
      <c r="O194" s="320">
        <f t="shared" si="62"/>
        <v>0</v>
      </c>
      <c r="P194" s="320">
        <f t="shared" si="63"/>
        <v>0</v>
      </c>
      <c r="Q194" s="320">
        <f t="shared" si="64"/>
        <v>0</v>
      </c>
      <c r="R194" s="320">
        <f t="shared" si="65"/>
        <v>0</v>
      </c>
      <c r="S194" s="320">
        <f t="shared" si="66"/>
        <v>0</v>
      </c>
      <c r="T194" s="320">
        <f t="shared" si="67"/>
        <v>0</v>
      </c>
      <c r="U194" s="320">
        <f t="shared" si="68"/>
        <v>0</v>
      </c>
      <c r="V194" s="320">
        <f t="shared" si="69"/>
        <v>0</v>
      </c>
      <c r="W194" s="320">
        <f t="shared" si="70"/>
        <v>0</v>
      </c>
      <c r="X194" s="320">
        <f t="shared" si="71"/>
        <v>0</v>
      </c>
      <c r="Y194" s="320">
        <f t="shared" si="72"/>
        <v>0</v>
      </c>
      <c r="Z194" s="320">
        <f t="shared" si="73"/>
        <v>0</v>
      </c>
      <c r="AA194" s="320">
        <f t="shared" si="74"/>
        <v>0</v>
      </c>
      <c r="AB194" s="320">
        <f t="shared" si="75"/>
        <v>0</v>
      </c>
      <c r="AC194" s="320">
        <f t="shared" si="76"/>
        <v>0</v>
      </c>
      <c r="AD194" s="320">
        <f t="shared" si="77"/>
        <v>0</v>
      </c>
      <c r="AE194" s="320">
        <f t="shared" si="78"/>
        <v>0</v>
      </c>
      <c r="AF194" s="320">
        <f t="shared" si="79"/>
        <v>0</v>
      </c>
      <c r="AG194" s="320">
        <f t="shared" si="80"/>
        <v>0</v>
      </c>
      <c r="AH194" s="320">
        <f t="shared" si="81"/>
        <v>0</v>
      </c>
      <c r="AI194" s="320">
        <f t="shared" si="82"/>
        <v>0</v>
      </c>
      <c r="AJ194" s="320">
        <f t="shared" si="83"/>
        <v>0</v>
      </c>
      <c r="AK194" s="320">
        <f t="shared" si="84"/>
        <v>0</v>
      </c>
      <c r="AL194" s="320">
        <f t="shared" si="85"/>
        <v>0</v>
      </c>
      <c r="AM194" s="320">
        <f t="shared" si="86"/>
        <v>0</v>
      </c>
      <c r="AN194" s="320"/>
      <c r="AP194" s="266" t="s">
        <v>110</v>
      </c>
      <c r="AQ194" s="580">
        <v>0</v>
      </c>
      <c r="AR194" s="580">
        <v>0</v>
      </c>
      <c r="AS194" s="580">
        <v>0</v>
      </c>
      <c r="AT194" s="580">
        <v>0</v>
      </c>
      <c r="AU194" s="580">
        <v>0</v>
      </c>
      <c r="AV194" s="580">
        <v>0</v>
      </c>
      <c r="AW194" s="580">
        <v>0</v>
      </c>
      <c r="AX194" s="580">
        <v>0</v>
      </c>
      <c r="AY194" s="580">
        <v>0</v>
      </c>
      <c r="AZ194" s="580">
        <v>0</v>
      </c>
      <c r="BA194" s="580">
        <v>0</v>
      </c>
      <c r="BB194" s="580">
        <v>0</v>
      </c>
      <c r="BC194" s="580">
        <v>0</v>
      </c>
      <c r="BD194" s="580">
        <v>0</v>
      </c>
      <c r="BE194" s="580">
        <v>0</v>
      </c>
      <c r="BF194" s="580">
        <v>0</v>
      </c>
      <c r="BG194" s="580">
        <v>0.33333333333300003</v>
      </c>
      <c r="BH194" s="580">
        <v>0.33333333333300003</v>
      </c>
      <c r="BI194" s="580">
        <v>0.33333333333300003</v>
      </c>
      <c r="BJ194" s="580">
        <v>0</v>
      </c>
      <c r="BK194" s="580">
        <v>0</v>
      </c>
      <c r="BL194" s="580">
        <v>0</v>
      </c>
      <c r="BM194" s="580">
        <v>0</v>
      </c>
      <c r="BN194" s="580">
        <v>0</v>
      </c>
      <c r="BO194" s="580">
        <v>0</v>
      </c>
      <c r="BP194" s="580">
        <v>0</v>
      </c>
      <c r="BQ194" s="580">
        <v>0</v>
      </c>
      <c r="BR194" s="580">
        <v>0</v>
      </c>
      <c r="BS194" s="580">
        <v>0</v>
      </c>
      <c r="BT194" s="580">
        <v>0</v>
      </c>
      <c r="BU194" s="580">
        <v>0</v>
      </c>
      <c r="BV194" s="580">
        <v>0</v>
      </c>
      <c r="BW194" s="580">
        <v>0</v>
      </c>
      <c r="BX194" s="580">
        <v>0</v>
      </c>
      <c r="BY194" s="580">
        <v>0</v>
      </c>
      <c r="CM194" s="325"/>
    </row>
    <row r="195" spans="2:91" ht="14.45" customHeight="1">
      <c r="B195" s="324" t="s">
        <v>111</v>
      </c>
      <c r="D195" s="320">
        <f t="shared" si="87"/>
        <v>0</v>
      </c>
      <c r="E195" s="320">
        <f t="shared" si="52"/>
        <v>0</v>
      </c>
      <c r="F195" s="320">
        <f t="shared" si="53"/>
        <v>0</v>
      </c>
      <c r="G195" s="320">
        <f t="shared" si="54"/>
        <v>0</v>
      </c>
      <c r="H195" s="320">
        <f t="shared" si="55"/>
        <v>0</v>
      </c>
      <c r="I195" s="320">
        <f t="shared" si="56"/>
        <v>0</v>
      </c>
      <c r="J195" s="320">
        <f t="shared" si="57"/>
        <v>0</v>
      </c>
      <c r="K195" s="320">
        <f t="shared" si="58"/>
        <v>0</v>
      </c>
      <c r="L195" s="320">
        <f t="shared" si="59"/>
        <v>0</v>
      </c>
      <c r="M195" s="320">
        <f t="shared" si="60"/>
        <v>0</v>
      </c>
      <c r="N195" s="320">
        <f t="shared" si="61"/>
        <v>0</v>
      </c>
      <c r="O195" s="320">
        <f t="shared" si="62"/>
        <v>0</v>
      </c>
      <c r="P195" s="320">
        <f t="shared" si="63"/>
        <v>0</v>
      </c>
      <c r="Q195" s="320">
        <f t="shared" si="64"/>
        <v>0</v>
      </c>
      <c r="R195" s="320">
        <f t="shared" si="65"/>
        <v>0</v>
      </c>
      <c r="S195" s="320">
        <f t="shared" si="66"/>
        <v>0</v>
      </c>
      <c r="T195" s="320">
        <f t="shared" si="67"/>
        <v>0</v>
      </c>
      <c r="U195" s="320">
        <f t="shared" si="68"/>
        <v>0</v>
      </c>
      <c r="V195" s="320">
        <f t="shared" si="69"/>
        <v>0</v>
      </c>
      <c r="W195" s="320">
        <f t="shared" si="70"/>
        <v>0</v>
      </c>
      <c r="X195" s="320">
        <f t="shared" si="71"/>
        <v>0</v>
      </c>
      <c r="Y195" s="320">
        <f t="shared" si="72"/>
        <v>0</v>
      </c>
      <c r="Z195" s="320">
        <f t="shared" si="73"/>
        <v>0</v>
      </c>
      <c r="AA195" s="320">
        <f t="shared" si="74"/>
        <v>0</v>
      </c>
      <c r="AB195" s="320">
        <f t="shared" si="75"/>
        <v>0</v>
      </c>
      <c r="AC195" s="320">
        <f t="shared" si="76"/>
        <v>0</v>
      </c>
      <c r="AD195" s="320">
        <f t="shared" si="77"/>
        <v>0</v>
      </c>
      <c r="AE195" s="320">
        <f t="shared" si="78"/>
        <v>0</v>
      </c>
      <c r="AF195" s="320">
        <f t="shared" si="79"/>
        <v>0</v>
      </c>
      <c r="AG195" s="320">
        <f t="shared" si="80"/>
        <v>0</v>
      </c>
      <c r="AH195" s="320">
        <f t="shared" si="81"/>
        <v>0</v>
      </c>
      <c r="AI195" s="320">
        <f t="shared" si="82"/>
        <v>0</v>
      </c>
      <c r="AJ195" s="320">
        <f t="shared" si="83"/>
        <v>0</v>
      </c>
      <c r="AK195" s="320">
        <f t="shared" si="84"/>
        <v>0</v>
      </c>
      <c r="AL195" s="320">
        <f t="shared" si="85"/>
        <v>0</v>
      </c>
      <c r="AM195" s="320">
        <f t="shared" si="86"/>
        <v>0</v>
      </c>
      <c r="AN195" s="320"/>
      <c r="AP195" s="266" t="s">
        <v>111</v>
      </c>
      <c r="AQ195" s="580">
        <v>0</v>
      </c>
      <c r="AR195" s="580">
        <v>0</v>
      </c>
      <c r="AS195" s="580">
        <v>0</v>
      </c>
      <c r="AT195" s="580">
        <v>0</v>
      </c>
      <c r="AU195" s="580">
        <v>0</v>
      </c>
      <c r="AV195" s="580">
        <v>0</v>
      </c>
      <c r="AW195" s="580">
        <v>0</v>
      </c>
      <c r="AX195" s="580">
        <v>0</v>
      </c>
      <c r="AY195" s="580">
        <v>0</v>
      </c>
      <c r="AZ195" s="580">
        <v>0</v>
      </c>
      <c r="BA195" s="580">
        <v>0</v>
      </c>
      <c r="BB195" s="580">
        <v>0</v>
      </c>
      <c r="BC195" s="580">
        <v>0</v>
      </c>
      <c r="BD195" s="580">
        <v>0</v>
      </c>
      <c r="BE195" s="580">
        <v>0</v>
      </c>
      <c r="BF195" s="580">
        <v>0</v>
      </c>
      <c r="BG195" s="580">
        <v>0</v>
      </c>
      <c r="BH195" s="580">
        <v>0.33333333333300003</v>
      </c>
      <c r="BI195" s="580">
        <v>0.33333333333300003</v>
      </c>
      <c r="BJ195" s="580">
        <v>0.33333333333300003</v>
      </c>
      <c r="BK195" s="580">
        <v>0</v>
      </c>
      <c r="BL195" s="580">
        <v>0</v>
      </c>
      <c r="BM195" s="580">
        <v>0</v>
      </c>
      <c r="BN195" s="580">
        <v>0</v>
      </c>
      <c r="BO195" s="580">
        <v>0</v>
      </c>
      <c r="BP195" s="580">
        <v>0</v>
      </c>
      <c r="BQ195" s="580">
        <v>0</v>
      </c>
      <c r="BR195" s="580">
        <v>0</v>
      </c>
      <c r="BS195" s="580">
        <v>0</v>
      </c>
      <c r="BT195" s="580">
        <v>0</v>
      </c>
      <c r="BU195" s="580">
        <v>0</v>
      </c>
      <c r="BV195" s="580">
        <v>0</v>
      </c>
      <c r="BW195" s="580">
        <v>0</v>
      </c>
      <c r="BX195" s="580">
        <v>0</v>
      </c>
      <c r="BY195" s="580">
        <v>0</v>
      </c>
    </row>
    <row r="196" spans="2:91" ht="14.45" customHeight="1">
      <c r="B196" s="324" t="s">
        <v>112</v>
      </c>
      <c r="D196" s="320">
        <f t="shared" si="87"/>
        <v>0</v>
      </c>
      <c r="E196" s="320">
        <f t="shared" si="52"/>
        <v>0</v>
      </c>
      <c r="F196" s="320">
        <f t="shared" si="53"/>
        <v>0</v>
      </c>
      <c r="G196" s="320">
        <f t="shared" si="54"/>
        <v>0</v>
      </c>
      <c r="H196" s="320">
        <f t="shared" si="55"/>
        <v>0</v>
      </c>
      <c r="I196" s="320">
        <f t="shared" si="56"/>
        <v>0</v>
      </c>
      <c r="J196" s="320">
        <f t="shared" si="57"/>
        <v>0</v>
      </c>
      <c r="K196" s="320">
        <f t="shared" si="58"/>
        <v>0</v>
      </c>
      <c r="L196" s="320">
        <f t="shared" si="59"/>
        <v>0</v>
      </c>
      <c r="M196" s="320">
        <f t="shared" si="60"/>
        <v>0</v>
      </c>
      <c r="N196" s="320">
        <f t="shared" si="61"/>
        <v>0</v>
      </c>
      <c r="O196" s="320">
        <f t="shared" si="62"/>
        <v>0</v>
      </c>
      <c r="P196" s="320">
        <f t="shared" si="63"/>
        <v>0</v>
      </c>
      <c r="Q196" s="320">
        <f t="shared" si="64"/>
        <v>0</v>
      </c>
      <c r="R196" s="320">
        <f t="shared" si="65"/>
        <v>0</v>
      </c>
      <c r="S196" s="320">
        <f t="shared" si="66"/>
        <v>0</v>
      </c>
      <c r="T196" s="320">
        <f t="shared" si="67"/>
        <v>0</v>
      </c>
      <c r="U196" s="320">
        <f t="shared" si="68"/>
        <v>0</v>
      </c>
      <c r="V196" s="320">
        <f t="shared" si="69"/>
        <v>0</v>
      </c>
      <c r="W196" s="320">
        <f t="shared" si="70"/>
        <v>0</v>
      </c>
      <c r="X196" s="320">
        <f t="shared" si="71"/>
        <v>0</v>
      </c>
      <c r="Y196" s="320">
        <f t="shared" si="72"/>
        <v>0</v>
      </c>
      <c r="Z196" s="320">
        <f t="shared" si="73"/>
        <v>0</v>
      </c>
      <c r="AA196" s="320">
        <f t="shared" si="74"/>
        <v>0</v>
      </c>
      <c r="AB196" s="320">
        <f t="shared" si="75"/>
        <v>0</v>
      </c>
      <c r="AC196" s="320">
        <f t="shared" si="76"/>
        <v>0</v>
      </c>
      <c r="AD196" s="320">
        <f t="shared" si="77"/>
        <v>0</v>
      </c>
      <c r="AE196" s="320">
        <f t="shared" si="78"/>
        <v>0</v>
      </c>
      <c r="AF196" s="320">
        <f t="shared" si="79"/>
        <v>0</v>
      </c>
      <c r="AG196" s="320">
        <f t="shared" si="80"/>
        <v>0</v>
      </c>
      <c r="AH196" s="320">
        <f t="shared" si="81"/>
        <v>0</v>
      </c>
      <c r="AI196" s="320">
        <f t="shared" si="82"/>
        <v>0</v>
      </c>
      <c r="AJ196" s="320">
        <f t="shared" si="83"/>
        <v>0</v>
      </c>
      <c r="AK196" s="320">
        <f t="shared" si="84"/>
        <v>0</v>
      </c>
      <c r="AL196" s="320">
        <f t="shared" si="85"/>
        <v>0</v>
      </c>
      <c r="AM196" s="320">
        <f t="shared" si="86"/>
        <v>0</v>
      </c>
      <c r="AN196" s="320"/>
      <c r="AP196" s="266" t="s">
        <v>112</v>
      </c>
      <c r="AQ196" s="580">
        <v>0</v>
      </c>
      <c r="AR196" s="580">
        <v>0</v>
      </c>
      <c r="AS196" s="580">
        <v>0</v>
      </c>
      <c r="AT196" s="580">
        <v>0</v>
      </c>
      <c r="AU196" s="580">
        <v>0</v>
      </c>
      <c r="AV196" s="580">
        <v>0</v>
      </c>
      <c r="AW196" s="580">
        <v>0</v>
      </c>
      <c r="AX196" s="580">
        <v>0</v>
      </c>
      <c r="AY196" s="580">
        <v>0</v>
      </c>
      <c r="AZ196" s="580">
        <v>0</v>
      </c>
      <c r="BA196" s="580">
        <v>0</v>
      </c>
      <c r="BB196" s="580">
        <v>0</v>
      </c>
      <c r="BC196" s="580">
        <v>0</v>
      </c>
      <c r="BD196" s="580">
        <v>0</v>
      </c>
      <c r="BE196" s="580">
        <v>0</v>
      </c>
      <c r="BF196" s="580">
        <v>0</v>
      </c>
      <c r="BG196" s="580">
        <v>0</v>
      </c>
      <c r="BH196" s="580">
        <v>0</v>
      </c>
      <c r="BI196" s="580">
        <v>0.33333333333300003</v>
      </c>
      <c r="BJ196" s="580">
        <v>0.33333333333300003</v>
      </c>
      <c r="BK196" s="580">
        <v>0.33333333333300003</v>
      </c>
      <c r="BL196" s="580">
        <v>0</v>
      </c>
      <c r="BM196" s="580">
        <v>0</v>
      </c>
      <c r="BN196" s="580">
        <v>0</v>
      </c>
      <c r="BO196" s="580">
        <v>0</v>
      </c>
      <c r="BP196" s="580">
        <v>0</v>
      </c>
      <c r="BQ196" s="580">
        <v>0</v>
      </c>
      <c r="BR196" s="580">
        <v>0</v>
      </c>
      <c r="BS196" s="580">
        <v>0</v>
      </c>
      <c r="BT196" s="580">
        <v>0</v>
      </c>
      <c r="BU196" s="580">
        <v>0</v>
      </c>
      <c r="BV196" s="580">
        <v>0</v>
      </c>
      <c r="BW196" s="580">
        <v>0</v>
      </c>
      <c r="BX196" s="580">
        <v>0</v>
      </c>
      <c r="BY196" s="580">
        <v>0</v>
      </c>
    </row>
    <row r="197" spans="2:91" ht="14.45" customHeight="1">
      <c r="B197" s="324" t="s">
        <v>113</v>
      </c>
      <c r="D197" s="320">
        <f t="shared" si="87"/>
        <v>0</v>
      </c>
      <c r="E197" s="320">
        <f t="shared" si="52"/>
        <v>0</v>
      </c>
      <c r="F197" s="320">
        <f t="shared" si="53"/>
        <v>0</v>
      </c>
      <c r="G197" s="320">
        <f t="shared" si="54"/>
        <v>0</v>
      </c>
      <c r="H197" s="320">
        <f t="shared" si="55"/>
        <v>0</v>
      </c>
      <c r="I197" s="320">
        <f t="shared" si="56"/>
        <v>0</v>
      </c>
      <c r="J197" s="320">
        <f t="shared" si="57"/>
        <v>0</v>
      </c>
      <c r="K197" s="320">
        <f t="shared" si="58"/>
        <v>0</v>
      </c>
      <c r="L197" s="320">
        <f t="shared" si="59"/>
        <v>0</v>
      </c>
      <c r="M197" s="320">
        <f t="shared" si="60"/>
        <v>0</v>
      </c>
      <c r="N197" s="320">
        <f t="shared" si="61"/>
        <v>0</v>
      </c>
      <c r="O197" s="320">
        <f t="shared" si="62"/>
        <v>0</v>
      </c>
      <c r="P197" s="320">
        <f t="shared" si="63"/>
        <v>0</v>
      </c>
      <c r="Q197" s="320">
        <f t="shared" si="64"/>
        <v>0</v>
      </c>
      <c r="R197" s="320">
        <f t="shared" si="65"/>
        <v>0</v>
      </c>
      <c r="S197" s="320">
        <f t="shared" si="66"/>
        <v>0</v>
      </c>
      <c r="T197" s="320">
        <f t="shared" si="67"/>
        <v>0</v>
      </c>
      <c r="U197" s="320">
        <f t="shared" si="68"/>
        <v>0</v>
      </c>
      <c r="V197" s="320">
        <f t="shared" si="69"/>
        <v>0</v>
      </c>
      <c r="W197" s="320">
        <f t="shared" si="70"/>
        <v>0</v>
      </c>
      <c r="X197" s="320">
        <f t="shared" si="71"/>
        <v>0</v>
      </c>
      <c r="Y197" s="320">
        <f t="shared" si="72"/>
        <v>0</v>
      </c>
      <c r="Z197" s="320">
        <f t="shared" si="73"/>
        <v>0</v>
      </c>
      <c r="AA197" s="320">
        <f t="shared" si="74"/>
        <v>0</v>
      </c>
      <c r="AB197" s="320">
        <f t="shared" si="75"/>
        <v>0</v>
      </c>
      <c r="AC197" s="320">
        <f t="shared" si="76"/>
        <v>0</v>
      </c>
      <c r="AD197" s="320">
        <f t="shared" si="77"/>
        <v>0</v>
      </c>
      <c r="AE197" s="320">
        <f t="shared" si="78"/>
        <v>0</v>
      </c>
      <c r="AF197" s="320">
        <f t="shared" si="79"/>
        <v>0</v>
      </c>
      <c r="AG197" s="320">
        <f t="shared" si="80"/>
        <v>0</v>
      </c>
      <c r="AH197" s="320">
        <f t="shared" si="81"/>
        <v>0</v>
      </c>
      <c r="AI197" s="320">
        <f t="shared" si="82"/>
        <v>0</v>
      </c>
      <c r="AJ197" s="320">
        <f t="shared" si="83"/>
        <v>0</v>
      </c>
      <c r="AK197" s="320">
        <f t="shared" si="84"/>
        <v>0</v>
      </c>
      <c r="AL197" s="320">
        <f t="shared" si="85"/>
        <v>0</v>
      </c>
      <c r="AM197" s="320">
        <f t="shared" si="86"/>
        <v>0</v>
      </c>
      <c r="AN197" s="320"/>
      <c r="AP197" s="266" t="s">
        <v>113</v>
      </c>
      <c r="AQ197" s="580">
        <v>0</v>
      </c>
      <c r="AR197" s="580">
        <v>0</v>
      </c>
      <c r="AS197" s="580">
        <v>0</v>
      </c>
      <c r="AT197" s="580">
        <v>0</v>
      </c>
      <c r="AU197" s="580">
        <v>0</v>
      </c>
      <c r="AV197" s="580">
        <v>0</v>
      </c>
      <c r="AW197" s="580">
        <v>0</v>
      </c>
      <c r="AX197" s="580">
        <v>0</v>
      </c>
      <c r="AY197" s="580">
        <v>0</v>
      </c>
      <c r="AZ197" s="580">
        <v>0</v>
      </c>
      <c r="BA197" s="580">
        <v>0</v>
      </c>
      <c r="BB197" s="580">
        <v>0</v>
      </c>
      <c r="BC197" s="580">
        <v>0</v>
      </c>
      <c r="BD197" s="580">
        <v>0</v>
      </c>
      <c r="BE197" s="580">
        <v>0</v>
      </c>
      <c r="BF197" s="580">
        <v>0</v>
      </c>
      <c r="BG197" s="580">
        <v>0</v>
      </c>
      <c r="BH197" s="580">
        <v>0</v>
      </c>
      <c r="BI197" s="580">
        <v>0</v>
      </c>
      <c r="BJ197" s="580">
        <v>0.33333333333300003</v>
      </c>
      <c r="BK197" s="580">
        <v>0.33333333333300003</v>
      </c>
      <c r="BL197" s="580">
        <v>0.33333333333300003</v>
      </c>
      <c r="BM197" s="580">
        <v>0</v>
      </c>
      <c r="BN197" s="580">
        <v>0</v>
      </c>
      <c r="BO197" s="580">
        <v>0</v>
      </c>
      <c r="BP197" s="580">
        <v>0</v>
      </c>
      <c r="BQ197" s="580">
        <v>0</v>
      </c>
      <c r="BR197" s="580">
        <v>0</v>
      </c>
      <c r="BS197" s="580">
        <v>0</v>
      </c>
      <c r="BT197" s="580">
        <v>0</v>
      </c>
      <c r="BU197" s="580">
        <v>0</v>
      </c>
      <c r="BV197" s="580">
        <v>0</v>
      </c>
      <c r="BW197" s="580">
        <v>0</v>
      </c>
      <c r="BX197" s="580">
        <v>0</v>
      </c>
      <c r="BY197" s="580">
        <v>0</v>
      </c>
    </row>
    <row r="198" spans="2:91" ht="14.45" customHeight="1">
      <c r="B198" s="324" t="s">
        <v>114</v>
      </c>
      <c r="D198" s="320">
        <f t="shared" si="87"/>
        <v>0</v>
      </c>
      <c r="E198" s="320">
        <f t="shared" si="52"/>
        <v>0</v>
      </c>
      <c r="F198" s="320">
        <f t="shared" si="53"/>
        <v>0</v>
      </c>
      <c r="G198" s="320">
        <f t="shared" si="54"/>
        <v>0</v>
      </c>
      <c r="H198" s="320">
        <f t="shared" si="55"/>
        <v>0</v>
      </c>
      <c r="I198" s="320">
        <f t="shared" si="56"/>
        <v>0</v>
      </c>
      <c r="J198" s="320">
        <f t="shared" si="57"/>
        <v>0</v>
      </c>
      <c r="K198" s="320">
        <f t="shared" si="58"/>
        <v>0</v>
      </c>
      <c r="L198" s="320">
        <f t="shared" si="59"/>
        <v>0</v>
      </c>
      <c r="M198" s="320">
        <f t="shared" si="60"/>
        <v>0</v>
      </c>
      <c r="N198" s="320">
        <f t="shared" si="61"/>
        <v>0</v>
      </c>
      <c r="O198" s="320">
        <f t="shared" si="62"/>
        <v>0</v>
      </c>
      <c r="P198" s="320">
        <f t="shared" si="63"/>
        <v>0</v>
      </c>
      <c r="Q198" s="320">
        <f t="shared" si="64"/>
        <v>0</v>
      </c>
      <c r="R198" s="320">
        <f t="shared" si="65"/>
        <v>0</v>
      </c>
      <c r="S198" s="320">
        <f t="shared" si="66"/>
        <v>0</v>
      </c>
      <c r="T198" s="320">
        <f t="shared" si="67"/>
        <v>0</v>
      </c>
      <c r="U198" s="320">
        <f t="shared" si="68"/>
        <v>0</v>
      </c>
      <c r="V198" s="320">
        <f t="shared" si="69"/>
        <v>0</v>
      </c>
      <c r="W198" s="320">
        <f t="shared" si="70"/>
        <v>0</v>
      </c>
      <c r="X198" s="320">
        <f t="shared" si="71"/>
        <v>0</v>
      </c>
      <c r="Y198" s="320">
        <f t="shared" si="72"/>
        <v>0</v>
      </c>
      <c r="Z198" s="320">
        <f t="shared" si="73"/>
        <v>0</v>
      </c>
      <c r="AA198" s="320">
        <f t="shared" si="74"/>
        <v>0</v>
      </c>
      <c r="AB198" s="320">
        <f t="shared" si="75"/>
        <v>0</v>
      </c>
      <c r="AC198" s="320">
        <f t="shared" si="76"/>
        <v>0</v>
      </c>
      <c r="AD198" s="320">
        <f t="shared" si="77"/>
        <v>0</v>
      </c>
      <c r="AE198" s="320">
        <f t="shared" si="78"/>
        <v>0</v>
      </c>
      <c r="AF198" s="320">
        <f t="shared" si="79"/>
        <v>0</v>
      </c>
      <c r="AG198" s="320">
        <f t="shared" si="80"/>
        <v>0</v>
      </c>
      <c r="AH198" s="320">
        <f t="shared" si="81"/>
        <v>0</v>
      </c>
      <c r="AI198" s="320">
        <f t="shared" si="82"/>
        <v>0</v>
      </c>
      <c r="AJ198" s="320">
        <f t="shared" si="83"/>
        <v>0</v>
      </c>
      <c r="AK198" s="320">
        <f t="shared" si="84"/>
        <v>0</v>
      </c>
      <c r="AL198" s="320">
        <f t="shared" si="85"/>
        <v>0</v>
      </c>
      <c r="AM198" s="320">
        <f t="shared" si="86"/>
        <v>0</v>
      </c>
      <c r="AN198" s="320"/>
      <c r="AP198" s="266" t="s">
        <v>114</v>
      </c>
      <c r="AQ198" s="580">
        <v>0</v>
      </c>
      <c r="AR198" s="580">
        <v>0</v>
      </c>
      <c r="AS198" s="580">
        <v>0</v>
      </c>
      <c r="AT198" s="580">
        <v>0</v>
      </c>
      <c r="AU198" s="580">
        <v>0</v>
      </c>
      <c r="AV198" s="580">
        <v>0</v>
      </c>
      <c r="AW198" s="580">
        <v>0</v>
      </c>
      <c r="AX198" s="580">
        <v>0</v>
      </c>
      <c r="AY198" s="580">
        <v>0</v>
      </c>
      <c r="AZ198" s="580">
        <v>0</v>
      </c>
      <c r="BA198" s="580">
        <v>0</v>
      </c>
      <c r="BB198" s="580">
        <v>0</v>
      </c>
      <c r="BC198" s="580">
        <v>0</v>
      </c>
      <c r="BD198" s="580">
        <v>0</v>
      </c>
      <c r="BE198" s="580">
        <v>0</v>
      </c>
      <c r="BF198" s="580">
        <v>0</v>
      </c>
      <c r="BG198" s="580">
        <v>0</v>
      </c>
      <c r="BH198" s="580">
        <v>0</v>
      </c>
      <c r="BI198" s="580">
        <v>0</v>
      </c>
      <c r="BJ198" s="580">
        <v>0</v>
      </c>
      <c r="BK198" s="580">
        <v>0.33333333333300003</v>
      </c>
      <c r="BL198" s="580">
        <v>0.33333333333300003</v>
      </c>
      <c r="BM198" s="580">
        <v>0.33333333333300003</v>
      </c>
      <c r="BN198" s="580">
        <v>0</v>
      </c>
      <c r="BO198" s="580">
        <v>0</v>
      </c>
      <c r="BP198" s="580">
        <v>0</v>
      </c>
      <c r="BQ198" s="580">
        <v>0</v>
      </c>
      <c r="BR198" s="580">
        <v>0</v>
      </c>
      <c r="BS198" s="580">
        <v>0</v>
      </c>
      <c r="BT198" s="580">
        <v>0</v>
      </c>
      <c r="BU198" s="580">
        <v>0</v>
      </c>
      <c r="BV198" s="580">
        <v>0</v>
      </c>
      <c r="BW198" s="580">
        <v>0</v>
      </c>
      <c r="BX198" s="580">
        <v>0</v>
      </c>
      <c r="BY198" s="580">
        <v>0</v>
      </c>
    </row>
    <row r="199" spans="2:91" ht="14.45" customHeight="1">
      <c r="B199" s="324" t="s">
        <v>115</v>
      </c>
      <c r="D199" s="320">
        <f t="shared" si="87"/>
        <v>0</v>
      </c>
      <c r="E199" s="320">
        <f t="shared" si="52"/>
        <v>0</v>
      </c>
      <c r="F199" s="320">
        <f t="shared" si="53"/>
        <v>0</v>
      </c>
      <c r="G199" s="320">
        <f t="shared" si="54"/>
        <v>0</v>
      </c>
      <c r="H199" s="320">
        <f t="shared" si="55"/>
        <v>0</v>
      </c>
      <c r="I199" s="320">
        <f t="shared" si="56"/>
        <v>0</v>
      </c>
      <c r="J199" s="320">
        <f t="shared" si="57"/>
        <v>0</v>
      </c>
      <c r="K199" s="320">
        <f t="shared" si="58"/>
        <v>0</v>
      </c>
      <c r="L199" s="320">
        <f t="shared" si="59"/>
        <v>0</v>
      </c>
      <c r="M199" s="320">
        <f t="shared" si="60"/>
        <v>0</v>
      </c>
      <c r="N199" s="320">
        <f t="shared" si="61"/>
        <v>0</v>
      </c>
      <c r="O199" s="320">
        <f t="shared" si="62"/>
        <v>0</v>
      </c>
      <c r="P199" s="320">
        <f t="shared" si="63"/>
        <v>0</v>
      </c>
      <c r="Q199" s="320">
        <f t="shared" si="64"/>
        <v>0</v>
      </c>
      <c r="R199" s="320">
        <f t="shared" si="65"/>
        <v>0</v>
      </c>
      <c r="S199" s="320">
        <f t="shared" si="66"/>
        <v>0</v>
      </c>
      <c r="T199" s="320">
        <f t="shared" si="67"/>
        <v>0</v>
      </c>
      <c r="U199" s="320">
        <f t="shared" si="68"/>
        <v>0</v>
      </c>
      <c r="V199" s="320">
        <f t="shared" si="69"/>
        <v>0</v>
      </c>
      <c r="W199" s="320">
        <f t="shared" si="70"/>
        <v>0</v>
      </c>
      <c r="X199" s="320">
        <f t="shared" si="71"/>
        <v>0</v>
      </c>
      <c r="Y199" s="320">
        <f t="shared" si="72"/>
        <v>0</v>
      </c>
      <c r="Z199" s="320">
        <f t="shared" si="73"/>
        <v>0</v>
      </c>
      <c r="AA199" s="320">
        <f t="shared" si="74"/>
        <v>0</v>
      </c>
      <c r="AB199" s="320">
        <f t="shared" si="75"/>
        <v>0</v>
      </c>
      <c r="AC199" s="320">
        <f t="shared" si="76"/>
        <v>0</v>
      </c>
      <c r="AD199" s="320">
        <f t="shared" si="77"/>
        <v>0</v>
      </c>
      <c r="AE199" s="320">
        <f t="shared" si="78"/>
        <v>0</v>
      </c>
      <c r="AF199" s="320">
        <f t="shared" si="79"/>
        <v>0</v>
      </c>
      <c r="AG199" s="320">
        <f t="shared" si="80"/>
        <v>0</v>
      </c>
      <c r="AH199" s="320">
        <f t="shared" si="81"/>
        <v>0</v>
      </c>
      <c r="AI199" s="320">
        <f t="shared" si="82"/>
        <v>0</v>
      </c>
      <c r="AJ199" s="320">
        <f t="shared" si="83"/>
        <v>0</v>
      </c>
      <c r="AK199" s="320">
        <f t="shared" si="84"/>
        <v>0</v>
      </c>
      <c r="AL199" s="320">
        <f t="shared" si="85"/>
        <v>0</v>
      </c>
      <c r="AM199" s="320">
        <f t="shared" si="86"/>
        <v>0</v>
      </c>
      <c r="AN199" s="320"/>
      <c r="AP199" s="266" t="s">
        <v>115</v>
      </c>
      <c r="AQ199" s="580">
        <v>0</v>
      </c>
      <c r="AR199" s="580">
        <v>0</v>
      </c>
      <c r="AS199" s="580">
        <v>0</v>
      </c>
      <c r="AT199" s="580">
        <v>0</v>
      </c>
      <c r="AU199" s="580">
        <v>0</v>
      </c>
      <c r="AV199" s="580">
        <v>0</v>
      </c>
      <c r="AW199" s="580">
        <v>0</v>
      </c>
      <c r="AX199" s="580">
        <v>0</v>
      </c>
      <c r="AY199" s="580">
        <v>0</v>
      </c>
      <c r="AZ199" s="580">
        <v>0</v>
      </c>
      <c r="BA199" s="580">
        <v>0</v>
      </c>
      <c r="BB199" s="580">
        <v>0</v>
      </c>
      <c r="BC199" s="580">
        <v>0</v>
      </c>
      <c r="BD199" s="580">
        <v>0</v>
      </c>
      <c r="BE199" s="580">
        <v>0</v>
      </c>
      <c r="BF199" s="580">
        <v>0</v>
      </c>
      <c r="BG199" s="580">
        <v>0</v>
      </c>
      <c r="BH199" s="580">
        <v>0</v>
      </c>
      <c r="BI199" s="580">
        <v>0</v>
      </c>
      <c r="BJ199" s="580">
        <v>0</v>
      </c>
      <c r="BK199" s="580">
        <v>0</v>
      </c>
      <c r="BL199" s="580">
        <v>0.33333333333300003</v>
      </c>
      <c r="BM199" s="580">
        <v>0.33333333333300003</v>
      </c>
      <c r="BN199" s="580">
        <v>0.33333333333300003</v>
      </c>
      <c r="BO199" s="580">
        <v>0</v>
      </c>
      <c r="BP199" s="580">
        <v>0</v>
      </c>
      <c r="BQ199" s="580">
        <v>0</v>
      </c>
      <c r="BR199" s="580">
        <v>0</v>
      </c>
      <c r="BS199" s="580">
        <v>0</v>
      </c>
      <c r="BT199" s="580">
        <v>0</v>
      </c>
      <c r="BU199" s="580">
        <v>0</v>
      </c>
      <c r="BV199" s="580">
        <v>0</v>
      </c>
      <c r="BW199" s="580">
        <v>0</v>
      </c>
      <c r="BX199" s="580">
        <v>0</v>
      </c>
      <c r="BY199" s="580">
        <v>0</v>
      </c>
    </row>
    <row r="200" spans="2:91" ht="14.45" customHeight="1">
      <c r="B200" s="324" t="s">
        <v>116</v>
      </c>
      <c r="D200" s="320">
        <f t="shared" si="87"/>
        <v>0</v>
      </c>
      <c r="E200" s="320">
        <f t="shared" si="52"/>
        <v>0</v>
      </c>
      <c r="F200" s="320">
        <f t="shared" si="53"/>
        <v>0</v>
      </c>
      <c r="G200" s="320">
        <f t="shared" si="54"/>
        <v>0</v>
      </c>
      <c r="H200" s="320">
        <f t="shared" si="55"/>
        <v>0</v>
      </c>
      <c r="I200" s="320">
        <f t="shared" si="56"/>
        <v>0</v>
      </c>
      <c r="J200" s="320">
        <f t="shared" si="57"/>
        <v>0</v>
      </c>
      <c r="K200" s="320">
        <f t="shared" si="58"/>
        <v>0</v>
      </c>
      <c r="L200" s="320">
        <f t="shared" si="59"/>
        <v>0</v>
      </c>
      <c r="M200" s="320">
        <f t="shared" si="60"/>
        <v>0</v>
      </c>
      <c r="N200" s="320">
        <f t="shared" si="61"/>
        <v>0</v>
      </c>
      <c r="O200" s="320">
        <f t="shared" si="62"/>
        <v>0</v>
      </c>
      <c r="P200" s="320">
        <f t="shared" si="63"/>
        <v>0</v>
      </c>
      <c r="Q200" s="320">
        <f t="shared" si="64"/>
        <v>0</v>
      </c>
      <c r="R200" s="320">
        <f t="shared" si="65"/>
        <v>0</v>
      </c>
      <c r="S200" s="320">
        <f t="shared" si="66"/>
        <v>0</v>
      </c>
      <c r="T200" s="320">
        <f t="shared" si="67"/>
        <v>0</v>
      </c>
      <c r="U200" s="320">
        <f t="shared" si="68"/>
        <v>0</v>
      </c>
      <c r="V200" s="320">
        <f t="shared" si="69"/>
        <v>0</v>
      </c>
      <c r="W200" s="320">
        <f t="shared" si="70"/>
        <v>0</v>
      </c>
      <c r="X200" s="320">
        <f t="shared" si="71"/>
        <v>0</v>
      </c>
      <c r="Y200" s="320">
        <f t="shared" si="72"/>
        <v>0</v>
      </c>
      <c r="Z200" s="320">
        <f t="shared" si="73"/>
        <v>0</v>
      </c>
      <c r="AA200" s="320">
        <f t="shared" si="74"/>
        <v>0</v>
      </c>
      <c r="AB200" s="320">
        <f t="shared" si="75"/>
        <v>0</v>
      </c>
      <c r="AC200" s="320">
        <f t="shared" si="76"/>
        <v>0</v>
      </c>
      <c r="AD200" s="320">
        <f t="shared" si="77"/>
        <v>0</v>
      </c>
      <c r="AE200" s="320">
        <f t="shared" si="78"/>
        <v>0</v>
      </c>
      <c r="AF200" s="320">
        <f t="shared" si="79"/>
        <v>0</v>
      </c>
      <c r="AG200" s="320">
        <f t="shared" si="80"/>
        <v>0</v>
      </c>
      <c r="AH200" s="320">
        <f t="shared" si="81"/>
        <v>0</v>
      </c>
      <c r="AI200" s="320">
        <f t="shared" si="82"/>
        <v>0</v>
      </c>
      <c r="AJ200" s="320">
        <f t="shared" si="83"/>
        <v>0</v>
      </c>
      <c r="AK200" s="320">
        <f t="shared" si="84"/>
        <v>0</v>
      </c>
      <c r="AL200" s="320">
        <f t="shared" si="85"/>
        <v>0</v>
      </c>
      <c r="AM200" s="320">
        <f t="shared" si="86"/>
        <v>0</v>
      </c>
      <c r="AN200" s="320"/>
      <c r="AP200" s="266" t="s">
        <v>116</v>
      </c>
      <c r="AQ200" s="580">
        <v>0</v>
      </c>
      <c r="AR200" s="580">
        <v>0</v>
      </c>
      <c r="AS200" s="580">
        <v>0</v>
      </c>
      <c r="AT200" s="580">
        <v>0</v>
      </c>
      <c r="AU200" s="580">
        <v>0</v>
      </c>
      <c r="AV200" s="580">
        <v>0</v>
      </c>
      <c r="AW200" s="580">
        <v>0</v>
      </c>
      <c r="AX200" s="580">
        <v>0</v>
      </c>
      <c r="AY200" s="580">
        <v>0</v>
      </c>
      <c r="AZ200" s="580">
        <v>0</v>
      </c>
      <c r="BA200" s="580">
        <v>0</v>
      </c>
      <c r="BB200" s="580">
        <v>0</v>
      </c>
      <c r="BC200" s="580">
        <v>0</v>
      </c>
      <c r="BD200" s="580">
        <v>0</v>
      </c>
      <c r="BE200" s="580">
        <v>0</v>
      </c>
      <c r="BF200" s="580">
        <v>0</v>
      </c>
      <c r="BG200" s="580">
        <v>0</v>
      </c>
      <c r="BH200" s="580">
        <v>0</v>
      </c>
      <c r="BI200" s="580">
        <v>0</v>
      </c>
      <c r="BJ200" s="580">
        <v>0</v>
      </c>
      <c r="BK200" s="580">
        <v>0</v>
      </c>
      <c r="BL200" s="580">
        <v>0</v>
      </c>
      <c r="BM200" s="580">
        <v>0.33333333333300003</v>
      </c>
      <c r="BN200" s="580">
        <v>0.33333333333300003</v>
      </c>
      <c r="BO200" s="580">
        <v>0.33333333333300003</v>
      </c>
      <c r="BP200" s="580">
        <v>0</v>
      </c>
      <c r="BQ200" s="580">
        <v>0</v>
      </c>
      <c r="BR200" s="580">
        <v>0</v>
      </c>
      <c r="BS200" s="580">
        <v>0</v>
      </c>
      <c r="BT200" s="580">
        <v>0</v>
      </c>
      <c r="BU200" s="580">
        <v>0</v>
      </c>
      <c r="BV200" s="580">
        <v>0</v>
      </c>
      <c r="BW200" s="580">
        <v>0</v>
      </c>
      <c r="BX200" s="580">
        <v>0</v>
      </c>
      <c r="BY200" s="580">
        <v>0</v>
      </c>
    </row>
    <row r="201" spans="2:91" ht="14.45" customHeight="1">
      <c r="B201" s="324" t="s">
        <v>117</v>
      </c>
      <c r="D201" s="320">
        <f t="shared" si="87"/>
        <v>0</v>
      </c>
      <c r="E201" s="320">
        <f t="shared" si="52"/>
        <v>0</v>
      </c>
      <c r="F201" s="320">
        <f t="shared" si="53"/>
        <v>0</v>
      </c>
      <c r="G201" s="320">
        <f t="shared" si="54"/>
        <v>0</v>
      </c>
      <c r="H201" s="320">
        <f t="shared" si="55"/>
        <v>0</v>
      </c>
      <c r="I201" s="320">
        <f t="shared" si="56"/>
        <v>0</v>
      </c>
      <c r="J201" s="320">
        <f t="shared" si="57"/>
        <v>0</v>
      </c>
      <c r="K201" s="320">
        <f t="shared" si="58"/>
        <v>0</v>
      </c>
      <c r="L201" s="320">
        <f t="shared" si="59"/>
        <v>0</v>
      </c>
      <c r="M201" s="320">
        <f t="shared" si="60"/>
        <v>0</v>
      </c>
      <c r="N201" s="320">
        <f t="shared" si="61"/>
        <v>0</v>
      </c>
      <c r="O201" s="320">
        <f t="shared" si="62"/>
        <v>0</v>
      </c>
      <c r="P201" s="320">
        <f t="shared" si="63"/>
        <v>0</v>
      </c>
      <c r="Q201" s="320">
        <f t="shared" si="64"/>
        <v>0</v>
      </c>
      <c r="R201" s="320">
        <f t="shared" si="65"/>
        <v>0</v>
      </c>
      <c r="S201" s="320">
        <f t="shared" si="66"/>
        <v>0</v>
      </c>
      <c r="T201" s="320">
        <f t="shared" si="67"/>
        <v>0</v>
      </c>
      <c r="U201" s="320">
        <f t="shared" si="68"/>
        <v>0</v>
      </c>
      <c r="V201" s="320">
        <f t="shared" si="69"/>
        <v>0</v>
      </c>
      <c r="W201" s="320">
        <f t="shared" si="70"/>
        <v>0</v>
      </c>
      <c r="X201" s="320">
        <f t="shared" si="71"/>
        <v>0</v>
      </c>
      <c r="Y201" s="320">
        <f t="shared" si="72"/>
        <v>0</v>
      </c>
      <c r="Z201" s="320">
        <f t="shared" si="73"/>
        <v>0</v>
      </c>
      <c r="AA201" s="320">
        <f t="shared" si="74"/>
        <v>0</v>
      </c>
      <c r="AB201" s="320">
        <f t="shared" si="75"/>
        <v>0</v>
      </c>
      <c r="AC201" s="320">
        <f t="shared" si="76"/>
        <v>0</v>
      </c>
      <c r="AD201" s="320">
        <f t="shared" si="77"/>
        <v>0</v>
      </c>
      <c r="AE201" s="320">
        <f t="shared" si="78"/>
        <v>0</v>
      </c>
      <c r="AF201" s="320">
        <f t="shared" si="79"/>
        <v>0</v>
      </c>
      <c r="AG201" s="320">
        <f t="shared" si="80"/>
        <v>0</v>
      </c>
      <c r="AH201" s="320">
        <f t="shared" si="81"/>
        <v>0</v>
      </c>
      <c r="AI201" s="320">
        <f t="shared" si="82"/>
        <v>0</v>
      </c>
      <c r="AJ201" s="320">
        <f t="shared" si="83"/>
        <v>0</v>
      </c>
      <c r="AK201" s="320">
        <f t="shared" si="84"/>
        <v>0</v>
      </c>
      <c r="AL201" s="320">
        <f t="shared" si="85"/>
        <v>0</v>
      </c>
      <c r="AM201" s="320">
        <f t="shared" si="86"/>
        <v>0</v>
      </c>
      <c r="AN201" s="320"/>
      <c r="AP201" s="266" t="s">
        <v>117</v>
      </c>
      <c r="AQ201" s="580">
        <v>0</v>
      </c>
      <c r="AR201" s="580">
        <v>0</v>
      </c>
      <c r="AS201" s="580">
        <v>0</v>
      </c>
      <c r="AT201" s="580">
        <v>0</v>
      </c>
      <c r="AU201" s="580">
        <v>0</v>
      </c>
      <c r="AV201" s="580">
        <v>0</v>
      </c>
      <c r="AW201" s="580">
        <v>0</v>
      </c>
      <c r="AX201" s="580">
        <v>0</v>
      </c>
      <c r="AY201" s="580">
        <v>0</v>
      </c>
      <c r="AZ201" s="580">
        <v>0</v>
      </c>
      <c r="BA201" s="580">
        <v>0</v>
      </c>
      <c r="BB201" s="580">
        <v>0</v>
      </c>
      <c r="BC201" s="580">
        <v>0</v>
      </c>
      <c r="BD201" s="580">
        <v>0</v>
      </c>
      <c r="BE201" s="580">
        <v>0</v>
      </c>
      <c r="BF201" s="580">
        <v>0</v>
      </c>
      <c r="BG201" s="580">
        <v>0</v>
      </c>
      <c r="BH201" s="580">
        <v>0</v>
      </c>
      <c r="BI201" s="580">
        <v>0</v>
      </c>
      <c r="BJ201" s="580">
        <v>0</v>
      </c>
      <c r="BK201" s="580">
        <v>0</v>
      </c>
      <c r="BL201" s="580">
        <v>0</v>
      </c>
      <c r="BM201" s="580">
        <v>0</v>
      </c>
      <c r="BN201" s="580">
        <v>0.33333333333300003</v>
      </c>
      <c r="BO201" s="580">
        <v>0.33333333333300003</v>
      </c>
      <c r="BP201" s="580">
        <v>0.33333333333300003</v>
      </c>
      <c r="BQ201" s="580">
        <v>0</v>
      </c>
      <c r="BR201" s="580">
        <v>0</v>
      </c>
      <c r="BS201" s="580">
        <v>0</v>
      </c>
      <c r="BT201" s="580">
        <v>0</v>
      </c>
      <c r="BU201" s="580">
        <v>0</v>
      </c>
      <c r="BV201" s="580">
        <v>0</v>
      </c>
      <c r="BW201" s="580">
        <v>0</v>
      </c>
      <c r="BX201" s="580">
        <v>0</v>
      </c>
      <c r="BY201" s="580">
        <v>0</v>
      </c>
    </row>
    <row r="202" spans="2:91" ht="14.45" customHeight="1">
      <c r="B202" s="324" t="s">
        <v>118</v>
      </c>
      <c r="D202" s="320">
        <f t="shared" si="87"/>
        <v>0</v>
      </c>
      <c r="E202" s="320">
        <f t="shared" si="52"/>
        <v>0</v>
      </c>
      <c r="F202" s="320">
        <f t="shared" si="53"/>
        <v>0</v>
      </c>
      <c r="G202" s="320">
        <f t="shared" si="54"/>
        <v>0</v>
      </c>
      <c r="H202" s="320">
        <f t="shared" si="55"/>
        <v>0</v>
      </c>
      <c r="I202" s="320">
        <f t="shared" si="56"/>
        <v>0</v>
      </c>
      <c r="J202" s="320">
        <f t="shared" si="57"/>
        <v>0</v>
      </c>
      <c r="K202" s="320">
        <f t="shared" si="58"/>
        <v>0</v>
      </c>
      <c r="L202" s="320">
        <f t="shared" si="59"/>
        <v>0</v>
      </c>
      <c r="M202" s="320">
        <f t="shared" si="60"/>
        <v>0</v>
      </c>
      <c r="N202" s="320">
        <f t="shared" si="61"/>
        <v>0</v>
      </c>
      <c r="O202" s="320">
        <f t="shared" si="62"/>
        <v>0</v>
      </c>
      <c r="P202" s="320">
        <f t="shared" si="63"/>
        <v>0</v>
      </c>
      <c r="Q202" s="320">
        <f t="shared" si="64"/>
        <v>0</v>
      </c>
      <c r="R202" s="320">
        <f t="shared" si="65"/>
        <v>0</v>
      </c>
      <c r="S202" s="320">
        <f t="shared" si="66"/>
        <v>0</v>
      </c>
      <c r="T202" s="320">
        <f t="shared" si="67"/>
        <v>0</v>
      </c>
      <c r="U202" s="320">
        <f t="shared" si="68"/>
        <v>0</v>
      </c>
      <c r="V202" s="320">
        <f t="shared" si="69"/>
        <v>0</v>
      </c>
      <c r="W202" s="320">
        <f t="shared" si="70"/>
        <v>0</v>
      </c>
      <c r="X202" s="320">
        <f t="shared" si="71"/>
        <v>0</v>
      </c>
      <c r="Y202" s="320">
        <f t="shared" si="72"/>
        <v>0</v>
      </c>
      <c r="Z202" s="320">
        <f t="shared" si="73"/>
        <v>0</v>
      </c>
      <c r="AA202" s="320">
        <f t="shared" si="74"/>
        <v>0</v>
      </c>
      <c r="AB202" s="320">
        <f t="shared" si="75"/>
        <v>0</v>
      </c>
      <c r="AC202" s="320">
        <f t="shared" si="76"/>
        <v>0</v>
      </c>
      <c r="AD202" s="320">
        <f t="shared" si="77"/>
        <v>0</v>
      </c>
      <c r="AE202" s="320">
        <f t="shared" si="78"/>
        <v>0</v>
      </c>
      <c r="AF202" s="320">
        <f t="shared" si="79"/>
        <v>0</v>
      </c>
      <c r="AG202" s="320">
        <f t="shared" si="80"/>
        <v>0</v>
      </c>
      <c r="AH202" s="320">
        <f t="shared" si="81"/>
        <v>0</v>
      </c>
      <c r="AI202" s="320">
        <f t="shared" si="82"/>
        <v>0</v>
      </c>
      <c r="AJ202" s="320">
        <f t="shared" si="83"/>
        <v>0</v>
      </c>
      <c r="AK202" s="320">
        <f t="shared" si="84"/>
        <v>0</v>
      </c>
      <c r="AL202" s="320">
        <f t="shared" si="85"/>
        <v>0</v>
      </c>
      <c r="AM202" s="320">
        <f t="shared" si="86"/>
        <v>0</v>
      </c>
      <c r="AN202" s="320"/>
      <c r="AP202" s="266" t="s">
        <v>118</v>
      </c>
      <c r="AQ202" s="580">
        <v>0</v>
      </c>
      <c r="AR202" s="580">
        <v>0</v>
      </c>
      <c r="AS202" s="580">
        <v>0</v>
      </c>
      <c r="AT202" s="580">
        <v>0</v>
      </c>
      <c r="AU202" s="580">
        <v>0</v>
      </c>
      <c r="AV202" s="580">
        <v>0</v>
      </c>
      <c r="AW202" s="580">
        <v>0</v>
      </c>
      <c r="AX202" s="580">
        <v>0</v>
      </c>
      <c r="AY202" s="580">
        <v>0</v>
      </c>
      <c r="AZ202" s="580">
        <v>0</v>
      </c>
      <c r="BA202" s="580">
        <v>0</v>
      </c>
      <c r="BB202" s="580">
        <v>0</v>
      </c>
      <c r="BC202" s="580">
        <v>0</v>
      </c>
      <c r="BD202" s="580">
        <v>0</v>
      </c>
      <c r="BE202" s="580">
        <v>0</v>
      </c>
      <c r="BF202" s="580">
        <v>0</v>
      </c>
      <c r="BG202" s="580">
        <v>0</v>
      </c>
      <c r="BH202" s="580">
        <v>0</v>
      </c>
      <c r="BI202" s="580">
        <v>0</v>
      </c>
      <c r="BJ202" s="580">
        <v>0</v>
      </c>
      <c r="BK202" s="580">
        <v>0</v>
      </c>
      <c r="BL202" s="580">
        <v>0</v>
      </c>
      <c r="BM202" s="580">
        <v>0</v>
      </c>
      <c r="BN202" s="580">
        <v>0</v>
      </c>
      <c r="BO202" s="580">
        <v>0.33333333333300003</v>
      </c>
      <c r="BP202" s="580">
        <v>0.33333333333300003</v>
      </c>
      <c r="BQ202" s="580">
        <v>0.33333333333300003</v>
      </c>
      <c r="BR202" s="580">
        <v>0</v>
      </c>
      <c r="BS202" s="580">
        <v>0</v>
      </c>
      <c r="BT202" s="580">
        <v>0</v>
      </c>
      <c r="BU202" s="580">
        <v>0</v>
      </c>
      <c r="BV202" s="580">
        <v>0</v>
      </c>
      <c r="BW202" s="580">
        <v>0</v>
      </c>
      <c r="BX202" s="580">
        <v>0</v>
      </c>
      <c r="BY202" s="580">
        <v>0</v>
      </c>
    </row>
    <row r="203" spans="2:91" ht="14.45" customHeight="1">
      <c r="B203" s="324" t="s">
        <v>119</v>
      </c>
      <c r="D203" s="320">
        <f t="shared" si="87"/>
        <v>0</v>
      </c>
      <c r="E203" s="320">
        <f t="shared" si="52"/>
        <v>0</v>
      </c>
      <c r="F203" s="320">
        <f t="shared" si="53"/>
        <v>0</v>
      </c>
      <c r="G203" s="320">
        <f t="shared" si="54"/>
        <v>0</v>
      </c>
      <c r="H203" s="320">
        <f t="shared" si="55"/>
        <v>0</v>
      </c>
      <c r="I203" s="320">
        <f t="shared" si="56"/>
        <v>0</v>
      </c>
      <c r="J203" s="320">
        <f t="shared" si="57"/>
        <v>0</v>
      </c>
      <c r="K203" s="320">
        <f t="shared" si="58"/>
        <v>0</v>
      </c>
      <c r="L203" s="320">
        <f t="shared" si="59"/>
        <v>0</v>
      </c>
      <c r="M203" s="320">
        <f t="shared" si="60"/>
        <v>0</v>
      </c>
      <c r="N203" s="320">
        <f t="shared" si="61"/>
        <v>0</v>
      </c>
      <c r="O203" s="320">
        <f t="shared" si="62"/>
        <v>0</v>
      </c>
      <c r="P203" s="320">
        <f t="shared" si="63"/>
        <v>0</v>
      </c>
      <c r="Q203" s="320">
        <f t="shared" si="64"/>
        <v>0</v>
      </c>
      <c r="R203" s="320">
        <f t="shared" si="65"/>
        <v>0</v>
      </c>
      <c r="S203" s="320">
        <f t="shared" si="66"/>
        <v>0</v>
      </c>
      <c r="T203" s="320">
        <f t="shared" si="67"/>
        <v>0</v>
      </c>
      <c r="U203" s="320">
        <f t="shared" si="68"/>
        <v>0</v>
      </c>
      <c r="V203" s="320">
        <f t="shared" si="69"/>
        <v>0</v>
      </c>
      <c r="W203" s="320">
        <f t="shared" si="70"/>
        <v>0</v>
      </c>
      <c r="X203" s="320">
        <f t="shared" si="71"/>
        <v>0</v>
      </c>
      <c r="Y203" s="320">
        <f t="shared" si="72"/>
        <v>0</v>
      </c>
      <c r="Z203" s="320">
        <f t="shared" si="73"/>
        <v>0</v>
      </c>
      <c r="AA203" s="320">
        <f t="shared" si="74"/>
        <v>0</v>
      </c>
      <c r="AB203" s="320">
        <f t="shared" si="75"/>
        <v>0</v>
      </c>
      <c r="AC203" s="320">
        <f t="shared" si="76"/>
        <v>0</v>
      </c>
      <c r="AD203" s="320">
        <f t="shared" si="77"/>
        <v>0</v>
      </c>
      <c r="AE203" s="320">
        <f t="shared" si="78"/>
        <v>0</v>
      </c>
      <c r="AF203" s="320">
        <f t="shared" si="79"/>
        <v>0</v>
      </c>
      <c r="AG203" s="320">
        <f t="shared" si="80"/>
        <v>0</v>
      </c>
      <c r="AH203" s="320">
        <f t="shared" si="81"/>
        <v>0</v>
      </c>
      <c r="AI203" s="320">
        <f t="shared" si="82"/>
        <v>0</v>
      </c>
      <c r="AJ203" s="320">
        <f t="shared" si="83"/>
        <v>0</v>
      </c>
      <c r="AK203" s="320">
        <f t="shared" si="84"/>
        <v>0</v>
      </c>
      <c r="AL203" s="320">
        <f t="shared" si="85"/>
        <v>0</v>
      </c>
      <c r="AM203" s="320">
        <f t="shared" si="86"/>
        <v>0</v>
      </c>
      <c r="AN203" s="320"/>
      <c r="AP203" s="266" t="s">
        <v>119</v>
      </c>
      <c r="AQ203" s="580">
        <v>0</v>
      </c>
      <c r="AR203" s="580">
        <v>0</v>
      </c>
      <c r="AS203" s="580">
        <v>0</v>
      </c>
      <c r="AT203" s="580">
        <v>0</v>
      </c>
      <c r="AU203" s="580">
        <v>0</v>
      </c>
      <c r="AV203" s="580">
        <v>0</v>
      </c>
      <c r="AW203" s="580">
        <v>0</v>
      </c>
      <c r="AX203" s="580">
        <v>0</v>
      </c>
      <c r="AY203" s="580">
        <v>0</v>
      </c>
      <c r="AZ203" s="580">
        <v>0</v>
      </c>
      <c r="BA203" s="580">
        <v>0</v>
      </c>
      <c r="BB203" s="580">
        <v>0</v>
      </c>
      <c r="BC203" s="580">
        <v>0</v>
      </c>
      <c r="BD203" s="580">
        <v>0</v>
      </c>
      <c r="BE203" s="580">
        <v>0</v>
      </c>
      <c r="BF203" s="580">
        <v>0</v>
      </c>
      <c r="BG203" s="580">
        <v>0</v>
      </c>
      <c r="BH203" s="580">
        <v>0</v>
      </c>
      <c r="BI203" s="580">
        <v>0</v>
      </c>
      <c r="BJ203" s="580">
        <v>0</v>
      </c>
      <c r="BK203" s="580">
        <v>0</v>
      </c>
      <c r="BL203" s="580">
        <v>0</v>
      </c>
      <c r="BM203" s="580">
        <v>0</v>
      </c>
      <c r="BN203" s="580">
        <v>0</v>
      </c>
      <c r="BO203" s="580">
        <v>0</v>
      </c>
      <c r="BP203" s="580">
        <v>0.33333333333300003</v>
      </c>
      <c r="BQ203" s="580">
        <v>0.33333333333300003</v>
      </c>
      <c r="BR203" s="580">
        <v>0.33333333333300003</v>
      </c>
      <c r="BS203" s="580">
        <v>0</v>
      </c>
      <c r="BT203" s="580">
        <v>0</v>
      </c>
      <c r="BU203" s="580">
        <v>0</v>
      </c>
      <c r="BV203" s="580">
        <v>0</v>
      </c>
      <c r="BW203" s="580">
        <v>0</v>
      </c>
      <c r="BX203" s="580">
        <v>0</v>
      </c>
      <c r="BY203" s="580">
        <v>0</v>
      </c>
    </row>
    <row r="204" spans="2:91" ht="14.45" customHeight="1">
      <c r="B204" s="324" t="s">
        <v>120</v>
      </c>
      <c r="D204" s="320">
        <f t="shared" si="87"/>
        <v>0</v>
      </c>
      <c r="E204" s="320">
        <f t="shared" si="52"/>
        <v>0</v>
      </c>
      <c r="F204" s="320">
        <f t="shared" si="53"/>
        <v>0</v>
      </c>
      <c r="G204" s="320">
        <f t="shared" si="54"/>
        <v>0</v>
      </c>
      <c r="H204" s="320">
        <f t="shared" si="55"/>
        <v>0</v>
      </c>
      <c r="I204" s="320">
        <f t="shared" si="56"/>
        <v>0</v>
      </c>
      <c r="J204" s="320">
        <f t="shared" si="57"/>
        <v>0</v>
      </c>
      <c r="K204" s="320">
        <f t="shared" si="58"/>
        <v>0</v>
      </c>
      <c r="L204" s="320">
        <f t="shared" si="59"/>
        <v>0</v>
      </c>
      <c r="M204" s="320">
        <f t="shared" si="60"/>
        <v>0</v>
      </c>
      <c r="N204" s="320">
        <f t="shared" si="61"/>
        <v>0</v>
      </c>
      <c r="O204" s="320">
        <f t="shared" si="62"/>
        <v>0</v>
      </c>
      <c r="P204" s="320">
        <f t="shared" si="63"/>
        <v>0</v>
      </c>
      <c r="Q204" s="320">
        <f t="shared" si="64"/>
        <v>0</v>
      </c>
      <c r="R204" s="320">
        <f t="shared" si="65"/>
        <v>0</v>
      </c>
      <c r="S204" s="320">
        <f t="shared" si="66"/>
        <v>0</v>
      </c>
      <c r="T204" s="320">
        <f t="shared" si="67"/>
        <v>0</v>
      </c>
      <c r="U204" s="320">
        <f t="shared" si="68"/>
        <v>0</v>
      </c>
      <c r="V204" s="320">
        <f t="shared" si="69"/>
        <v>0</v>
      </c>
      <c r="W204" s="320">
        <f t="shared" si="70"/>
        <v>0</v>
      </c>
      <c r="X204" s="320">
        <f t="shared" si="71"/>
        <v>0</v>
      </c>
      <c r="Y204" s="320">
        <f t="shared" si="72"/>
        <v>0</v>
      </c>
      <c r="Z204" s="320">
        <f t="shared" si="73"/>
        <v>0</v>
      </c>
      <c r="AA204" s="320">
        <f t="shared" si="74"/>
        <v>0</v>
      </c>
      <c r="AB204" s="320">
        <f t="shared" si="75"/>
        <v>0</v>
      </c>
      <c r="AC204" s="320">
        <f t="shared" si="76"/>
        <v>0</v>
      </c>
      <c r="AD204" s="320">
        <f t="shared" si="77"/>
        <v>0</v>
      </c>
      <c r="AE204" s="320">
        <f t="shared" si="78"/>
        <v>0</v>
      </c>
      <c r="AF204" s="320">
        <f t="shared" si="79"/>
        <v>0</v>
      </c>
      <c r="AG204" s="320">
        <f t="shared" si="80"/>
        <v>0</v>
      </c>
      <c r="AH204" s="320">
        <f t="shared" si="81"/>
        <v>0</v>
      </c>
      <c r="AI204" s="320">
        <f t="shared" si="82"/>
        <v>0</v>
      </c>
      <c r="AJ204" s="320">
        <f t="shared" si="83"/>
        <v>0</v>
      </c>
      <c r="AK204" s="320">
        <f t="shared" si="84"/>
        <v>0</v>
      </c>
      <c r="AL204" s="320">
        <f t="shared" si="85"/>
        <v>0</v>
      </c>
      <c r="AM204" s="320">
        <f t="shared" si="86"/>
        <v>0</v>
      </c>
      <c r="AN204" s="320"/>
      <c r="AP204" s="266" t="s">
        <v>120</v>
      </c>
      <c r="AQ204" s="580">
        <v>0</v>
      </c>
      <c r="AR204" s="580">
        <v>0</v>
      </c>
      <c r="AS204" s="580">
        <v>0</v>
      </c>
      <c r="AT204" s="580">
        <v>0</v>
      </c>
      <c r="AU204" s="580">
        <v>0</v>
      </c>
      <c r="AV204" s="580">
        <v>0</v>
      </c>
      <c r="AW204" s="580">
        <v>0</v>
      </c>
      <c r="AX204" s="580">
        <v>0</v>
      </c>
      <c r="AY204" s="580">
        <v>0</v>
      </c>
      <c r="AZ204" s="580">
        <v>0</v>
      </c>
      <c r="BA204" s="580">
        <v>0</v>
      </c>
      <c r="BB204" s="580">
        <v>0</v>
      </c>
      <c r="BC204" s="580">
        <v>0</v>
      </c>
      <c r="BD204" s="580">
        <v>0</v>
      </c>
      <c r="BE204" s="580">
        <v>0</v>
      </c>
      <c r="BF204" s="580">
        <v>0</v>
      </c>
      <c r="BG204" s="580">
        <v>0</v>
      </c>
      <c r="BH204" s="580">
        <v>0</v>
      </c>
      <c r="BI204" s="580">
        <v>0</v>
      </c>
      <c r="BJ204" s="580">
        <v>0</v>
      </c>
      <c r="BK204" s="580">
        <v>0</v>
      </c>
      <c r="BL204" s="580">
        <v>0</v>
      </c>
      <c r="BM204" s="580">
        <v>0</v>
      </c>
      <c r="BN204" s="580">
        <v>0</v>
      </c>
      <c r="BO204" s="580">
        <v>0</v>
      </c>
      <c r="BP204" s="580">
        <v>0</v>
      </c>
      <c r="BQ204" s="580">
        <v>0.33333333333300003</v>
      </c>
      <c r="BR204" s="580">
        <v>0.33333333333300003</v>
      </c>
      <c r="BS204" s="580">
        <v>0.33333333333300003</v>
      </c>
      <c r="BT204" s="580">
        <v>0</v>
      </c>
      <c r="BU204" s="580">
        <v>0</v>
      </c>
      <c r="BV204" s="580">
        <v>0</v>
      </c>
      <c r="BW204" s="580">
        <v>0</v>
      </c>
      <c r="BX204" s="580">
        <v>0</v>
      </c>
      <c r="BY204" s="580">
        <v>0</v>
      </c>
    </row>
    <row r="205" spans="2:91" ht="14.45" customHeight="1">
      <c r="B205" s="324" t="s">
        <v>121</v>
      </c>
      <c r="D205" s="320">
        <f t="shared" si="87"/>
        <v>0</v>
      </c>
      <c r="E205" s="320">
        <f t="shared" si="52"/>
        <v>0</v>
      </c>
      <c r="F205" s="320">
        <f t="shared" si="53"/>
        <v>0</v>
      </c>
      <c r="G205" s="320">
        <f t="shared" si="54"/>
        <v>0</v>
      </c>
      <c r="H205" s="320">
        <f t="shared" si="55"/>
        <v>0</v>
      </c>
      <c r="I205" s="320">
        <f t="shared" si="56"/>
        <v>0</v>
      </c>
      <c r="J205" s="320">
        <f t="shared" si="57"/>
        <v>0</v>
      </c>
      <c r="K205" s="320">
        <f t="shared" si="58"/>
        <v>0</v>
      </c>
      <c r="L205" s="320">
        <f t="shared" si="59"/>
        <v>0</v>
      </c>
      <c r="M205" s="320">
        <f t="shared" si="60"/>
        <v>0</v>
      </c>
      <c r="N205" s="320">
        <f t="shared" si="61"/>
        <v>0</v>
      </c>
      <c r="O205" s="320">
        <f t="shared" si="62"/>
        <v>0</v>
      </c>
      <c r="P205" s="320">
        <f t="shared" si="63"/>
        <v>0</v>
      </c>
      <c r="Q205" s="320">
        <f t="shared" si="64"/>
        <v>0</v>
      </c>
      <c r="R205" s="320">
        <f t="shared" si="65"/>
        <v>0</v>
      </c>
      <c r="S205" s="320">
        <f t="shared" si="66"/>
        <v>0</v>
      </c>
      <c r="T205" s="320">
        <f t="shared" si="67"/>
        <v>0</v>
      </c>
      <c r="U205" s="320">
        <f t="shared" si="68"/>
        <v>0</v>
      </c>
      <c r="V205" s="320">
        <f t="shared" si="69"/>
        <v>0</v>
      </c>
      <c r="W205" s="320">
        <f t="shared" si="70"/>
        <v>0</v>
      </c>
      <c r="X205" s="320">
        <f t="shared" si="71"/>
        <v>0</v>
      </c>
      <c r="Y205" s="320">
        <f t="shared" si="72"/>
        <v>0</v>
      </c>
      <c r="Z205" s="320">
        <f t="shared" si="73"/>
        <v>0</v>
      </c>
      <c r="AA205" s="320">
        <f t="shared" si="74"/>
        <v>0</v>
      </c>
      <c r="AB205" s="320">
        <f t="shared" si="75"/>
        <v>0</v>
      </c>
      <c r="AC205" s="320">
        <f t="shared" si="76"/>
        <v>0</v>
      </c>
      <c r="AD205" s="320">
        <f t="shared" si="77"/>
        <v>0</v>
      </c>
      <c r="AE205" s="320">
        <f t="shared" si="78"/>
        <v>0</v>
      </c>
      <c r="AF205" s="320">
        <f t="shared" si="79"/>
        <v>0</v>
      </c>
      <c r="AG205" s="320">
        <f t="shared" si="80"/>
        <v>0</v>
      </c>
      <c r="AH205" s="320">
        <f t="shared" si="81"/>
        <v>0</v>
      </c>
      <c r="AI205" s="320">
        <f t="shared" si="82"/>
        <v>0</v>
      </c>
      <c r="AJ205" s="320">
        <f t="shared" si="83"/>
        <v>0</v>
      </c>
      <c r="AK205" s="320">
        <f t="shared" si="84"/>
        <v>0</v>
      </c>
      <c r="AL205" s="320">
        <f t="shared" si="85"/>
        <v>0</v>
      </c>
      <c r="AM205" s="320">
        <f t="shared" si="86"/>
        <v>0</v>
      </c>
      <c r="AN205" s="320"/>
      <c r="AP205" s="266" t="s">
        <v>121</v>
      </c>
      <c r="AQ205" s="580">
        <v>0</v>
      </c>
      <c r="AR205" s="580">
        <v>0</v>
      </c>
      <c r="AS205" s="580">
        <v>0</v>
      </c>
      <c r="AT205" s="580">
        <v>0</v>
      </c>
      <c r="AU205" s="580">
        <v>0</v>
      </c>
      <c r="AV205" s="580">
        <v>0</v>
      </c>
      <c r="AW205" s="580">
        <v>0</v>
      </c>
      <c r="AX205" s="580">
        <v>0</v>
      </c>
      <c r="AY205" s="580">
        <v>0</v>
      </c>
      <c r="AZ205" s="580">
        <v>0</v>
      </c>
      <c r="BA205" s="580">
        <v>0</v>
      </c>
      <c r="BB205" s="580">
        <v>0</v>
      </c>
      <c r="BC205" s="580">
        <v>0</v>
      </c>
      <c r="BD205" s="580">
        <v>0</v>
      </c>
      <c r="BE205" s="580">
        <v>0</v>
      </c>
      <c r="BF205" s="580">
        <v>0</v>
      </c>
      <c r="BG205" s="580">
        <v>0</v>
      </c>
      <c r="BH205" s="580">
        <v>0</v>
      </c>
      <c r="BI205" s="580">
        <v>0</v>
      </c>
      <c r="BJ205" s="580">
        <v>0</v>
      </c>
      <c r="BK205" s="580">
        <v>0</v>
      </c>
      <c r="BL205" s="580">
        <v>0</v>
      </c>
      <c r="BM205" s="580">
        <v>0</v>
      </c>
      <c r="BN205" s="580">
        <v>0</v>
      </c>
      <c r="BO205" s="580">
        <v>0</v>
      </c>
      <c r="BP205" s="580">
        <v>0</v>
      </c>
      <c r="BQ205" s="580">
        <v>0</v>
      </c>
      <c r="BR205" s="580">
        <v>0.33333333333300003</v>
      </c>
      <c r="BS205" s="580">
        <v>0.33333333333300003</v>
      </c>
      <c r="BT205" s="580">
        <v>0.33333333333300003</v>
      </c>
      <c r="BU205" s="580">
        <v>0</v>
      </c>
      <c r="BV205" s="580">
        <v>0</v>
      </c>
      <c r="BW205" s="580">
        <v>0</v>
      </c>
      <c r="BX205" s="580">
        <v>0</v>
      </c>
      <c r="BY205" s="580">
        <v>0</v>
      </c>
    </row>
    <row r="206" spans="2:91" ht="14.45" customHeight="1">
      <c r="B206" s="324" t="s">
        <v>122</v>
      </c>
      <c r="D206" s="320">
        <f t="shared" si="87"/>
        <v>0</v>
      </c>
      <c r="E206" s="320">
        <f t="shared" si="52"/>
        <v>0</v>
      </c>
      <c r="F206" s="320">
        <f t="shared" si="53"/>
        <v>0</v>
      </c>
      <c r="G206" s="320">
        <f t="shared" si="54"/>
        <v>0</v>
      </c>
      <c r="H206" s="320">
        <f t="shared" si="55"/>
        <v>0</v>
      </c>
      <c r="I206" s="320">
        <f t="shared" si="56"/>
        <v>0</v>
      </c>
      <c r="J206" s="320">
        <f t="shared" si="57"/>
        <v>0</v>
      </c>
      <c r="K206" s="320">
        <f t="shared" si="58"/>
        <v>0</v>
      </c>
      <c r="L206" s="320">
        <f t="shared" si="59"/>
        <v>0</v>
      </c>
      <c r="M206" s="320">
        <f t="shared" si="60"/>
        <v>0</v>
      </c>
      <c r="N206" s="320">
        <f t="shared" si="61"/>
        <v>0</v>
      </c>
      <c r="O206" s="320">
        <f t="shared" si="62"/>
        <v>0</v>
      </c>
      <c r="P206" s="320">
        <f t="shared" si="63"/>
        <v>0</v>
      </c>
      <c r="Q206" s="320">
        <f t="shared" si="64"/>
        <v>0</v>
      </c>
      <c r="R206" s="320">
        <f t="shared" si="65"/>
        <v>0</v>
      </c>
      <c r="S206" s="320">
        <f t="shared" si="66"/>
        <v>0</v>
      </c>
      <c r="T206" s="320">
        <f t="shared" si="67"/>
        <v>0</v>
      </c>
      <c r="U206" s="320">
        <f t="shared" si="68"/>
        <v>0</v>
      </c>
      <c r="V206" s="320">
        <f t="shared" si="69"/>
        <v>0</v>
      </c>
      <c r="W206" s="320">
        <f t="shared" si="70"/>
        <v>0</v>
      </c>
      <c r="X206" s="320">
        <f t="shared" si="71"/>
        <v>0</v>
      </c>
      <c r="Y206" s="320">
        <f t="shared" si="72"/>
        <v>0</v>
      </c>
      <c r="Z206" s="320">
        <f t="shared" si="73"/>
        <v>0</v>
      </c>
      <c r="AA206" s="320">
        <f t="shared" si="74"/>
        <v>0</v>
      </c>
      <c r="AB206" s="320">
        <f t="shared" si="75"/>
        <v>0</v>
      </c>
      <c r="AC206" s="320">
        <f t="shared" si="76"/>
        <v>0</v>
      </c>
      <c r="AD206" s="320">
        <f t="shared" si="77"/>
        <v>0</v>
      </c>
      <c r="AE206" s="320">
        <f t="shared" si="78"/>
        <v>0</v>
      </c>
      <c r="AF206" s="320">
        <f t="shared" si="79"/>
        <v>0</v>
      </c>
      <c r="AG206" s="320">
        <f t="shared" si="80"/>
        <v>0</v>
      </c>
      <c r="AH206" s="320">
        <f t="shared" si="81"/>
        <v>0</v>
      </c>
      <c r="AI206" s="320">
        <f t="shared" si="82"/>
        <v>0</v>
      </c>
      <c r="AJ206" s="320">
        <f t="shared" si="83"/>
        <v>0</v>
      </c>
      <c r="AK206" s="320">
        <f t="shared" si="84"/>
        <v>0</v>
      </c>
      <c r="AL206" s="320">
        <f t="shared" si="85"/>
        <v>0</v>
      </c>
      <c r="AM206" s="320">
        <f t="shared" si="86"/>
        <v>0</v>
      </c>
      <c r="AN206" s="320"/>
      <c r="AP206" s="266" t="s">
        <v>122</v>
      </c>
      <c r="AQ206" s="580">
        <v>0</v>
      </c>
      <c r="AR206" s="580">
        <v>0</v>
      </c>
      <c r="AS206" s="580">
        <v>0</v>
      </c>
      <c r="AT206" s="580">
        <v>0</v>
      </c>
      <c r="AU206" s="580">
        <v>0</v>
      </c>
      <c r="AV206" s="580">
        <v>0</v>
      </c>
      <c r="AW206" s="580">
        <v>0</v>
      </c>
      <c r="AX206" s="580">
        <v>0</v>
      </c>
      <c r="AY206" s="580">
        <v>0</v>
      </c>
      <c r="AZ206" s="580">
        <v>0</v>
      </c>
      <c r="BA206" s="580">
        <v>0</v>
      </c>
      <c r="BB206" s="580">
        <v>0</v>
      </c>
      <c r="BC206" s="580">
        <v>0</v>
      </c>
      <c r="BD206" s="580">
        <v>0</v>
      </c>
      <c r="BE206" s="580">
        <v>0</v>
      </c>
      <c r="BF206" s="580">
        <v>0</v>
      </c>
      <c r="BG206" s="580">
        <v>0</v>
      </c>
      <c r="BH206" s="580">
        <v>0</v>
      </c>
      <c r="BI206" s="580">
        <v>0</v>
      </c>
      <c r="BJ206" s="580">
        <v>0</v>
      </c>
      <c r="BK206" s="580">
        <v>0</v>
      </c>
      <c r="BL206" s="580">
        <v>0</v>
      </c>
      <c r="BM206" s="580">
        <v>0</v>
      </c>
      <c r="BN206" s="580">
        <v>0</v>
      </c>
      <c r="BO206" s="580">
        <v>0</v>
      </c>
      <c r="BP206" s="580">
        <v>0</v>
      </c>
      <c r="BQ206" s="580">
        <v>0</v>
      </c>
      <c r="BR206" s="580">
        <v>0</v>
      </c>
      <c r="BS206" s="580">
        <v>0.33333333333300003</v>
      </c>
      <c r="BT206" s="580">
        <v>0.33333333333300003</v>
      </c>
      <c r="BU206" s="580">
        <v>0.33333333333300003</v>
      </c>
      <c r="BV206" s="580">
        <v>0</v>
      </c>
      <c r="BW206" s="580">
        <v>0</v>
      </c>
      <c r="BX206" s="580">
        <v>0</v>
      </c>
      <c r="BY206" s="580">
        <v>0</v>
      </c>
    </row>
    <row r="207" spans="2:91" ht="14.45" customHeight="1">
      <c r="B207" s="324" t="s">
        <v>123</v>
      </c>
      <c r="D207" s="320">
        <f t="shared" si="87"/>
        <v>0</v>
      </c>
      <c r="E207" s="320">
        <f t="shared" si="52"/>
        <v>0</v>
      </c>
      <c r="F207" s="320">
        <f t="shared" si="53"/>
        <v>0</v>
      </c>
      <c r="G207" s="320">
        <f t="shared" si="54"/>
        <v>0</v>
      </c>
      <c r="H207" s="320">
        <f t="shared" si="55"/>
        <v>0</v>
      </c>
      <c r="I207" s="320">
        <f t="shared" si="56"/>
        <v>0</v>
      </c>
      <c r="J207" s="320">
        <f t="shared" si="57"/>
        <v>0</v>
      </c>
      <c r="K207" s="320">
        <f t="shared" si="58"/>
        <v>0</v>
      </c>
      <c r="L207" s="320">
        <f t="shared" si="59"/>
        <v>0</v>
      </c>
      <c r="M207" s="320">
        <f t="shared" si="60"/>
        <v>0</v>
      </c>
      <c r="N207" s="320">
        <f t="shared" si="61"/>
        <v>0</v>
      </c>
      <c r="O207" s="320">
        <f t="shared" si="62"/>
        <v>0</v>
      </c>
      <c r="P207" s="320">
        <f t="shared" si="63"/>
        <v>0</v>
      </c>
      <c r="Q207" s="320">
        <f t="shared" si="64"/>
        <v>0</v>
      </c>
      <c r="R207" s="320">
        <f t="shared" si="65"/>
        <v>0</v>
      </c>
      <c r="S207" s="320">
        <f t="shared" si="66"/>
        <v>0</v>
      </c>
      <c r="T207" s="320">
        <f t="shared" si="67"/>
        <v>0</v>
      </c>
      <c r="U207" s="320">
        <f t="shared" si="68"/>
        <v>0</v>
      </c>
      <c r="V207" s="320">
        <f t="shared" si="69"/>
        <v>0</v>
      </c>
      <c r="W207" s="320">
        <f t="shared" si="70"/>
        <v>0</v>
      </c>
      <c r="X207" s="320">
        <f t="shared" si="71"/>
        <v>0</v>
      </c>
      <c r="Y207" s="320">
        <f t="shared" si="72"/>
        <v>0</v>
      </c>
      <c r="Z207" s="320">
        <f t="shared" si="73"/>
        <v>0</v>
      </c>
      <c r="AA207" s="320">
        <f t="shared" si="74"/>
        <v>0</v>
      </c>
      <c r="AB207" s="320">
        <f t="shared" si="75"/>
        <v>0</v>
      </c>
      <c r="AC207" s="320">
        <f t="shared" si="76"/>
        <v>0</v>
      </c>
      <c r="AD207" s="320">
        <f t="shared" si="77"/>
        <v>0</v>
      </c>
      <c r="AE207" s="320">
        <f t="shared" si="78"/>
        <v>0</v>
      </c>
      <c r="AF207" s="320">
        <f t="shared" si="79"/>
        <v>0</v>
      </c>
      <c r="AG207" s="320">
        <f t="shared" si="80"/>
        <v>0</v>
      </c>
      <c r="AH207" s="320">
        <f t="shared" si="81"/>
        <v>0</v>
      </c>
      <c r="AI207" s="320">
        <f t="shared" si="82"/>
        <v>0</v>
      </c>
      <c r="AJ207" s="320">
        <f t="shared" si="83"/>
        <v>0</v>
      </c>
      <c r="AK207" s="320">
        <f t="shared" si="84"/>
        <v>0</v>
      </c>
      <c r="AL207" s="320">
        <f t="shared" si="85"/>
        <v>0</v>
      </c>
      <c r="AM207" s="320">
        <f t="shared" si="86"/>
        <v>0</v>
      </c>
      <c r="AN207" s="320"/>
      <c r="AP207" s="266" t="s">
        <v>123</v>
      </c>
      <c r="AQ207" s="580">
        <v>0</v>
      </c>
      <c r="AR207" s="580">
        <v>0</v>
      </c>
      <c r="AS207" s="580">
        <v>0</v>
      </c>
      <c r="AT207" s="580">
        <v>0</v>
      </c>
      <c r="AU207" s="580">
        <v>0</v>
      </c>
      <c r="AV207" s="580">
        <v>0</v>
      </c>
      <c r="AW207" s="580">
        <v>0</v>
      </c>
      <c r="AX207" s="580">
        <v>0</v>
      </c>
      <c r="AY207" s="580">
        <v>0</v>
      </c>
      <c r="AZ207" s="580">
        <v>0</v>
      </c>
      <c r="BA207" s="580">
        <v>0</v>
      </c>
      <c r="BB207" s="580">
        <v>0</v>
      </c>
      <c r="BC207" s="580">
        <v>0</v>
      </c>
      <c r="BD207" s="580">
        <v>0</v>
      </c>
      <c r="BE207" s="580">
        <v>0</v>
      </c>
      <c r="BF207" s="580">
        <v>0</v>
      </c>
      <c r="BG207" s="580">
        <v>0</v>
      </c>
      <c r="BH207" s="580">
        <v>0</v>
      </c>
      <c r="BI207" s="580">
        <v>0</v>
      </c>
      <c r="BJ207" s="580">
        <v>0</v>
      </c>
      <c r="BK207" s="580">
        <v>0</v>
      </c>
      <c r="BL207" s="580">
        <v>0</v>
      </c>
      <c r="BM207" s="580">
        <v>0</v>
      </c>
      <c r="BN207" s="580">
        <v>0</v>
      </c>
      <c r="BO207" s="580">
        <v>0</v>
      </c>
      <c r="BP207" s="580">
        <v>0</v>
      </c>
      <c r="BQ207" s="580">
        <v>0</v>
      </c>
      <c r="BR207" s="580">
        <v>0</v>
      </c>
      <c r="BS207" s="580">
        <v>0</v>
      </c>
      <c r="BT207" s="580">
        <v>0.33333333333300003</v>
      </c>
      <c r="BU207" s="580">
        <v>0.33333333333300003</v>
      </c>
      <c r="BV207" s="580">
        <v>0.33333333333300003</v>
      </c>
      <c r="BW207" s="580">
        <v>0</v>
      </c>
      <c r="BX207" s="580">
        <v>0</v>
      </c>
      <c r="BY207" s="580">
        <v>0</v>
      </c>
    </row>
    <row r="208" spans="2:91" ht="14.45" customHeight="1">
      <c r="B208" s="324" t="s">
        <v>124</v>
      </c>
      <c r="D208" s="320">
        <f t="shared" si="87"/>
        <v>0</v>
      </c>
      <c r="E208" s="320">
        <f t="shared" si="52"/>
        <v>0</v>
      </c>
      <c r="F208" s="320">
        <f t="shared" si="53"/>
        <v>0</v>
      </c>
      <c r="G208" s="320">
        <f t="shared" si="54"/>
        <v>0</v>
      </c>
      <c r="H208" s="320">
        <f t="shared" si="55"/>
        <v>0</v>
      </c>
      <c r="I208" s="320">
        <f t="shared" si="56"/>
        <v>0</v>
      </c>
      <c r="J208" s="320">
        <f t="shared" si="57"/>
        <v>0</v>
      </c>
      <c r="K208" s="320">
        <f t="shared" si="58"/>
        <v>0</v>
      </c>
      <c r="L208" s="320">
        <f t="shared" si="59"/>
        <v>0</v>
      </c>
      <c r="M208" s="320">
        <f t="shared" si="60"/>
        <v>0</v>
      </c>
      <c r="N208" s="320">
        <f t="shared" si="61"/>
        <v>0</v>
      </c>
      <c r="O208" s="320">
        <f t="shared" si="62"/>
        <v>0</v>
      </c>
      <c r="P208" s="320">
        <f t="shared" si="63"/>
        <v>0</v>
      </c>
      <c r="Q208" s="320">
        <f t="shared" si="64"/>
        <v>0</v>
      </c>
      <c r="R208" s="320">
        <f t="shared" si="65"/>
        <v>0</v>
      </c>
      <c r="S208" s="320">
        <f t="shared" si="66"/>
        <v>0</v>
      </c>
      <c r="T208" s="320">
        <f t="shared" si="67"/>
        <v>0</v>
      </c>
      <c r="U208" s="320">
        <f t="shared" si="68"/>
        <v>0</v>
      </c>
      <c r="V208" s="320">
        <f t="shared" si="69"/>
        <v>0</v>
      </c>
      <c r="W208" s="320">
        <f t="shared" si="70"/>
        <v>0</v>
      </c>
      <c r="X208" s="320">
        <f t="shared" si="71"/>
        <v>0</v>
      </c>
      <c r="Y208" s="320">
        <f t="shared" si="72"/>
        <v>0</v>
      </c>
      <c r="Z208" s="320">
        <f t="shared" si="73"/>
        <v>0</v>
      </c>
      <c r="AA208" s="320">
        <f t="shared" si="74"/>
        <v>0</v>
      </c>
      <c r="AB208" s="320">
        <f t="shared" si="75"/>
        <v>0</v>
      </c>
      <c r="AC208" s="320">
        <f t="shared" si="76"/>
        <v>0</v>
      </c>
      <c r="AD208" s="320">
        <f t="shared" si="77"/>
        <v>0</v>
      </c>
      <c r="AE208" s="320">
        <f t="shared" si="78"/>
        <v>0</v>
      </c>
      <c r="AF208" s="320">
        <f t="shared" si="79"/>
        <v>0</v>
      </c>
      <c r="AG208" s="320">
        <f t="shared" si="80"/>
        <v>0</v>
      </c>
      <c r="AH208" s="320">
        <f t="shared" si="81"/>
        <v>0</v>
      </c>
      <c r="AI208" s="320">
        <f t="shared" si="82"/>
        <v>0</v>
      </c>
      <c r="AJ208" s="320">
        <f t="shared" si="83"/>
        <v>0</v>
      </c>
      <c r="AK208" s="320">
        <f t="shared" si="84"/>
        <v>0</v>
      </c>
      <c r="AL208" s="320">
        <f t="shared" si="85"/>
        <v>0</v>
      </c>
      <c r="AM208" s="320">
        <f t="shared" si="86"/>
        <v>0</v>
      </c>
      <c r="AN208" s="320"/>
      <c r="AP208" s="266" t="s">
        <v>124</v>
      </c>
      <c r="AQ208" s="580">
        <v>0</v>
      </c>
      <c r="AR208" s="580">
        <v>0</v>
      </c>
      <c r="AS208" s="580">
        <v>0</v>
      </c>
      <c r="AT208" s="580">
        <v>0</v>
      </c>
      <c r="AU208" s="580">
        <v>0</v>
      </c>
      <c r="AV208" s="580">
        <v>0</v>
      </c>
      <c r="AW208" s="580">
        <v>0</v>
      </c>
      <c r="AX208" s="580">
        <v>0</v>
      </c>
      <c r="AY208" s="580">
        <v>0</v>
      </c>
      <c r="AZ208" s="580">
        <v>0</v>
      </c>
      <c r="BA208" s="580">
        <v>0</v>
      </c>
      <c r="BB208" s="580">
        <v>0</v>
      </c>
      <c r="BC208" s="580">
        <v>0</v>
      </c>
      <c r="BD208" s="580">
        <v>0</v>
      </c>
      <c r="BE208" s="580">
        <v>0</v>
      </c>
      <c r="BF208" s="580">
        <v>0</v>
      </c>
      <c r="BG208" s="580">
        <v>0</v>
      </c>
      <c r="BH208" s="580">
        <v>0</v>
      </c>
      <c r="BI208" s="580">
        <v>0</v>
      </c>
      <c r="BJ208" s="580">
        <v>0</v>
      </c>
      <c r="BK208" s="580">
        <v>0</v>
      </c>
      <c r="BL208" s="580">
        <v>0</v>
      </c>
      <c r="BM208" s="580">
        <v>0</v>
      </c>
      <c r="BN208" s="580">
        <v>0</v>
      </c>
      <c r="BO208" s="580">
        <v>0</v>
      </c>
      <c r="BP208" s="580">
        <v>0</v>
      </c>
      <c r="BQ208" s="580">
        <v>0</v>
      </c>
      <c r="BR208" s="580">
        <v>0</v>
      </c>
      <c r="BS208" s="580">
        <v>0</v>
      </c>
      <c r="BT208" s="580">
        <v>0</v>
      </c>
      <c r="BU208" s="580">
        <v>0.33333333333300003</v>
      </c>
      <c r="BV208" s="580">
        <v>0.33333333333300003</v>
      </c>
      <c r="BW208" s="630" t="s">
        <v>1416</v>
      </c>
      <c r="BX208" s="580">
        <v>0</v>
      </c>
      <c r="BY208" s="580">
        <v>0</v>
      </c>
    </row>
    <row r="209" spans="2:77" ht="14.45" customHeight="1">
      <c r="AQ209" s="326">
        <f>SUM(AQ174:AQ208)</f>
        <v>0.99999999999900013</v>
      </c>
      <c r="AR209" s="326">
        <f t="shared" ref="AR209:BY209" si="88">SUM(AR174:AR208)</f>
        <v>0.99999999999900013</v>
      </c>
      <c r="AS209" s="326">
        <f t="shared" si="88"/>
        <v>0.99999999999900013</v>
      </c>
      <c r="AT209" s="326">
        <f t="shared" si="88"/>
        <v>0.99999999999900013</v>
      </c>
      <c r="AU209" s="326">
        <f t="shared" si="88"/>
        <v>0.99999999999900013</v>
      </c>
      <c r="AV209" s="326">
        <f t="shared" si="88"/>
        <v>0.99999999999900013</v>
      </c>
      <c r="AW209" s="326">
        <f t="shared" si="88"/>
        <v>0.99999999999900013</v>
      </c>
      <c r="AX209" s="326">
        <f t="shared" si="88"/>
        <v>0.99999999999900013</v>
      </c>
      <c r="AY209" s="326">
        <f t="shared" si="88"/>
        <v>0.99999999999900013</v>
      </c>
      <c r="AZ209" s="326">
        <f t="shared" si="88"/>
        <v>0.99999999999900013</v>
      </c>
      <c r="BA209" s="326">
        <f t="shared" si="88"/>
        <v>0.99999999999900013</v>
      </c>
      <c r="BB209" s="326">
        <f t="shared" si="88"/>
        <v>0.99999999999900013</v>
      </c>
      <c r="BC209" s="326">
        <f t="shared" si="88"/>
        <v>0.99999999999900013</v>
      </c>
      <c r="BD209" s="326">
        <f t="shared" si="88"/>
        <v>0.99999999999900013</v>
      </c>
      <c r="BE209" s="326">
        <f t="shared" si="88"/>
        <v>0.99999999999900013</v>
      </c>
      <c r="BF209" s="326">
        <f t="shared" si="88"/>
        <v>0.99999999999900013</v>
      </c>
      <c r="BG209" s="326">
        <f t="shared" si="88"/>
        <v>0.99999999999900013</v>
      </c>
      <c r="BH209" s="326">
        <f t="shared" si="88"/>
        <v>0.99999999999900013</v>
      </c>
      <c r="BI209" s="326">
        <f t="shared" si="88"/>
        <v>0.99999999999900013</v>
      </c>
      <c r="BJ209" s="326">
        <f t="shared" si="88"/>
        <v>0.99999999999900013</v>
      </c>
      <c r="BK209" s="326">
        <f t="shared" si="88"/>
        <v>0.99999999999900013</v>
      </c>
      <c r="BL209" s="326">
        <f t="shared" si="88"/>
        <v>0.99999999999900013</v>
      </c>
      <c r="BM209" s="326">
        <f t="shared" si="88"/>
        <v>0.99999999999900013</v>
      </c>
      <c r="BN209" s="326">
        <f t="shared" si="88"/>
        <v>0.99999999999900013</v>
      </c>
      <c r="BO209" s="326">
        <f t="shared" si="88"/>
        <v>0.99999999999900013</v>
      </c>
      <c r="BP209" s="326">
        <f t="shared" si="88"/>
        <v>0.99999999999900013</v>
      </c>
      <c r="BQ209" s="326">
        <f t="shared" si="88"/>
        <v>0.99999999999900013</v>
      </c>
      <c r="BR209" s="326">
        <f t="shared" si="88"/>
        <v>0.99999999999900013</v>
      </c>
      <c r="BS209" s="326">
        <f t="shared" si="88"/>
        <v>0.99999999999900013</v>
      </c>
      <c r="BT209" s="326">
        <f t="shared" si="88"/>
        <v>0.99999999999900013</v>
      </c>
      <c r="BU209" s="326">
        <f t="shared" si="88"/>
        <v>0.99999999999900013</v>
      </c>
      <c r="BV209" s="326">
        <f t="shared" si="88"/>
        <v>0.66666666666600005</v>
      </c>
      <c r="BW209" s="326">
        <f t="shared" si="88"/>
        <v>0</v>
      </c>
      <c r="BX209" s="326">
        <f t="shared" si="88"/>
        <v>0</v>
      </c>
      <c r="BY209" s="326">
        <f t="shared" si="88"/>
        <v>0</v>
      </c>
    </row>
    <row r="210" spans="2:77" ht="14.45" customHeight="1">
      <c r="AV210" s="325"/>
      <c r="AW210" s="326"/>
      <c r="AX210" s="326"/>
      <c r="AY210" s="326"/>
      <c r="AZ210" s="326"/>
      <c r="BA210" s="326"/>
      <c r="BB210" s="325"/>
      <c r="BC210" s="325"/>
      <c r="BD210" s="325"/>
      <c r="BE210" s="325"/>
      <c r="BF210" s="325"/>
      <c r="BG210" s="325"/>
      <c r="BH210" s="325"/>
      <c r="BI210" s="325"/>
      <c r="BJ210" s="325"/>
      <c r="BK210" s="325"/>
      <c r="BL210" s="325"/>
      <c r="BM210" s="325"/>
      <c r="BN210" s="325"/>
      <c r="BO210" s="325"/>
      <c r="BP210" s="325"/>
      <c r="BQ210" s="325"/>
      <c r="BR210" s="325"/>
      <c r="BS210" s="325"/>
      <c r="BX210" s="326"/>
      <c r="BY210" s="326"/>
    </row>
    <row r="211" spans="2:77" ht="15.6">
      <c r="B211" s="789" t="s">
        <v>1417</v>
      </c>
      <c r="AY211" s="326"/>
      <c r="AZ211" s="326"/>
      <c r="BA211" s="326"/>
      <c r="BB211" s="325"/>
      <c r="BC211" s="325"/>
      <c r="BD211" s="325"/>
      <c r="BE211" s="325"/>
      <c r="BF211" s="325"/>
      <c r="BG211" s="325"/>
      <c r="BH211" s="325"/>
      <c r="BI211" s="325"/>
      <c r="BJ211" s="325"/>
      <c r="BK211" s="325"/>
      <c r="BL211" s="325"/>
      <c r="BM211" s="325"/>
      <c r="BN211" s="325"/>
      <c r="BO211" s="325"/>
      <c r="BP211" s="325"/>
      <c r="BQ211" s="325"/>
      <c r="BR211" s="325"/>
      <c r="BS211" s="325"/>
    </row>
    <row r="212" spans="2:77" ht="15.6">
      <c r="B212" s="789"/>
      <c r="E212" s="316" t="s">
        <v>84</v>
      </c>
      <c r="F212" s="316" t="s">
        <v>86</v>
      </c>
      <c r="G212" s="316" t="s">
        <v>92</v>
      </c>
      <c r="H212" s="316" t="s">
        <v>93</v>
      </c>
      <c r="I212" s="316" t="s">
        <v>94</v>
      </c>
      <c r="J212" s="316" t="s">
        <v>95</v>
      </c>
      <c r="K212" s="316" t="s">
        <v>96</v>
      </c>
      <c r="L212" s="316" t="s">
        <v>97</v>
      </c>
      <c r="M212" s="316" t="s">
        <v>98</v>
      </c>
      <c r="N212" s="316" t="s">
        <v>99</v>
      </c>
      <c r="O212" s="316" t="s">
        <v>100</v>
      </c>
      <c r="P212" s="316" t="s">
        <v>101</v>
      </c>
      <c r="Q212" s="316" t="s">
        <v>102</v>
      </c>
      <c r="R212" s="316" t="s">
        <v>103</v>
      </c>
      <c r="S212" s="316" t="s">
        <v>104</v>
      </c>
      <c r="T212" s="316" t="s">
        <v>105</v>
      </c>
      <c r="U212" s="316" t="s">
        <v>106</v>
      </c>
      <c r="V212" s="316" t="s">
        <v>107</v>
      </c>
      <c r="W212" s="316" t="s">
        <v>108</v>
      </c>
      <c r="X212" s="316" t="s">
        <v>109</v>
      </c>
      <c r="Y212" s="316" t="s">
        <v>110</v>
      </c>
      <c r="Z212" s="316" t="s">
        <v>111</v>
      </c>
      <c r="AA212" s="316" t="s">
        <v>112</v>
      </c>
      <c r="AB212" s="316" t="s">
        <v>113</v>
      </c>
      <c r="AC212" s="316" t="s">
        <v>114</v>
      </c>
      <c r="AD212" s="316" t="s">
        <v>115</v>
      </c>
      <c r="AE212" s="316" t="s">
        <v>116</v>
      </c>
      <c r="AF212" s="316" t="s">
        <v>117</v>
      </c>
      <c r="AG212" s="316" t="s">
        <v>118</v>
      </c>
      <c r="AH212" s="316" t="s">
        <v>119</v>
      </c>
      <c r="AI212" s="316" t="s">
        <v>120</v>
      </c>
      <c r="AJ212" s="316" t="s">
        <v>121</v>
      </c>
      <c r="AK212" s="316" t="s">
        <v>122</v>
      </c>
      <c r="AL212" s="316" t="s">
        <v>123</v>
      </c>
      <c r="AM212" s="316" t="s">
        <v>124</v>
      </c>
      <c r="AN212" s="316"/>
      <c r="AQ212" s="266">
        <v>1</v>
      </c>
      <c r="AR212" s="266">
        <v>2</v>
      </c>
      <c r="AS212" s="266">
        <v>3</v>
      </c>
      <c r="AT212" s="266">
        <v>4</v>
      </c>
      <c r="AU212" s="266">
        <v>5</v>
      </c>
      <c r="AV212" s="266">
        <v>6</v>
      </c>
      <c r="AW212" s="266">
        <v>7</v>
      </c>
      <c r="AX212" s="266">
        <v>8</v>
      </c>
      <c r="AY212" s="266">
        <v>9</v>
      </c>
      <c r="AZ212" s="266">
        <v>10</v>
      </c>
      <c r="BA212" s="266">
        <v>11</v>
      </c>
      <c r="BB212" s="266">
        <v>12</v>
      </c>
      <c r="BC212" s="266">
        <v>13</v>
      </c>
      <c r="BD212" s="266">
        <v>14</v>
      </c>
      <c r="BE212" s="266">
        <v>15</v>
      </c>
      <c r="BF212" s="266">
        <v>16</v>
      </c>
      <c r="BG212" s="266">
        <v>17</v>
      </c>
      <c r="BH212" s="266">
        <v>18</v>
      </c>
      <c r="BI212" s="266">
        <v>19</v>
      </c>
      <c r="BJ212" s="266">
        <v>20</v>
      </c>
      <c r="BK212" s="266">
        <v>21</v>
      </c>
      <c r="BL212" s="266">
        <v>22</v>
      </c>
      <c r="BM212" s="266">
        <v>23</v>
      </c>
      <c r="BN212" s="266">
        <v>24</v>
      </c>
      <c r="BO212" s="266">
        <v>25</v>
      </c>
      <c r="BP212" s="266">
        <v>26</v>
      </c>
      <c r="BQ212" s="266">
        <v>27</v>
      </c>
      <c r="BR212" s="266">
        <v>28</v>
      </c>
      <c r="BS212" s="266">
        <v>29</v>
      </c>
      <c r="BT212" s="266">
        <v>30</v>
      </c>
      <c r="BU212" s="266">
        <v>31</v>
      </c>
      <c r="BV212" s="266">
        <v>32</v>
      </c>
      <c r="BW212" s="266">
        <v>33</v>
      </c>
      <c r="BX212" s="266">
        <v>34</v>
      </c>
      <c r="BY212" s="266">
        <v>35</v>
      </c>
    </row>
    <row r="213" spans="2:77">
      <c r="E213" s="319">
        <f t="array" ref="E213:AM213">TRANSPOSE(D214:D248)</f>
        <v>0</v>
      </c>
      <c r="F213" s="319">
        <v>0</v>
      </c>
      <c r="G213" s="319">
        <v>0</v>
      </c>
      <c r="H213" s="319">
        <v>3937.4480281053156</v>
      </c>
      <c r="I213" s="319">
        <v>3937.4480281053156</v>
      </c>
      <c r="J213" s="319">
        <v>3937.4480281053156</v>
      </c>
      <c r="K213" s="319">
        <v>3937.4480281053156</v>
      </c>
      <c r="L213" s="319">
        <v>3937.4480281053156</v>
      </c>
      <c r="M213" s="319">
        <v>0</v>
      </c>
      <c r="N213" s="319">
        <v>0</v>
      </c>
      <c r="O213" s="319">
        <v>0</v>
      </c>
      <c r="P213" s="319">
        <v>0</v>
      </c>
      <c r="Q213" s="319">
        <v>0</v>
      </c>
      <c r="R213" s="319">
        <v>0</v>
      </c>
      <c r="S213" s="319">
        <v>0</v>
      </c>
      <c r="T213" s="319">
        <v>0</v>
      </c>
      <c r="U213" s="319">
        <v>0</v>
      </c>
      <c r="V213" s="319">
        <v>0</v>
      </c>
      <c r="W213" s="319">
        <v>0</v>
      </c>
      <c r="X213" s="319">
        <v>0</v>
      </c>
      <c r="Y213" s="319">
        <v>0</v>
      </c>
      <c r="Z213" s="319">
        <v>0</v>
      </c>
      <c r="AA213" s="319">
        <v>0</v>
      </c>
      <c r="AB213" s="319">
        <v>0</v>
      </c>
      <c r="AC213" s="319">
        <v>0</v>
      </c>
      <c r="AD213" s="319">
        <v>0</v>
      </c>
      <c r="AE213" s="319">
        <v>0</v>
      </c>
      <c r="AF213" s="319">
        <v>0</v>
      </c>
      <c r="AG213" s="319">
        <v>0</v>
      </c>
      <c r="AH213" s="319">
        <v>0</v>
      </c>
      <c r="AI213" s="319">
        <v>0</v>
      </c>
      <c r="AJ213" s="319">
        <v>0</v>
      </c>
      <c r="AK213" s="319">
        <v>0</v>
      </c>
      <c r="AL213" s="319">
        <v>0</v>
      </c>
      <c r="AM213" s="319">
        <v>0</v>
      </c>
      <c r="AP213" s="266" t="s">
        <v>84</v>
      </c>
      <c r="AQ213" s="326">
        <v>0</v>
      </c>
      <c r="AR213" s="326">
        <v>0</v>
      </c>
      <c r="AS213" s="326">
        <v>0</v>
      </c>
      <c r="AT213" s="326">
        <v>0</v>
      </c>
      <c r="AU213" s="326">
        <v>0</v>
      </c>
      <c r="AV213" s="326">
        <v>0</v>
      </c>
      <c r="AW213" s="326">
        <v>0</v>
      </c>
      <c r="AX213" s="326">
        <v>0</v>
      </c>
      <c r="AY213" s="326">
        <v>0</v>
      </c>
      <c r="AZ213" s="326">
        <v>0</v>
      </c>
      <c r="BA213" s="326">
        <v>0</v>
      </c>
      <c r="BB213" s="326">
        <v>0</v>
      </c>
      <c r="BC213" s="326">
        <v>0</v>
      </c>
      <c r="BD213" s="326">
        <v>0</v>
      </c>
      <c r="BE213" s="326">
        <v>0</v>
      </c>
      <c r="BF213" s="326">
        <v>0</v>
      </c>
      <c r="BG213" s="326">
        <v>0</v>
      </c>
      <c r="BH213" s="326">
        <v>0</v>
      </c>
      <c r="BI213" s="326">
        <v>0</v>
      </c>
      <c r="BJ213" s="326">
        <v>0</v>
      </c>
      <c r="BK213" s="326">
        <v>0</v>
      </c>
      <c r="BL213" s="326">
        <v>0</v>
      </c>
      <c r="BM213" s="326">
        <v>0</v>
      </c>
      <c r="BN213" s="326">
        <v>0</v>
      </c>
      <c r="BO213" s="326">
        <v>0</v>
      </c>
      <c r="BP213" s="326">
        <v>0</v>
      </c>
      <c r="BQ213" s="326">
        <v>0</v>
      </c>
      <c r="BR213" s="326">
        <v>0</v>
      </c>
      <c r="BS213" s="326">
        <v>0</v>
      </c>
      <c r="BT213" s="326">
        <v>0</v>
      </c>
      <c r="BU213" s="326">
        <v>0</v>
      </c>
      <c r="BV213" s="326">
        <v>0</v>
      </c>
      <c r="BW213" s="326">
        <v>0</v>
      </c>
      <c r="BX213" s="326">
        <v>0</v>
      </c>
      <c r="BY213" s="326">
        <v>0</v>
      </c>
    </row>
    <row r="214" spans="2:77">
      <c r="B214" s="324" t="s">
        <v>84</v>
      </c>
      <c r="D214" s="320">
        <f>SUM(E214:AN214)</f>
        <v>0</v>
      </c>
      <c r="E214" s="319">
        <f t="shared" ref="E214:E248" si="89">IFERROR((D$114+D$115+D$116+D$118+D$121+D$122)*AQ213,0)</f>
        <v>0</v>
      </c>
      <c r="F214" s="319">
        <f t="shared" ref="F214:F248" si="90">IFERROR((E$114+E$115+E$116+E$118+E$121+E$122)*AR213,0)</f>
        <v>0</v>
      </c>
      <c r="G214" s="319">
        <f t="shared" ref="G214:G248" si="91">IFERROR((F$114+F$115+F$116+F$118+F$121+F$122)*AS213,0)</f>
        <v>0</v>
      </c>
      <c r="H214" s="319">
        <f t="shared" ref="H214:H248" si="92">IFERROR((G$114+G$115+G$116+G$118+G$121+G$122)*AT213,0)</f>
        <v>0</v>
      </c>
      <c r="I214" s="319">
        <f t="shared" ref="I214:I248" si="93">IFERROR((H$114+H$115+H$116+H$118+H$121+H$122)*AU213,0)</f>
        <v>0</v>
      </c>
      <c r="J214" s="319">
        <f t="shared" ref="J214:J248" si="94">IFERROR((I$114+I$115+I$116+I$118+I$121+I$122)*AV213,0)</f>
        <v>0</v>
      </c>
      <c r="K214" s="319">
        <f t="shared" ref="K214:K248" si="95">IFERROR((J$114+J$115+J$116+J$118+J$121+J$122)*AW213,0)</f>
        <v>0</v>
      </c>
      <c r="L214" s="319">
        <f t="shared" ref="L214:L248" si="96">IFERROR((K$114+K$115+K$116+K$118+K$121+K$122)*AX213,0)</f>
        <v>0</v>
      </c>
      <c r="M214" s="319">
        <f t="shared" ref="M214:M248" si="97">IFERROR((L$114+L$115+L$116+L$118+L$121+L$122)*AY213,0)</f>
        <v>0</v>
      </c>
      <c r="N214" s="319">
        <f t="shared" ref="N214:N248" si="98">IFERROR((M$114+M$115+M$116+M$118+M$121+M$122)*AZ213,0)</f>
        <v>0</v>
      </c>
      <c r="O214" s="319">
        <f t="shared" ref="O214:O248" si="99">IFERROR((N$114+N$115+N$116+N$118+N$121+N$122)*BA213,0)</f>
        <v>0</v>
      </c>
      <c r="P214" s="319">
        <f t="shared" ref="P214:P248" si="100">IFERROR((O$114+O$115+O$116+O$118+O$121+O$122)*BB213,0)</f>
        <v>0</v>
      </c>
      <c r="Q214" s="319">
        <f t="shared" ref="Q214:Q248" si="101">IFERROR((P$114+P$115+P$116+P$118+P$121+P$122)*BC213,0)</f>
        <v>0</v>
      </c>
      <c r="R214" s="319">
        <f t="shared" ref="R214:R248" si="102">IFERROR((Q$114+Q$115+Q$116+Q$118+Q$121+Q$122)*BD213,0)</f>
        <v>0</v>
      </c>
      <c r="S214" s="319">
        <f t="shared" ref="S214:S248" si="103">IFERROR((R$114+R$115+R$116+R$118+R$121+R$122)*BE213,0)</f>
        <v>0</v>
      </c>
      <c r="T214" s="319">
        <f t="shared" ref="T214:T248" si="104">IFERROR((S$114+S$115+S$116+S$118+S$121+S$122)*BF213,0)</f>
        <v>0</v>
      </c>
      <c r="U214" s="319">
        <f t="shared" ref="U214:U248" si="105">IFERROR((T$114+T$115+T$116+T$118+T$121+T$122)*BG213,0)</f>
        <v>0</v>
      </c>
      <c r="V214" s="319">
        <f t="shared" ref="V214:V248" si="106">IFERROR((U$114+U$115+U$116+U$118+U$121+U$122)*BH213,0)</f>
        <v>0</v>
      </c>
      <c r="W214" s="319">
        <f t="shared" ref="W214:W248" si="107">IFERROR((V$114+V$115+V$116+V$118+V$121+V$122)*BI213,0)</f>
        <v>0</v>
      </c>
      <c r="X214" s="319">
        <f t="shared" ref="X214:X248" si="108">IFERROR((W$114+W$115+W$116+W$118+W$121+W$122)*BJ213,0)</f>
        <v>0</v>
      </c>
      <c r="Y214" s="319">
        <f t="shared" ref="Y214:Y248" si="109">IFERROR((X$114+X$115+X$116+X$118+X$121+X$122)*BK213,0)</f>
        <v>0</v>
      </c>
      <c r="Z214" s="319">
        <f t="shared" ref="Z214:Z248" si="110">IFERROR((Y$114+Y$115+Y$116+Y$118+Y$121+Y$122)*BL213,0)</f>
        <v>0</v>
      </c>
      <c r="AA214" s="319">
        <f t="shared" ref="AA214:AA248" si="111">IFERROR((Z$114+Z$115+Z$116+Z$118+Z$121+Z$122)*BM213,0)</f>
        <v>0</v>
      </c>
      <c r="AB214" s="319">
        <f t="shared" ref="AB214:AB248" si="112">IFERROR((AA$114+AA$115+AA$116+AA$118+AA$121+AA$122)*BN213,0)</f>
        <v>0</v>
      </c>
      <c r="AC214" s="319">
        <f t="shared" ref="AC214:AC248" si="113">IFERROR((AB$114+AB$115+AB$116+AB$118+AB$121+AB$122)*BO213,0)</f>
        <v>0</v>
      </c>
      <c r="AD214" s="319">
        <f t="shared" ref="AD214:AD248" si="114">IFERROR((AC$114+AC$115+AC$116+AC$118+AC$121+AC$122)*BP213,0)</f>
        <v>0</v>
      </c>
      <c r="AE214" s="319">
        <f t="shared" ref="AE214:AE248" si="115">IFERROR((AD$114+AD$115+AD$116+AD$118+AD$121+AD$122)*BQ213,0)</f>
        <v>0</v>
      </c>
      <c r="AF214" s="319">
        <f t="shared" ref="AF214:AF248" si="116">IFERROR((AE$114+AE$115+AE$116+AE$118+AE$121+AE$122)*BR213,0)</f>
        <v>0</v>
      </c>
      <c r="AG214" s="319">
        <f t="shared" ref="AG214:AG248" si="117">IFERROR((AF$114+AF$115+AF$116+AF$118+AF$121+AF$122)*BS213,0)</f>
        <v>0</v>
      </c>
      <c r="AH214" s="319">
        <f t="shared" ref="AH214:AH248" si="118">IFERROR((AG$114+AG$115+AG$116+AG$118+AG$121+AG$122)*BT213,0)</f>
        <v>0</v>
      </c>
      <c r="AI214" s="319">
        <f t="shared" ref="AI214:AI248" si="119">IFERROR((AH$114+AH$115+AH$116+AH$118+AH$121+AH$122)*BU213,0)</f>
        <v>0</v>
      </c>
      <c r="AJ214" s="319">
        <f t="shared" ref="AJ214:AJ248" si="120">IFERROR((AI$114+AI$115+AI$116+AI$118+AI$121+AI$122)*BV213,0)</f>
        <v>0</v>
      </c>
      <c r="AK214" s="319">
        <f t="shared" ref="AK214:AK248" si="121">IFERROR((AJ$114+AJ$115+AJ$116+AJ$118+AJ$121+AJ$122)*BW213,0)</f>
        <v>0</v>
      </c>
      <c r="AL214" s="319">
        <f t="shared" ref="AL214:AL248" si="122">IFERROR((AK$114+AK$115+AK$116+AK$118+AK$121+AK$122)*BX213,0)</f>
        <v>0</v>
      </c>
      <c r="AM214" s="319">
        <f t="shared" ref="AM214:AM248" si="123">IFERROR((AL$114+AL$115+AL$116+AL$118+AL$121+AL$122)*BY213,0)</f>
        <v>0</v>
      </c>
      <c r="AN214" s="319"/>
      <c r="AP214" s="266" t="s">
        <v>86</v>
      </c>
      <c r="AQ214" s="326">
        <v>0</v>
      </c>
      <c r="AR214" s="326">
        <v>0</v>
      </c>
      <c r="AS214" s="326">
        <v>0</v>
      </c>
      <c r="AT214" s="326">
        <v>0</v>
      </c>
      <c r="AU214" s="326">
        <v>0</v>
      </c>
      <c r="AV214" s="326">
        <v>0</v>
      </c>
      <c r="AW214" s="326">
        <v>0</v>
      </c>
      <c r="AX214" s="326">
        <v>0</v>
      </c>
      <c r="AY214" s="326">
        <v>0</v>
      </c>
      <c r="AZ214" s="326">
        <v>0</v>
      </c>
      <c r="BA214" s="326">
        <v>0</v>
      </c>
      <c r="BB214" s="326">
        <v>0</v>
      </c>
      <c r="BC214" s="326">
        <v>0</v>
      </c>
      <c r="BD214" s="326">
        <v>0</v>
      </c>
      <c r="BE214" s="326">
        <v>0</v>
      </c>
      <c r="BF214" s="326">
        <v>0</v>
      </c>
      <c r="BG214" s="326">
        <v>0</v>
      </c>
      <c r="BH214" s="326">
        <v>0</v>
      </c>
      <c r="BI214" s="326">
        <v>0</v>
      </c>
      <c r="BJ214" s="326">
        <v>0</v>
      </c>
      <c r="BK214" s="326">
        <v>0</v>
      </c>
      <c r="BL214" s="326">
        <v>0</v>
      </c>
      <c r="BM214" s="326">
        <v>0</v>
      </c>
      <c r="BN214" s="326">
        <v>0</v>
      </c>
      <c r="BO214" s="326">
        <v>0</v>
      </c>
      <c r="BP214" s="326">
        <v>0</v>
      </c>
      <c r="BQ214" s="326">
        <v>0</v>
      </c>
      <c r="BR214" s="326">
        <v>0</v>
      </c>
      <c r="BS214" s="326">
        <v>0</v>
      </c>
      <c r="BT214" s="326">
        <v>0</v>
      </c>
      <c r="BU214" s="326">
        <v>0</v>
      </c>
      <c r="BV214" s="326">
        <v>0</v>
      </c>
      <c r="BW214" s="326">
        <v>0</v>
      </c>
      <c r="BX214" s="326">
        <v>0</v>
      </c>
      <c r="BY214" s="326">
        <v>0</v>
      </c>
    </row>
    <row r="215" spans="2:77">
      <c r="B215" s="324" t="s">
        <v>86</v>
      </c>
      <c r="D215" s="320">
        <f t="shared" ref="D215:D248" si="124">SUM(E215:AN215)</f>
        <v>0</v>
      </c>
      <c r="E215" s="319">
        <f t="shared" si="89"/>
        <v>0</v>
      </c>
      <c r="F215" s="319">
        <f t="shared" si="90"/>
        <v>0</v>
      </c>
      <c r="G215" s="319">
        <f t="shared" si="91"/>
        <v>0</v>
      </c>
      <c r="H215" s="319">
        <f t="shared" si="92"/>
        <v>0</v>
      </c>
      <c r="I215" s="319">
        <f t="shared" si="93"/>
        <v>0</v>
      </c>
      <c r="J215" s="319">
        <f t="shared" si="94"/>
        <v>0</v>
      </c>
      <c r="K215" s="319">
        <f t="shared" si="95"/>
        <v>0</v>
      </c>
      <c r="L215" s="319">
        <f t="shared" si="96"/>
        <v>0</v>
      </c>
      <c r="M215" s="319">
        <f t="shared" si="97"/>
        <v>0</v>
      </c>
      <c r="N215" s="319">
        <f t="shared" si="98"/>
        <v>0</v>
      </c>
      <c r="O215" s="319">
        <f t="shared" si="99"/>
        <v>0</v>
      </c>
      <c r="P215" s="319">
        <f t="shared" si="100"/>
        <v>0</v>
      </c>
      <c r="Q215" s="319">
        <f t="shared" si="101"/>
        <v>0</v>
      </c>
      <c r="R215" s="319">
        <f t="shared" si="102"/>
        <v>0</v>
      </c>
      <c r="S215" s="319">
        <f t="shared" si="103"/>
        <v>0</v>
      </c>
      <c r="T215" s="319">
        <f t="shared" si="104"/>
        <v>0</v>
      </c>
      <c r="U215" s="319">
        <f t="shared" si="105"/>
        <v>0</v>
      </c>
      <c r="V215" s="319">
        <f t="shared" si="106"/>
        <v>0</v>
      </c>
      <c r="W215" s="319">
        <f t="shared" si="107"/>
        <v>0</v>
      </c>
      <c r="X215" s="319">
        <f t="shared" si="108"/>
        <v>0</v>
      </c>
      <c r="Y215" s="319">
        <f t="shared" si="109"/>
        <v>0</v>
      </c>
      <c r="Z215" s="319">
        <f t="shared" si="110"/>
        <v>0</v>
      </c>
      <c r="AA215" s="319">
        <f t="shared" si="111"/>
        <v>0</v>
      </c>
      <c r="AB215" s="319">
        <f t="shared" si="112"/>
        <v>0</v>
      </c>
      <c r="AC215" s="319">
        <f t="shared" si="113"/>
        <v>0</v>
      </c>
      <c r="AD215" s="319">
        <f t="shared" si="114"/>
        <v>0</v>
      </c>
      <c r="AE215" s="319">
        <f t="shared" si="115"/>
        <v>0</v>
      </c>
      <c r="AF215" s="319">
        <f t="shared" si="116"/>
        <v>0</v>
      </c>
      <c r="AG215" s="319">
        <f t="shared" si="117"/>
        <v>0</v>
      </c>
      <c r="AH215" s="319">
        <f t="shared" si="118"/>
        <v>0</v>
      </c>
      <c r="AI215" s="319">
        <f t="shared" si="119"/>
        <v>0</v>
      </c>
      <c r="AJ215" s="319">
        <f t="shared" si="120"/>
        <v>0</v>
      </c>
      <c r="AK215" s="319">
        <f t="shared" si="121"/>
        <v>0</v>
      </c>
      <c r="AL215" s="319">
        <f t="shared" si="122"/>
        <v>0</v>
      </c>
      <c r="AM215" s="319">
        <f t="shared" si="123"/>
        <v>0</v>
      </c>
      <c r="AN215" s="319"/>
      <c r="AP215" s="266" t="s">
        <v>92</v>
      </c>
      <c r="AQ215" s="326">
        <v>0.2</v>
      </c>
      <c r="AR215" s="326">
        <v>0</v>
      </c>
      <c r="AS215" s="326">
        <v>0</v>
      </c>
      <c r="AT215" s="326">
        <v>0</v>
      </c>
      <c r="AU215" s="326">
        <v>0</v>
      </c>
      <c r="AV215" s="326">
        <v>0</v>
      </c>
      <c r="AW215" s="326">
        <v>0</v>
      </c>
      <c r="AX215" s="326">
        <v>0</v>
      </c>
      <c r="AY215" s="326">
        <v>0</v>
      </c>
      <c r="AZ215" s="326">
        <v>0</v>
      </c>
      <c r="BA215" s="326">
        <v>0</v>
      </c>
      <c r="BB215" s="326">
        <v>0</v>
      </c>
      <c r="BC215" s="326">
        <v>0</v>
      </c>
      <c r="BD215" s="326">
        <v>0</v>
      </c>
      <c r="BE215" s="326">
        <v>0</v>
      </c>
      <c r="BF215" s="326">
        <v>0</v>
      </c>
      <c r="BG215" s="326">
        <v>0</v>
      </c>
      <c r="BH215" s="326">
        <v>0</v>
      </c>
      <c r="BI215" s="326">
        <v>0</v>
      </c>
      <c r="BJ215" s="326">
        <v>0</v>
      </c>
      <c r="BK215" s="326">
        <v>0</v>
      </c>
      <c r="BL215" s="326">
        <v>0</v>
      </c>
      <c r="BM215" s="326">
        <v>0</v>
      </c>
      <c r="BN215" s="326">
        <v>0</v>
      </c>
      <c r="BO215" s="326">
        <v>0</v>
      </c>
      <c r="BP215" s="326">
        <v>0</v>
      </c>
      <c r="BQ215" s="326">
        <v>0</v>
      </c>
      <c r="BR215" s="326">
        <v>0</v>
      </c>
      <c r="BS215" s="326">
        <v>0</v>
      </c>
      <c r="BT215" s="326">
        <v>0</v>
      </c>
      <c r="BU215" s="326">
        <v>0</v>
      </c>
      <c r="BV215" s="326">
        <v>0</v>
      </c>
      <c r="BW215" s="326">
        <v>0</v>
      </c>
      <c r="BX215" s="326">
        <v>0</v>
      </c>
      <c r="BY215" s="326">
        <v>0</v>
      </c>
    </row>
    <row r="216" spans="2:77">
      <c r="B216" s="324" t="s">
        <v>92</v>
      </c>
      <c r="D216" s="320">
        <f t="shared" si="124"/>
        <v>0</v>
      </c>
      <c r="E216" s="319">
        <f t="shared" si="89"/>
        <v>0</v>
      </c>
      <c r="F216" s="319">
        <f t="shared" si="90"/>
        <v>0</v>
      </c>
      <c r="G216" s="319">
        <f t="shared" si="91"/>
        <v>0</v>
      </c>
      <c r="H216" s="319">
        <f t="shared" si="92"/>
        <v>0</v>
      </c>
      <c r="I216" s="319">
        <f t="shared" si="93"/>
        <v>0</v>
      </c>
      <c r="J216" s="319">
        <f t="shared" si="94"/>
        <v>0</v>
      </c>
      <c r="K216" s="319">
        <f t="shared" si="95"/>
        <v>0</v>
      </c>
      <c r="L216" s="319">
        <f t="shared" si="96"/>
        <v>0</v>
      </c>
      <c r="M216" s="319">
        <f t="shared" si="97"/>
        <v>0</v>
      </c>
      <c r="N216" s="319">
        <f t="shared" si="98"/>
        <v>0</v>
      </c>
      <c r="O216" s="319">
        <f t="shared" si="99"/>
        <v>0</v>
      </c>
      <c r="P216" s="319">
        <f t="shared" si="100"/>
        <v>0</v>
      </c>
      <c r="Q216" s="319">
        <f t="shared" si="101"/>
        <v>0</v>
      </c>
      <c r="R216" s="319">
        <f t="shared" si="102"/>
        <v>0</v>
      </c>
      <c r="S216" s="319">
        <f t="shared" si="103"/>
        <v>0</v>
      </c>
      <c r="T216" s="319">
        <f t="shared" si="104"/>
        <v>0</v>
      </c>
      <c r="U216" s="319">
        <f t="shared" si="105"/>
        <v>0</v>
      </c>
      <c r="V216" s="319">
        <f t="shared" si="106"/>
        <v>0</v>
      </c>
      <c r="W216" s="319">
        <f t="shared" si="107"/>
        <v>0</v>
      </c>
      <c r="X216" s="319">
        <f t="shared" si="108"/>
        <v>0</v>
      </c>
      <c r="Y216" s="319">
        <f t="shared" si="109"/>
        <v>0</v>
      </c>
      <c r="Z216" s="319">
        <f t="shared" si="110"/>
        <v>0</v>
      </c>
      <c r="AA216" s="319">
        <f t="shared" si="111"/>
        <v>0</v>
      </c>
      <c r="AB216" s="319">
        <f t="shared" si="112"/>
        <v>0</v>
      </c>
      <c r="AC216" s="319">
        <f t="shared" si="113"/>
        <v>0</v>
      </c>
      <c r="AD216" s="319">
        <f t="shared" si="114"/>
        <v>0</v>
      </c>
      <c r="AE216" s="319">
        <f t="shared" si="115"/>
        <v>0</v>
      </c>
      <c r="AF216" s="319">
        <f t="shared" si="116"/>
        <v>0</v>
      </c>
      <c r="AG216" s="319">
        <f t="shared" si="117"/>
        <v>0</v>
      </c>
      <c r="AH216" s="319">
        <f t="shared" si="118"/>
        <v>0</v>
      </c>
      <c r="AI216" s="319">
        <f t="shared" si="119"/>
        <v>0</v>
      </c>
      <c r="AJ216" s="319">
        <f t="shared" si="120"/>
        <v>0</v>
      </c>
      <c r="AK216" s="319">
        <f t="shared" si="121"/>
        <v>0</v>
      </c>
      <c r="AL216" s="319">
        <f t="shared" si="122"/>
        <v>0</v>
      </c>
      <c r="AM216" s="319">
        <f t="shared" si="123"/>
        <v>0</v>
      </c>
      <c r="AN216" s="319"/>
      <c r="AP216" s="266" t="s">
        <v>93</v>
      </c>
      <c r="AQ216" s="326">
        <v>0.2</v>
      </c>
      <c r="AR216" s="326">
        <v>0.2</v>
      </c>
      <c r="AS216" s="326">
        <v>0</v>
      </c>
      <c r="AT216" s="326">
        <v>0</v>
      </c>
      <c r="AU216" s="326">
        <v>0</v>
      </c>
      <c r="AV216" s="326">
        <v>0</v>
      </c>
      <c r="AW216" s="326">
        <v>0</v>
      </c>
      <c r="AX216" s="326">
        <v>0</v>
      </c>
      <c r="AY216" s="326">
        <v>0</v>
      </c>
      <c r="AZ216" s="326">
        <v>0</v>
      </c>
      <c r="BA216" s="326">
        <v>0</v>
      </c>
      <c r="BB216" s="326">
        <v>0</v>
      </c>
      <c r="BC216" s="326">
        <v>0</v>
      </c>
      <c r="BD216" s="326">
        <v>0</v>
      </c>
      <c r="BE216" s="326">
        <v>0</v>
      </c>
      <c r="BF216" s="326">
        <v>0</v>
      </c>
      <c r="BG216" s="326">
        <v>0</v>
      </c>
      <c r="BH216" s="326">
        <v>0</v>
      </c>
      <c r="BI216" s="326">
        <v>0</v>
      </c>
      <c r="BJ216" s="326">
        <v>0</v>
      </c>
      <c r="BK216" s="326">
        <v>0</v>
      </c>
      <c r="BL216" s="326">
        <v>0</v>
      </c>
      <c r="BM216" s="326">
        <v>0</v>
      </c>
      <c r="BN216" s="326">
        <v>0</v>
      </c>
      <c r="BO216" s="326">
        <v>0</v>
      </c>
      <c r="BP216" s="326">
        <v>0</v>
      </c>
      <c r="BQ216" s="326">
        <v>0</v>
      </c>
      <c r="BR216" s="326">
        <v>0</v>
      </c>
      <c r="BS216" s="326">
        <v>0</v>
      </c>
      <c r="BT216" s="326">
        <v>0</v>
      </c>
      <c r="BU216" s="326">
        <v>0</v>
      </c>
      <c r="BV216" s="326">
        <v>0</v>
      </c>
      <c r="BW216" s="326">
        <v>0</v>
      </c>
      <c r="BX216" s="326">
        <v>0</v>
      </c>
      <c r="BY216" s="326">
        <v>0</v>
      </c>
    </row>
    <row r="217" spans="2:77">
      <c r="B217" s="324" t="s">
        <v>93</v>
      </c>
      <c r="D217" s="320">
        <f t="shared" si="124"/>
        <v>3937.4480281053156</v>
      </c>
      <c r="E217" s="319">
        <f t="shared" si="89"/>
        <v>0</v>
      </c>
      <c r="F217" s="319">
        <f t="shared" si="90"/>
        <v>3937.4480281053156</v>
      </c>
      <c r="G217" s="319">
        <f t="shared" si="91"/>
        <v>0</v>
      </c>
      <c r="H217" s="319">
        <f t="shared" si="92"/>
        <v>0</v>
      </c>
      <c r="I217" s="319">
        <f t="shared" si="93"/>
        <v>0</v>
      </c>
      <c r="J217" s="319">
        <f t="shared" si="94"/>
        <v>0</v>
      </c>
      <c r="K217" s="319">
        <f t="shared" si="95"/>
        <v>0</v>
      </c>
      <c r="L217" s="319">
        <f t="shared" si="96"/>
        <v>0</v>
      </c>
      <c r="M217" s="319">
        <f t="shared" si="97"/>
        <v>0</v>
      </c>
      <c r="N217" s="319">
        <f t="shared" si="98"/>
        <v>0</v>
      </c>
      <c r="O217" s="319">
        <f t="shared" si="99"/>
        <v>0</v>
      </c>
      <c r="P217" s="319">
        <f t="shared" si="100"/>
        <v>0</v>
      </c>
      <c r="Q217" s="319">
        <f t="shared" si="101"/>
        <v>0</v>
      </c>
      <c r="R217" s="319">
        <f t="shared" si="102"/>
        <v>0</v>
      </c>
      <c r="S217" s="319">
        <f t="shared" si="103"/>
        <v>0</v>
      </c>
      <c r="T217" s="319">
        <f t="shared" si="104"/>
        <v>0</v>
      </c>
      <c r="U217" s="319">
        <f t="shared" si="105"/>
        <v>0</v>
      </c>
      <c r="V217" s="319">
        <f t="shared" si="106"/>
        <v>0</v>
      </c>
      <c r="W217" s="319">
        <f t="shared" si="107"/>
        <v>0</v>
      </c>
      <c r="X217" s="319">
        <f t="shared" si="108"/>
        <v>0</v>
      </c>
      <c r="Y217" s="319">
        <f t="shared" si="109"/>
        <v>0</v>
      </c>
      <c r="Z217" s="319">
        <f t="shared" si="110"/>
        <v>0</v>
      </c>
      <c r="AA217" s="319">
        <f t="shared" si="111"/>
        <v>0</v>
      </c>
      <c r="AB217" s="319">
        <f t="shared" si="112"/>
        <v>0</v>
      </c>
      <c r="AC217" s="319">
        <f t="shared" si="113"/>
        <v>0</v>
      </c>
      <c r="AD217" s="319">
        <f t="shared" si="114"/>
        <v>0</v>
      </c>
      <c r="AE217" s="319">
        <f t="shared" si="115"/>
        <v>0</v>
      </c>
      <c r="AF217" s="319">
        <f t="shared" si="116"/>
        <v>0</v>
      </c>
      <c r="AG217" s="319">
        <f t="shared" si="117"/>
        <v>0</v>
      </c>
      <c r="AH217" s="319">
        <f t="shared" si="118"/>
        <v>0</v>
      </c>
      <c r="AI217" s="319">
        <f t="shared" si="119"/>
        <v>0</v>
      </c>
      <c r="AJ217" s="319">
        <f t="shared" si="120"/>
        <v>0</v>
      </c>
      <c r="AK217" s="319">
        <f t="shared" si="121"/>
        <v>0</v>
      </c>
      <c r="AL217" s="319">
        <f t="shared" si="122"/>
        <v>0</v>
      </c>
      <c r="AM217" s="319">
        <f t="shared" si="123"/>
        <v>0</v>
      </c>
      <c r="AN217" s="319"/>
      <c r="AP217" s="266" t="s">
        <v>94</v>
      </c>
      <c r="AQ217" s="326">
        <v>0.2</v>
      </c>
      <c r="AR217" s="326">
        <v>0.2</v>
      </c>
      <c r="AS217" s="326">
        <v>0.2</v>
      </c>
      <c r="AT217" s="326">
        <v>0</v>
      </c>
      <c r="AU217" s="326">
        <v>0</v>
      </c>
      <c r="AV217" s="326">
        <v>0</v>
      </c>
      <c r="AW217" s="326">
        <v>0</v>
      </c>
      <c r="AX217" s="326">
        <v>0</v>
      </c>
      <c r="AY217" s="326">
        <v>0</v>
      </c>
      <c r="AZ217" s="326">
        <v>0</v>
      </c>
      <c r="BA217" s="326">
        <v>0</v>
      </c>
      <c r="BB217" s="326">
        <v>0</v>
      </c>
      <c r="BC217" s="326">
        <v>0</v>
      </c>
      <c r="BD217" s="326">
        <v>0</v>
      </c>
      <c r="BE217" s="326">
        <v>0</v>
      </c>
      <c r="BF217" s="326">
        <v>0</v>
      </c>
      <c r="BG217" s="326">
        <v>0</v>
      </c>
      <c r="BH217" s="326">
        <v>0</v>
      </c>
      <c r="BI217" s="326">
        <v>0</v>
      </c>
      <c r="BJ217" s="326">
        <v>0</v>
      </c>
      <c r="BK217" s="326">
        <v>0</v>
      </c>
      <c r="BL217" s="326">
        <v>0</v>
      </c>
      <c r="BM217" s="326">
        <v>0</v>
      </c>
      <c r="BN217" s="326">
        <v>0</v>
      </c>
      <c r="BO217" s="326">
        <v>0</v>
      </c>
      <c r="BP217" s="326">
        <v>0</v>
      </c>
      <c r="BQ217" s="326">
        <v>0</v>
      </c>
      <c r="BR217" s="326">
        <v>0</v>
      </c>
      <c r="BS217" s="326">
        <v>0</v>
      </c>
      <c r="BT217" s="326">
        <v>0</v>
      </c>
      <c r="BU217" s="326">
        <v>0</v>
      </c>
      <c r="BV217" s="326">
        <v>0</v>
      </c>
      <c r="BW217" s="326">
        <v>0</v>
      </c>
      <c r="BX217" s="326">
        <v>0</v>
      </c>
      <c r="BY217" s="326">
        <v>0</v>
      </c>
    </row>
    <row r="218" spans="2:77">
      <c r="B218" s="324" t="s">
        <v>94</v>
      </c>
      <c r="D218" s="320">
        <f t="shared" si="124"/>
        <v>3937.4480281053156</v>
      </c>
      <c r="E218" s="319">
        <f t="shared" si="89"/>
        <v>0</v>
      </c>
      <c r="F218" s="319">
        <f t="shared" si="90"/>
        <v>3937.4480281053156</v>
      </c>
      <c r="G218" s="319">
        <f t="shared" si="91"/>
        <v>0</v>
      </c>
      <c r="H218" s="319">
        <f t="shared" si="92"/>
        <v>0</v>
      </c>
      <c r="I218" s="319">
        <f t="shared" si="93"/>
        <v>0</v>
      </c>
      <c r="J218" s="319">
        <f t="shared" si="94"/>
        <v>0</v>
      </c>
      <c r="K218" s="319">
        <f t="shared" si="95"/>
        <v>0</v>
      </c>
      <c r="L218" s="319">
        <f t="shared" si="96"/>
        <v>0</v>
      </c>
      <c r="M218" s="319">
        <f t="shared" si="97"/>
        <v>0</v>
      </c>
      <c r="N218" s="319">
        <f t="shared" si="98"/>
        <v>0</v>
      </c>
      <c r="O218" s="319">
        <f t="shared" si="99"/>
        <v>0</v>
      </c>
      <c r="P218" s="319">
        <f t="shared" si="100"/>
        <v>0</v>
      </c>
      <c r="Q218" s="319">
        <f t="shared" si="101"/>
        <v>0</v>
      </c>
      <c r="R218" s="319">
        <f t="shared" si="102"/>
        <v>0</v>
      </c>
      <c r="S218" s="319">
        <f t="shared" si="103"/>
        <v>0</v>
      </c>
      <c r="T218" s="319">
        <f t="shared" si="104"/>
        <v>0</v>
      </c>
      <c r="U218" s="319">
        <f t="shared" si="105"/>
        <v>0</v>
      </c>
      <c r="V218" s="319">
        <f t="shared" si="106"/>
        <v>0</v>
      </c>
      <c r="W218" s="319">
        <f t="shared" si="107"/>
        <v>0</v>
      </c>
      <c r="X218" s="319">
        <f t="shared" si="108"/>
        <v>0</v>
      </c>
      <c r="Y218" s="319">
        <f t="shared" si="109"/>
        <v>0</v>
      </c>
      <c r="Z218" s="319">
        <f t="shared" si="110"/>
        <v>0</v>
      </c>
      <c r="AA218" s="319">
        <f t="shared" si="111"/>
        <v>0</v>
      </c>
      <c r="AB218" s="319">
        <f t="shared" si="112"/>
        <v>0</v>
      </c>
      <c r="AC218" s="319">
        <f t="shared" si="113"/>
        <v>0</v>
      </c>
      <c r="AD218" s="319">
        <f t="shared" si="114"/>
        <v>0</v>
      </c>
      <c r="AE218" s="319">
        <f t="shared" si="115"/>
        <v>0</v>
      </c>
      <c r="AF218" s="319">
        <f t="shared" si="116"/>
        <v>0</v>
      </c>
      <c r="AG218" s="319">
        <f t="shared" si="117"/>
        <v>0</v>
      </c>
      <c r="AH218" s="319">
        <f t="shared" si="118"/>
        <v>0</v>
      </c>
      <c r="AI218" s="319">
        <f t="shared" si="119"/>
        <v>0</v>
      </c>
      <c r="AJ218" s="319">
        <f t="shared" si="120"/>
        <v>0</v>
      </c>
      <c r="AK218" s="319">
        <f t="shared" si="121"/>
        <v>0</v>
      </c>
      <c r="AL218" s="319">
        <f t="shared" si="122"/>
        <v>0</v>
      </c>
      <c r="AM218" s="319">
        <f t="shared" si="123"/>
        <v>0</v>
      </c>
      <c r="AN218" s="319"/>
      <c r="AP218" s="266" t="s">
        <v>95</v>
      </c>
      <c r="AQ218" s="326">
        <v>0.2</v>
      </c>
      <c r="AR218" s="326">
        <v>0.2</v>
      </c>
      <c r="AS218" s="326">
        <v>0.2</v>
      </c>
      <c r="AT218" s="326">
        <v>0.2</v>
      </c>
      <c r="AU218" s="326">
        <v>0</v>
      </c>
      <c r="AV218" s="326">
        <v>0</v>
      </c>
      <c r="AW218" s="326">
        <v>0</v>
      </c>
      <c r="AX218" s="326">
        <v>0</v>
      </c>
      <c r="AY218" s="326">
        <v>0</v>
      </c>
      <c r="AZ218" s="326">
        <v>0</v>
      </c>
      <c r="BA218" s="326">
        <v>0</v>
      </c>
      <c r="BB218" s="326">
        <v>0</v>
      </c>
      <c r="BC218" s="326">
        <v>0</v>
      </c>
      <c r="BD218" s="326">
        <v>0</v>
      </c>
      <c r="BE218" s="326">
        <v>0</v>
      </c>
      <c r="BF218" s="326">
        <v>0</v>
      </c>
      <c r="BG218" s="326">
        <v>0</v>
      </c>
      <c r="BH218" s="326">
        <v>0</v>
      </c>
      <c r="BI218" s="326">
        <v>0</v>
      </c>
      <c r="BJ218" s="326">
        <v>0</v>
      </c>
      <c r="BK218" s="326">
        <v>0</v>
      </c>
      <c r="BL218" s="326">
        <v>0</v>
      </c>
      <c r="BM218" s="326">
        <v>0</v>
      </c>
      <c r="BN218" s="326">
        <v>0</v>
      </c>
      <c r="BO218" s="326">
        <v>0</v>
      </c>
      <c r="BP218" s="326">
        <v>0</v>
      </c>
      <c r="BQ218" s="326">
        <v>0</v>
      </c>
      <c r="BR218" s="326">
        <v>0</v>
      </c>
      <c r="BS218" s="326">
        <v>0</v>
      </c>
      <c r="BT218" s="326">
        <v>0</v>
      </c>
      <c r="BU218" s="326">
        <v>0</v>
      </c>
      <c r="BV218" s="326">
        <v>0</v>
      </c>
      <c r="BW218" s="326">
        <v>0</v>
      </c>
      <c r="BX218" s="326">
        <v>0</v>
      </c>
      <c r="BY218" s="326">
        <v>0</v>
      </c>
    </row>
    <row r="219" spans="2:77">
      <c r="B219" s="324" t="s">
        <v>95</v>
      </c>
      <c r="D219" s="320">
        <f t="shared" si="124"/>
        <v>3937.4480281053156</v>
      </c>
      <c r="E219" s="319">
        <f t="shared" si="89"/>
        <v>0</v>
      </c>
      <c r="F219" s="319">
        <f t="shared" si="90"/>
        <v>3937.4480281053156</v>
      </c>
      <c r="G219" s="319">
        <f t="shared" si="91"/>
        <v>0</v>
      </c>
      <c r="H219" s="319">
        <f t="shared" si="92"/>
        <v>0</v>
      </c>
      <c r="I219" s="319">
        <f t="shared" si="93"/>
        <v>0</v>
      </c>
      <c r="J219" s="319">
        <f t="shared" si="94"/>
        <v>0</v>
      </c>
      <c r="K219" s="319">
        <f t="shared" si="95"/>
        <v>0</v>
      </c>
      <c r="L219" s="319">
        <f t="shared" si="96"/>
        <v>0</v>
      </c>
      <c r="M219" s="319">
        <f t="shared" si="97"/>
        <v>0</v>
      </c>
      <c r="N219" s="319">
        <f t="shared" si="98"/>
        <v>0</v>
      </c>
      <c r="O219" s="319">
        <f t="shared" si="99"/>
        <v>0</v>
      </c>
      <c r="P219" s="319">
        <f t="shared" si="100"/>
        <v>0</v>
      </c>
      <c r="Q219" s="319">
        <f t="shared" si="101"/>
        <v>0</v>
      </c>
      <c r="R219" s="319">
        <f t="shared" si="102"/>
        <v>0</v>
      </c>
      <c r="S219" s="319">
        <f t="shared" si="103"/>
        <v>0</v>
      </c>
      <c r="T219" s="319">
        <f t="shared" si="104"/>
        <v>0</v>
      </c>
      <c r="U219" s="319">
        <f t="shared" si="105"/>
        <v>0</v>
      </c>
      <c r="V219" s="319">
        <f t="shared" si="106"/>
        <v>0</v>
      </c>
      <c r="W219" s="319">
        <f t="shared" si="107"/>
        <v>0</v>
      </c>
      <c r="X219" s="319">
        <f t="shared" si="108"/>
        <v>0</v>
      </c>
      <c r="Y219" s="319">
        <f t="shared" si="109"/>
        <v>0</v>
      </c>
      <c r="Z219" s="319">
        <f t="shared" si="110"/>
        <v>0</v>
      </c>
      <c r="AA219" s="319">
        <f t="shared" si="111"/>
        <v>0</v>
      </c>
      <c r="AB219" s="319">
        <f t="shared" si="112"/>
        <v>0</v>
      </c>
      <c r="AC219" s="319">
        <f t="shared" si="113"/>
        <v>0</v>
      </c>
      <c r="AD219" s="319">
        <f t="shared" si="114"/>
        <v>0</v>
      </c>
      <c r="AE219" s="319">
        <f t="shared" si="115"/>
        <v>0</v>
      </c>
      <c r="AF219" s="319">
        <f t="shared" si="116"/>
        <v>0</v>
      </c>
      <c r="AG219" s="319">
        <f t="shared" si="117"/>
        <v>0</v>
      </c>
      <c r="AH219" s="319">
        <f t="shared" si="118"/>
        <v>0</v>
      </c>
      <c r="AI219" s="319">
        <f t="shared" si="119"/>
        <v>0</v>
      </c>
      <c r="AJ219" s="319">
        <f t="shared" si="120"/>
        <v>0</v>
      </c>
      <c r="AK219" s="319">
        <f t="shared" si="121"/>
        <v>0</v>
      </c>
      <c r="AL219" s="319">
        <f t="shared" si="122"/>
        <v>0</v>
      </c>
      <c r="AM219" s="319">
        <f t="shared" si="123"/>
        <v>0</v>
      </c>
      <c r="AN219" s="319"/>
      <c r="AP219" s="266" t="s">
        <v>96</v>
      </c>
      <c r="AQ219" s="326">
        <v>0.2</v>
      </c>
      <c r="AR219" s="326">
        <v>0.2</v>
      </c>
      <c r="AS219" s="326">
        <v>0.2</v>
      </c>
      <c r="AT219" s="326">
        <v>0.2</v>
      </c>
      <c r="AU219" s="326">
        <v>0.2</v>
      </c>
      <c r="AV219" s="326">
        <v>0</v>
      </c>
      <c r="AW219" s="326">
        <v>0</v>
      </c>
      <c r="AX219" s="326">
        <v>0</v>
      </c>
      <c r="AY219" s="326">
        <v>0</v>
      </c>
      <c r="AZ219" s="326">
        <v>0</v>
      </c>
      <c r="BA219" s="326">
        <v>0</v>
      </c>
      <c r="BB219" s="326">
        <v>0</v>
      </c>
      <c r="BC219" s="326">
        <v>0</v>
      </c>
      <c r="BD219" s="326">
        <v>0</v>
      </c>
      <c r="BE219" s="326">
        <v>0</v>
      </c>
      <c r="BF219" s="326">
        <v>0</v>
      </c>
      <c r="BG219" s="326">
        <v>0</v>
      </c>
      <c r="BH219" s="326">
        <v>0</v>
      </c>
      <c r="BI219" s="326">
        <v>0</v>
      </c>
      <c r="BJ219" s="326">
        <v>0</v>
      </c>
      <c r="BK219" s="326">
        <v>0</v>
      </c>
      <c r="BL219" s="326">
        <v>0</v>
      </c>
      <c r="BM219" s="326">
        <v>0</v>
      </c>
      <c r="BN219" s="326">
        <v>0</v>
      </c>
      <c r="BO219" s="326">
        <v>0</v>
      </c>
      <c r="BP219" s="326">
        <v>0</v>
      </c>
      <c r="BQ219" s="326">
        <v>0</v>
      </c>
      <c r="BR219" s="326">
        <v>0</v>
      </c>
      <c r="BS219" s="326">
        <v>0</v>
      </c>
      <c r="BT219" s="326">
        <v>0</v>
      </c>
      <c r="BU219" s="326">
        <v>0</v>
      </c>
      <c r="BV219" s="326">
        <v>0</v>
      </c>
      <c r="BW219" s="326">
        <v>0</v>
      </c>
      <c r="BX219" s="326">
        <v>0</v>
      </c>
      <c r="BY219" s="326">
        <v>0</v>
      </c>
    </row>
    <row r="220" spans="2:77">
      <c r="B220" s="324" t="s">
        <v>96</v>
      </c>
      <c r="D220" s="320">
        <f t="shared" si="124"/>
        <v>3937.4480281053156</v>
      </c>
      <c r="E220" s="319">
        <f t="shared" si="89"/>
        <v>0</v>
      </c>
      <c r="F220" s="319">
        <f t="shared" si="90"/>
        <v>3937.4480281053156</v>
      </c>
      <c r="G220" s="319">
        <f t="shared" si="91"/>
        <v>0</v>
      </c>
      <c r="H220" s="319">
        <f t="shared" si="92"/>
        <v>0</v>
      </c>
      <c r="I220" s="319">
        <f t="shared" si="93"/>
        <v>0</v>
      </c>
      <c r="J220" s="319">
        <f t="shared" si="94"/>
        <v>0</v>
      </c>
      <c r="K220" s="319">
        <f t="shared" si="95"/>
        <v>0</v>
      </c>
      <c r="L220" s="319">
        <f t="shared" si="96"/>
        <v>0</v>
      </c>
      <c r="M220" s="319">
        <f t="shared" si="97"/>
        <v>0</v>
      </c>
      <c r="N220" s="319">
        <f t="shared" si="98"/>
        <v>0</v>
      </c>
      <c r="O220" s="319">
        <f t="shared" si="99"/>
        <v>0</v>
      </c>
      <c r="P220" s="319">
        <f t="shared" si="100"/>
        <v>0</v>
      </c>
      <c r="Q220" s="319">
        <f t="shared" si="101"/>
        <v>0</v>
      </c>
      <c r="R220" s="319">
        <f t="shared" si="102"/>
        <v>0</v>
      </c>
      <c r="S220" s="319">
        <f t="shared" si="103"/>
        <v>0</v>
      </c>
      <c r="T220" s="319">
        <f t="shared" si="104"/>
        <v>0</v>
      </c>
      <c r="U220" s="319">
        <f t="shared" si="105"/>
        <v>0</v>
      </c>
      <c r="V220" s="319">
        <f t="shared" si="106"/>
        <v>0</v>
      </c>
      <c r="W220" s="319">
        <f t="shared" si="107"/>
        <v>0</v>
      </c>
      <c r="X220" s="319">
        <f t="shared" si="108"/>
        <v>0</v>
      </c>
      <c r="Y220" s="319">
        <f t="shared" si="109"/>
        <v>0</v>
      </c>
      <c r="Z220" s="319">
        <f t="shared" si="110"/>
        <v>0</v>
      </c>
      <c r="AA220" s="319">
        <f t="shared" si="111"/>
        <v>0</v>
      </c>
      <c r="AB220" s="319">
        <f t="shared" si="112"/>
        <v>0</v>
      </c>
      <c r="AC220" s="319">
        <f t="shared" si="113"/>
        <v>0</v>
      </c>
      <c r="AD220" s="319">
        <f t="shared" si="114"/>
        <v>0</v>
      </c>
      <c r="AE220" s="319">
        <f t="shared" si="115"/>
        <v>0</v>
      </c>
      <c r="AF220" s="319">
        <f t="shared" si="116"/>
        <v>0</v>
      </c>
      <c r="AG220" s="319">
        <f t="shared" si="117"/>
        <v>0</v>
      </c>
      <c r="AH220" s="319">
        <f t="shared" si="118"/>
        <v>0</v>
      </c>
      <c r="AI220" s="319">
        <f t="shared" si="119"/>
        <v>0</v>
      </c>
      <c r="AJ220" s="319">
        <f t="shared" si="120"/>
        <v>0</v>
      </c>
      <c r="AK220" s="319">
        <f t="shared" si="121"/>
        <v>0</v>
      </c>
      <c r="AL220" s="319">
        <f t="shared" si="122"/>
        <v>0</v>
      </c>
      <c r="AM220" s="319">
        <f t="shared" si="123"/>
        <v>0</v>
      </c>
      <c r="AN220" s="319"/>
      <c r="AP220" s="266" t="s">
        <v>97</v>
      </c>
      <c r="AQ220" s="326">
        <v>0</v>
      </c>
      <c r="AR220" s="326">
        <v>0.2</v>
      </c>
      <c r="AS220" s="326">
        <v>0.2</v>
      </c>
      <c r="AT220" s="326">
        <v>0.2</v>
      </c>
      <c r="AU220" s="326">
        <v>0.2</v>
      </c>
      <c r="AV220" s="326">
        <v>0.2</v>
      </c>
      <c r="AW220" s="326">
        <v>0</v>
      </c>
      <c r="AX220" s="326">
        <v>0</v>
      </c>
      <c r="AY220" s="326">
        <v>0</v>
      </c>
      <c r="AZ220" s="326">
        <v>0</v>
      </c>
      <c r="BA220" s="326">
        <v>0</v>
      </c>
      <c r="BB220" s="326">
        <v>0</v>
      </c>
      <c r="BC220" s="326">
        <v>0</v>
      </c>
      <c r="BD220" s="326">
        <v>0</v>
      </c>
      <c r="BE220" s="326">
        <v>0</v>
      </c>
      <c r="BF220" s="326">
        <v>0</v>
      </c>
      <c r="BG220" s="326">
        <v>0</v>
      </c>
      <c r="BH220" s="326">
        <v>0</v>
      </c>
      <c r="BI220" s="326">
        <v>0</v>
      </c>
      <c r="BJ220" s="326">
        <v>0</v>
      </c>
      <c r="BK220" s="326">
        <v>0</v>
      </c>
      <c r="BL220" s="326">
        <v>0</v>
      </c>
      <c r="BM220" s="326">
        <v>0</v>
      </c>
      <c r="BN220" s="326">
        <v>0</v>
      </c>
      <c r="BO220" s="326">
        <v>0</v>
      </c>
      <c r="BP220" s="326">
        <v>0</v>
      </c>
      <c r="BQ220" s="326">
        <v>0</v>
      </c>
      <c r="BR220" s="326">
        <v>0</v>
      </c>
      <c r="BS220" s="326">
        <v>0</v>
      </c>
      <c r="BT220" s="326">
        <v>0</v>
      </c>
      <c r="BU220" s="326">
        <v>0</v>
      </c>
      <c r="BV220" s="326">
        <v>0</v>
      </c>
      <c r="BW220" s="326">
        <v>0</v>
      </c>
      <c r="BX220" s="326">
        <v>0</v>
      </c>
      <c r="BY220" s="326">
        <v>0</v>
      </c>
    </row>
    <row r="221" spans="2:77">
      <c r="B221" s="324" t="s">
        <v>97</v>
      </c>
      <c r="D221" s="320">
        <f t="shared" si="124"/>
        <v>3937.4480281053156</v>
      </c>
      <c r="E221" s="319">
        <f t="shared" si="89"/>
        <v>0</v>
      </c>
      <c r="F221" s="319">
        <f t="shared" si="90"/>
        <v>3937.4480281053156</v>
      </c>
      <c r="G221" s="319">
        <f t="shared" si="91"/>
        <v>0</v>
      </c>
      <c r="H221" s="319">
        <f t="shared" si="92"/>
        <v>0</v>
      </c>
      <c r="I221" s="319">
        <f t="shared" si="93"/>
        <v>0</v>
      </c>
      <c r="J221" s="319">
        <f t="shared" si="94"/>
        <v>0</v>
      </c>
      <c r="K221" s="319">
        <f t="shared" si="95"/>
        <v>0</v>
      </c>
      <c r="L221" s="319">
        <f t="shared" si="96"/>
        <v>0</v>
      </c>
      <c r="M221" s="319">
        <f t="shared" si="97"/>
        <v>0</v>
      </c>
      <c r="N221" s="319">
        <f t="shared" si="98"/>
        <v>0</v>
      </c>
      <c r="O221" s="319">
        <f t="shared" si="99"/>
        <v>0</v>
      </c>
      <c r="P221" s="319">
        <f t="shared" si="100"/>
        <v>0</v>
      </c>
      <c r="Q221" s="319">
        <f t="shared" si="101"/>
        <v>0</v>
      </c>
      <c r="R221" s="319">
        <f t="shared" si="102"/>
        <v>0</v>
      </c>
      <c r="S221" s="319">
        <f t="shared" si="103"/>
        <v>0</v>
      </c>
      <c r="T221" s="319">
        <f t="shared" si="104"/>
        <v>0</v>
      </c>
      <c r="U221" s="319">
        <f t="shared" si="105"/>
        <v>0</v>
      </c>
      <c r="V221" s="319">
        <f t="shared" si="106"/>
        <v>0</v>
      </c>
      <c r="W221" s="319">
        <f t="shared" si="107"/>
        <v>0</v>
      </c>
      <c r="X221" s="319">
        <f t="shared" si="108"/>
        <v>0</v>
      </c>
      <c r="Y221" s="319">
        <f t="shared" si="109"/>
        <v>0</v>
      </c>
      <c r="Z221" s="319">
        <f t="shared" si="110"/>
        <v>0</v>
      </c>
      <c r="AA221" s="319">
        <f t="shared" si="111"/>
        <v>0</v>
      </c>
      <c r="AB221" s="319">
        <f t="shared" si="112"/>
        <v>0</v>
      </c>
      <c r="AC221" s="319">
        <f t="shared" si="113"/>
        <v>0</v>
      </c>
      <c r="AD221" s="319">
        <f t="shared" si="114"/>
        <v>0</v>
      </c>
      <c r="AE221" s="319">
        <f t="shared" si="115"/>
        <v>0</v>
      </c>
      <c r="AF221" s="319">
        <f t="shared" si="116"/>
        <v>0</v>
      </c>
      <c r="AG221" s="319">
        <f t="shared" si="117"/>
        <v>0</v>
      </c>
      <c r="AH221" s="319">
        <f t="shared" si="118"/>
        <v>0</v>
      </c>
      <c r="AI221" s="319">
        <f t="shared" si="119"/>
        <v>0</v>
      </c>
      <c r="AJ221" s="319">
        <f t="shared" si="120"/>
        <v>0</v>
      </c>
      <c r="AK221" s="319">
        <f t="shared" si="121"/>
        <v>0</v>
      </c>
      <c r="AL221" s="319">
        <f t="shared" si="122"/>
        <v>0</v>
      </c>
      <c r="AM221" s="319">
        <f t="shared" si="123"/>
        <v>0</v>
      </c>
      <c r="AN221" s="319"/>
      <c r="AP221" s="266" t="s">
        <v>98</v>
      </c>
      <c r="AQ221" s="326">
        <v>0</v>
      </c>
      <c r="AR221" s="326">
        <v>0</v>
      </c>
      <c r="AS221" s="326">
        <v>0.2</v>
      </c>
      <c r="AT221" s="326">
        <v>0.2</v>
      </c>
      <c r="AU221" s="326">
        <v>0.2</v>
      </c>
      <c r="AV221" s="326">
        <v>0.2</v>
      </c>
      <c r="AW221" s="326">
        <v>0.2</v>
      </c>
      <c r="AX221" s="326">
        <v>0</v>
      </c>
      <c r="AY221" s="326">
        <v>0</v>
      </c>
      <c r="AZ221" s="326">
        <v>0</v>
      </c>
      <c r="BA221" s="326">
        <v>0</v>
      </c>
      <c r="BB221" s="326">
        <v>0</v>
      </c>
      <c r="BC221" s="326">
        <v>0</v>
      </c>
      <c r="BD221" s="326">
        <v>0</v>
      </c>
      <c r="BE221" s="326">
        <v>0</v>
      </c>
      <c r="BF221" s="326">
        <v>0</v>
      </c>
      <c r="BG221" s="326">
        <v>0</v>
      </c>
      <c r="BH221" s="326">
        <v>0</v>
      </c>
      <c r="BI221" s="326">
        <v>0</v>
      </c>
      <c r="BJ221" s="326">
        <v>0</v>
      </c>
      <c r="BK221" s="326">
        <v>0</v>
      </c>
      <c r="BL221" s="326">
        <v>0</v>
      </c>
      <c r="BM221" s="326">
        <v>0</v>
      </c>
      <c r="BN221" s="326">
        <v>0</v>
      </c>
      <c r="BO221" s="326">
        <v>0</v>
      </c>
      <c r="BP221" s="326">
        <v>0</v>
      </c>
      <c r="BQ221" s="326">
        <v>0</v>
      </c>
      <c r="BR221" s="326">
        <v>0</v>
      </c>
      <c r="BS221" s="326">
        <v>0</v>
      </c>
      <c r="BT221" s="326">
        <v>0</v>
      </c>
      <c r="BU221" s="326">
        <v>0</v>
      </c>
      <c r="BV221" s="326">
        <v>0</v>
      </c>
      <c r="BW221" s="326">
        <v>0</v>
      </c>
      <c r="BX221" s="326">
        <v>0</v>
      </c>
      <c r="BY221" s="326">
        <v>0</v>
      </c>
    </row>
    <row r="222" spans="2:77">
      <c r="B222" s="324" t="s">
        <v>98</v>
      </c>
      <c r="D222" s="320">
        <f t="shared" si="124"/>
        <v>0</v>
      </c>
      <c r="E222" s="319">
        <f t="shared" si="89"/>
        <v>0</v>
      </c>
      <c r="F222" s="319">
        <f t="shared" si="90"/>
        <v>0</v>
      </c>
      <c r="G222" s="319">
        <f t="shared" si="91"/>
        <v>0</v>
      </c>
      <c r="H222" s="319">
        <f t="shared" si="92"/>
        <v>0</v>
      </c>
      <c r="I222" s="319">
        <f t="shared" si="93"/>
        <v>0</v>
      </c>
      <c r="J222" s="319">
        <f t="shared" si="94"/>
        <v>0</v>
      </c>
      <c r="K222" s="319">
        <f t="shared" si="95"/>
        <v>0</v>
      </c>
      <c r="L222" s="319">
        <f t="shared" si="96"/>
        <v>0</v>
      </c>
      <c r="M222" s="319">
        <f t="shared" si="97"/>
        <v>0</v>
      </c>
      <c r="N222" s="319">
        <f t="shared" si="98"/>
        <v>0</v>
      </c>
      <c r="O222" s="319">
        <f t="shared" si="99"/>
        <v>0</v>
      </c>
      <c r="P222" s="319">
        <f t="shared" si="100"/>
        <v>0</v>
      </c>
      <c r="Q222" s="319">
        <f t="shared" si="101"/>
        <v>0</v>
      </c>
      <c r="R222" s="319">
        <f t="shared" si="102"/>
        <v>0</v>
      </c>
      <c r="S222" s="319">
        <f t="shared" si="103"/>
        <v>0</v>
      </c>
      <c r="T222" s="319">
        <f t="shared" si="104"/>
        <v>0</v>
      </c>
      <c r="U222" s="319">
        <f t="shared" si="105"/>
        <v>0</v>
      </c>
      <c r="V222" s="319">
        <f t="shared" si="106"/>
        <v>0</v>
      </c>
      <c r="W222" s="319">
        <f t="shared" si="107"/>
        <v>0</v>
      </c>
      <c r="X222" s="319">
        <f t="shared" si="108"/>
        <v>0</v>
      </c>
      <c r="Y222" s="319">
        <f t="shared" si="109"/>
        <v>0</v>
      </c>
      <c r="Z222" s="319">
        <f t="shared" si="110"/>
        <v>0</v>
      </c>
      <c r="AA222" s="319">
        <f t="shared" si="111"/>
        <v>0</v>
      </c>
      <c r="AB222" s="319">
        <f t="shared" si="112"/>
        <v>0</v>
      </c>
      <c r="AC222" s="319">
        <f t="shared" si="113"/>
        <v>0</v>
      </c>
      <c r="AD222" s="319">
        <f t="shared" si="114"/>
        <v>0</v>
      </c>
      <c r="AE222" s="319">
        <f t="shared" si="115"/>
        <v>0</v>
      </c>
      <c r="AF222" s="319">
        <f t="shared" si="116"/>
        <v>0</v>
      </c>
      <c r="AG222" s="319">
        <f t="shared" si="117"/>
        <v>0</v>
      </c>
      <c r="AH222" s="319">
        <f t="shared" si="118"/>
        <v>0</v>
      </c>
      <c r="AI222" s="319">
        <f t="shared" si="119"/>
        <v>0</v>
      </c>
      <c r="AJ222" s="319">
        <f t="shared" si="120"/>
        <v>0</v>
      </c>
      <c r="AK222" s="319">
        <f t="shared" si="121"/>
        <v>0</v>
      </c>
      <c r="AL222" s="319">
        <f t="shared" si="122"/>
        <v>0</v>
      </c>
      <c r="AM222" s="319">
        <f t="shared" si="123"/>
        <v>0</v>
      </c>
      <c r="AN222" s="319"/>
      <c r="AP222" s="266" t="s">
        <v>99</v>
      </c>
      <c r="AQ222" s="326">
        <v>0</v>
      </c>
      <c r="AR222" s="326">
        <v>0</v>
      </c>
      <c r="AS222" s="326">
        <v>0</v>
      </c>
      <c r="AT222" s="326">
        <v>0.2</v>
      </c>
      <c r="AU222" s="326">
        <v>0.2</v>
      </c>
      <c r="AV222" s="326">
        <v>0.2</v>
      </c>
      <c r="AW222" s="326">
        <v>0.2</v>
      </c>
      <c r="AX222" s="326">
        <v>0.2</v>
      </c>
      <c r="AY222" s="326">
        <v>0</v>
      </c>
      <c r="AZ222" s="326">
        <v>0</v>
      </c>
      <c r="BA222" s="326">
        <v>0</v>
      </c>
      <c r="BB222" s="326">
        <v>0</v>
      </c>
      <c r="BC222" s="326">
        <v>0</v>
      </c>
      <c r="BD222" s="326">
        <v>0</v>
      </c>
      <c r="BE222" s="326">
        <v>0</v>
      </c>
      <c r="BF222" s="326">
        <v>0</v>
      </c>
      <c r="BG222" s="326">
        <v>0</v>
      </c>
      <c r="BH222" s="326">
        <v>0</v>
      </c>
      <c r="BI222" s="326">
        <v>0</v>
      </c>
      <c r="BJ222" s="326">
        <v>0</v>
      </c>
      <c r="BK222" s="326">
        <v>0</v>
      </c>
      <c r="BL222" s="326">
        <v>0</v>
      </c>
      <c r="BM222" s="326">
        <v>0</v>
      </c>
      <c r="BN222" s="326">
        <v>0</v>
      </c>
      <c r="BO222" s="326">
        <v>0</v>
      </c>
      <c r="BP222" s="326">
        <v>0</v>
      </c>
      <c r="BQ222" s="326">
        <v>0</v>
      </c>
      <c r="BR222" s="326">
        <v>0</v>
      </c>
      <c r="BS222" s="326">
        <v>0</v>
      </c>
      <c r="BT222" s="326">
        <v>0</v>
      </c>
      <c r="BU222" s="326">
        <v>0</v>
      </c>
      <c r="BV222" s="326">
        <v>0</v>
      </c>
      <c r="BW222" s="326">
        <v>0</v>
      </c>
      <c r="BX222" s="326">
        <v>0</v>
      </c>
      <c r="BY222" s="326">
        <v>0</v>
      </c>
    </row>
    <row r="223" spans="2:77">
      <c r="B223" s="324" t="s">
        <v>99</v>
      </c>
      <c r="D223" s="320">
        <f t="shared" si="124"/>
        <v>0</v>
      </c>
      <c r="E223" s="319">
        <f t="shared" si="89"/>
        <v>0</v>
      </c>
      <c r="F223" s="319">
        <f t="shared" si="90"/>
        <v>0</v>
      </c>
      <c r="G223" s="319">
        <f t="shared" si="91"/>
        <v>0</v>
      </c>
      <c r="H223" s="319">
        <f t="shared" si="92"/>
        <v>0</v>
      </c>
      <c r="I223" s="319">
        <f t="shared" si="93"/>
        <v>0</v>
      </c>
      <c r="J223" s="319">
        <f t="shared" si="94"/>
        <v>0</v>
      </c>
      <c r="K223" s="319">
        <f t="shared" si="95"/>
        <v>0</v>
      </c>
      <c r="L223" s="319">
        <f t="shared" si="96"/>
        <v>0</v>
      </c>
      <c r="M223" s="319">
        <f t="shared" si="97"/>
        <v>0</v>
      </c>
      <c r="N223" s="319">
        <f t="shared" si="98"/>
        <v>0</v>
      </c>
      <c r="O223" s="319">
        <f t="shared" si="99"/>
        <v>0</v>
      </c>
      <c r="P223" s="319">
        <f t="shared" si="100"/>
        <v>0</v>
      </c>
      <c r="Q223" s="319">
        <f t="shared" si="101"/>
        <v>0</v>
      </c>
      <c r="R223" s="319">
        <f t="shared" si="102"/>
        <v>0</v>
      </c>
      <c r="S223" s="319">
        <f t="shared" si="103"/>
        <v>0</v>
      </c>
      <c r="T223" s="319">
        <f t="shared" si="104"/>
        <v>0</v>
      </c>
      <c r="U223" s="319">
        <f t="shared" si="105"/>
        <v>0</v>
      </c>
      <c r="V223" s="319">
        <f t="shared" si="106"/>
        <v>0</v>
      </c>
      <c r="W223" s="319">
        <f t="shared" si="107"/>
        <v>0</v>
      </c>
      <c r="X223" s="319">
        <f t="shared" si="108"/>
        <v>0</v>
      </c>
      <c r="Y223" s="319">
        <f t="shared" si="109"/>
        <v>0</v>
      </c>
      <c r="Z223" s="319">
        <f t="shared" si="110"/>
        <v>0</v>
      </c>
      <c r="AA223" s="319">
        <f t="shared" si="111"/>
        <v>0</v>
      </c>
      <c r="AB223" s="319">
        <f t="shared" si="112"/>
        <v>0</v>
      </c>
      <c r="AC223" s="319">
        <f t="shared" si="113"/>
        <v>0</v>
      </c>
      <c r="AD223" s="319">
        <f t="shared" si="114"/>
        <v>0</v>
      </c>
      <c r="AE223" s="319">
        <f t="shared" si="115"/>
        <v>0</v>
      </c>
      <c r="AF223" s="319">
        <f t="shared" si="116"/>
        <v>0</v>
      </c>
      <c r="AG223" s="319">
        <f t="shared" si="117"/>
        <v>0</v>
      </c>
      <c r="AH223" s="319">
        <f t="shared" si="118"/>
        <v>0</v>
      </c>
      <c r="AI223" s="319">
        <f t="shared" si="119"/>
        <v>0</v>
      </c>
      <c r="AJ223" s="319">
        <f t="shared" si="120"/>
        <v>0</v>
      </c>
      <c r="AK223" s="319">
        <f t="shared" si="121"/>
        <v>0</v>
      </c>
      <c r="AL223" s="319">
        <f t="shared" si="122"/>
        <v>0</v>
      </c>
      <c r="AM223" s="319">
        <f t="shared" si="123"/>
        <v>0</v>
      </c>
      <c r="AN223" s="319"/>
      <c r="AP223" s="266" t="s">
        <v>100</v>
      </c>
      <c r="AQ223" s="326">
        <v>0</v>
      </c>
      <c r="AR223" s="326">
        <v>0</v>
      </c>
      <c r="AS223" s="326">
        <v>0</v>
      </c>
      <c r="AT223" s="326">
        <v>0</v>
      </c>
      <c r="AU223" s="326">
        <v>0.2</v>
      </c>
      <c r="AV223" s="326">
        <v>0.2</v>
      </c>
      <c r="AW223" s="326">
        <v>0.2</v>
      </c>
      <c r="AX223" s="326">
        <v>0.2</v>
      </c>
      <c r="AY223" s="326">
        <v>0.2</v>
      </c>
      <c r="AZ223" s="326">
        <v>0</v>
      </c>
      <c r="BA223" s="326">
        <v>0</v>
      </c>
      <c r="BB223" s="326">
        <v>0</v>
      </c>
      <c r="BC223" s="326">
        <v>0</v>
      </c>
      <c r="BD223" s="326">
        <v>0</v>
      </c>
      <c r="BE223" s="326">
        <v>0</v>
      </c>
      <c r="BF223" s="326">
        <v>0</v>
      </c>
      <c r="BG223" s="326">
        <v>0</v>
      </c>
      <c r="BH223" s="326">
        <v>0</v>
      </c>
      <c r="BI223" s="326">
        <v>0</v>
      </c>
      <c r="BJ223" s="326">
        <v>0</v>
      </c>
      <c r="BK223" s="326">
        <v>0</v>
      </c>
      <c r="BL223" s="326">
        <v>0</v>
      </c>
      <c r="BM223" s="326">
        <v>0</v>
      </c>
      <c r="BN223" s="326">
        <v>0</v>
      </c>
      <c r="BO223" s="326">
        <v>0</v>
      </c>
      <c r="BP223" s="326">
        <v>0</v>
      </c>
      <c r="BQ223" s="326">
        <v>0</v>
      </c>
      <c r="BR223" s="326">
        <v>0</v>
      </c>
      <c r="BS223" s="326">
        <v>0</v>
      </c>
      <c r="BT223" s="326">
        <v>0</v>
      </c>
      <c r="BU223" s="326">
        <v>0</v>
      </c>
      <c r="BV223" s="326">
        <v>0</v>
      </c>
      <c r="BW223" s="326">
        <v>0</v>
      </c>
      <c r="BX223" s="326">
        <v>0</v>
      </c>
      <c r="BY223" s="326">
        <v>0</v>
      </c>
    </row>
    <row r="224" spans="2:77">
      <c r="B224" s="324" t="s">
        <v>100</v>
      </c>
      <c r="D224" s="320">
        <f t="shared" si="124"/>
        <v>0</v>
      </c>
      <c r="E224" s="319">
        <f t="shared" si="89"/>
        <v>0</v>
      </c>
      <c r="F224" s="319">
        <f t="shared" si="90"/>
        <v>0</v>
      </c>
      <c r="G224" s="319">
        <f t="shared" si="91"/>
        <v>0</v>
      </c>
      <c r="H224" s="319">
        <f t="shared" si="92"/>
        <v>0</v>
      </c>
      <c r="I224" s="319">
        <f t="shared" si="93"/>
        <v>0</v>
      </c>
      <c r="J224" s="319">
        <f t="shared" si="94"/>
        <v>0</v>
      </c>
      <c r="K224" s="319">
        <f t="shared" si="95"/>
        <v>0</v>
      </c>
      <c r="L224" s="319">
        <f t="shared" si="96"/>
        <v>0</v>
      </c>
      <c r="M224" s="319">
        <f t="shared" si="97"/>
        <v>0</v>
      </c>
      <c r="N224" s="319">
        <f t="shared" si="98"/>
        <v>0</v>
      </c>
      <c r="O224" s="319">
        <f t="shared" si="99"/>
        <v>0</v>
      </c>
      <c r="P224" s="319">
        <f t="shared" si="100"/>
        <v>0</v>
      </c>
      <c r="Q224" s="319">
        <f t="shared" si="101"/>
        <v>0</v>
      </c>
      <c r="R224" s="319">
        <f t="shared" si="102"/>
        <v>0</v>
      </c>
      <c r="S224" s="319">
        <f t="shared" si="103"/>
        <v>0</v>
      </c>
      <c r="T224" s="319">
        <f t="shared" si="104"/>
        <v>0</v>
      </c>
      <c r="U224" s="319">
        <f t="shared" si="105"/>
        <v>0</v>
      </c>
      <c r="V224" s="319">
        <f t="shared" si="106"/>
        <v>0</v>
      </c>
      <c r="W224" s="319">
        <f t="shared" si="107"/>
        <v>0</v>
      </c>
      <c r="X224" s="319">
        <f t="shared" si="108"/>
        <v>0</v>
      </c>
      <c r="Y224" s="319">
        <f t="shared" si="109"/>
        <v>0</v>
      </c>
      <c r="Z224" s="319">
        <f t="shared" si="110"/>
        <v>0</v>
      </c>
      <c r="AA224" s="319">
        <f t="shared" si="111"/>
        <v>0</v>
      </c>
      <c r="AB224" s="319">
        <f t="shared" si="112"/>
        <v>0</v>
      </c>
      <c r="AC224" s="319">
        <f t="shared" si="113"/>
        <v>0</v>
      </c>
      <c r="AD224" s="319">
        <f t="shared" si="114"/>
        <v>0</v>
      </c>
      <c r="AE224" s="319">
        <f t="shared" si="115"/>
        <v>0</v>
      </c>
      <c r="AF224" s="319">
        <f t="shared" si="116"/>
        <v>0</v>
      </c>
      <c r="AG224" s="319">
        <f t="shared" si="117"/>
        <v>0</v>
      </c>
      <c r="AH224" s="319">
        <f t="shared" si="118"/>
        <v>0</v>
      </c>
      <c r="AI224" s="319">
        <f t="shared" si="119"/>
        <v>0</v>
      </c>
      <c r="AJ224" s="319">
        <f t="shared" si="120"/>
        <v>0</v>
      </c>
      <c r="AK224" s="319">
        <f t="shared" si="121"/>
        <v>0</v>
      </c>
      <c r="AL224" s="319">
        <f t="shared" si="122"/>
        <v>0</v>
      </c>
      <c r="AM224" s="319">
        <f t="shared" si="123"/>
        <v>0</v>
      </c>
      <c r="AN224" s="319"/>
      <c r="AP224" s="266" t="s">
        <v>101</v>
      </c>
      <c r="AQ224" s="326">
        <v>0</v>
      </c>
      <c r="AR224" s="326">
        <v>0</v>
      </c>
      <c r="AS224" s="326">
        <v>0</v>
      </c>
      <c r="AT224" s="326">
        <v>0</v>
      </c>
      <c r="AU224" s="326">
        <v>0</v>
      </c>
      <c r="AV224" s="326">
        <v>0.2</v>
      </c>
      <c r="AW224" s="326">
        <v>0.2</v>
      </c>
      <c r="AX224" s="326">
        <v>0.2</v>
      </c>
      <c r="AY224" s="326">
        <v>0.2</v>
      </c>
      <c r="AZ224" s="326">
        <v>0.2</v>
      </c>
      <c r="BA224" s="326">
        <v>0</v>
      </c>
      <c r="BB224" s="326">
        <v>0</v>
      </c>
      <c r="BC224" s="326">
        <v>0</v>
      </c>
      <c r="BD224" s="326">
        <v>0</v>
      </c>
      <c r="BE224" s="326">
        <v>0</v>
      </c>
      <c r="BF224" s="326">
        <v>0</v>
      </c>
      <c r="BG224" s="326">
        <v>0</v>
      </c>
      <c r="BH224" s="326">
        <v>0</v>
      </c>
      <c r="BI224" s="326">
        <v>0</v>
      </c>
      <c r="BJ224" s="326">
        <v>0</v>
      </c>
      <c r="BK224" s="326">
        <v>0</v>
      </c>
      <c r="BL224" s="326">
        <v>0</v>
      </c>
      <c r="BM224" s="326">
        <v>0</v>
      </c>
      <c r="BN224" s="326">
        <v>0</v>
      </c>
      <c r="BO224" s="326">
        <v>0</v>
      </c>
      <c r="BP224" s="326">
        <v>0</v>
      </c>
      <c r="BQ224" s="326">
        <v>0</v>
      </c>
      <c r="BR224" s="326">
        <v>0</v>
      </c>
      <c r="BS224" s="326">
        <v>0</v>
      </c>
      <c r="BT224" s="326">
        <v>0</v>
      </c>
      <c r="BU224" s="326">
        <v>0</v>
      </c>
      <c r="BV224" s="326">
        <v>0</v>
      </c>
      <c r="BW224" s="326">
        <v>0</v>
      </c>
      <c r="BX224" s="326">
        <v>0</v>
      </c>
      <c r="BY224" s="326">
        <v>0</v>
      </c>
    </row>
    <row r="225" spans="2:86">
      <c r="B225" s="324" t="s">
        <v>101</v>
      </c>
      <c r="D225" s="320">
        <f t="shared" si="124"/>
        <v>0</v>
      </c>
      <c r="E225" s="319">
        <f t="shared" si="89"/>
        <v>0</v>
      </c>
      <c r="F225" s="319">
        <f t="shared" si="90"/>
        <v>0</v>
      </c>
      <c r="G225" s="319">
        <f t="shared" si="91"/>
        <v>0</v>
      </c>
      <c r="H225" s="319">
        <f t="shared" si="92"/>
        <v>0</v>
      </c>
      <c r="I225" s="319">
        <f t="shared" si="93"/>
        <v>0</v>
      </c>
      <c r="J225" s="319">
        <f t="shared" si="94"/>
        <v>0</v>
      </c>
      <c r="K225" s="319">
        <f t="shared" si="95"/>
        <v>0</v>
      </c>
      <c r="L225" s="319">
        <f t="shared" si="96"/>
        <v>0</v>
      </c>
      <c r="M225" s="319">
        <f t="shared" si="97"/>
        <v>0</v>
      </c>
      <c r="N225" s="319">
        <f t="shared" si="98"/>
        <v>0</v>
      </c>
      <c r="O225" s="319">
        <f t="shared" si="99"/>
        <v>0</v>
      </c>
      <c r="P225" s="319">
        <f t="shared" si="100"/>
        <v>0</v>
      </c>
      <c r="Q225" s="319">
        <f t="shared" si="101"/>
        <v>0</v>
      </c>
      <c r="R225" s="319">
        <f t="shared" si="102"/>
        <v>0</v>
      </c>
      <c r="S225" s="319">
        <f t="shared" si="103"/>
        <v>0</v>
      </c>
      <c r="T225" s="319">
        <f t="shared" si="104"/>
        <v>0</v>
      </c>
      <c r="U225" s="319">
        <f t="shared" si="105"/>
        <v>0</v>
      </c>
      <c r="V225" s="319">
        <f t="shared" si="106"/>
        <v>0</v>
      </c>
      <c r="W225" s="319">
        <f t="shared" si="107"/>
        <v>0</v>
      </c>
      <c r="X225" s="319">
        <f t="shared" si="108"/>
        <v>0</v>
      </c>
      <c r="Y225" s="319">
        <f t="shared" si="109"/>
        <v>0</v>
      </c>
      <c r="Z225" s="319">
        <f t="shared" si="110"/>
        <v>0</v>
      </c>
      <c r="AA225" s="319">
        <f t="shared" si="111"/>
        <v>0</v>
      </c>
      <c r="AB225" s="319">
        <f t="shared" si="112"/>
        <v>0</v>
      </c>
      <c r="AC225" s="319">
        <f t="shared" si="113"/>
        <v>0</v>
      </c>
      <c r="AD225" s="319">
        <f t="shared" si="114"/>
        <v>0</v>
      </c>
      <c r="AE225" s="319">
        <f t="shared" si="115"/>
        <v>0</v>
      </c>
      <c r="AF225" s="319">
        <f t="shared" si="116"/>
        <v>0</v>
      </c>
      <c r="AG225" s="319">
        <f t="shared" si="117"/>
        <v>0</v>
      </c>
      <c r="AH225" s="319">
        <f t="shared" si="118"/>
        <v>0</v>
      </c>
      <c r="AI225" s="319">
        <f t="shared" si="119"/>
        <v>0</v>
      </c>
      <c r="AJ225" s="319">
        <f t="shared" si="120"/>
        <v>0</v>
      </c>
      <c r="AK225" s="319">
        <f t="shared" si="121"/>
        <v>0</v>
      </c>
      <c r="AL225" s="319">
        <f t="shared" si="122"/>
        <v>0</v>
      </c>
      <c r="AM225" s="319">
        <f t="shared" si="123"/>
        <v>0</v>
      </c>
      <c r="AN225" s="319"/>
      <c r="AP225" s="266" t="s">
        <v>102</v>
      </c>
      <c r="AQ225" s="326">
        <v>0</v>
      </c>
      <c r="AR225" s="326">
        <v>0</v>
      </c>
      <c r="AS225" s="326">
        <v>0</v>
      </c>
      <c r="AT225" s="326">
        <v>0</v>
      </c>
      <c r="AU225" s="326">
        <v>0</v>
      </c>
      <c r="AV225" s="326">
        <v>0</v>
      </c>
      <c r="AW225" s="326">
        <v>0.2</v>
      </c>
      <c r="AX225" s="326">
        <v>0.2</v>
      </c>
      <c r="AY225" s="326">
        <v>0.2</v>
      </c>
      <c r="AZ225" s="326">
        <v>0.2</v>
      </c>
      <c r="BA225" s="326">
        <v>0.2</v>
      </c>
      <c r="BB225" s="326">
        <v>0</v>
      </c>
      <c r="BC225" s="326">
        <v>0</v>
      </c>
      <c r="BD225" s="326">
        <v>0</v>
      </c>
      <c r="BE225" s="326">
        <v>0</v>
      </c>
      <c r="BF225" s="326">
        <v>0</v>
      </c>
      <c r="BG225" s="326">
        <v>0</v>
      </c>
      <c r="BH225" s="326">
        <v>0</v>
      </c>
      <c r="BI225" s="326">
        <v>0</v>
      </c>
      <c r="BJ225" s="326">
        <v>0</v>
      </c>
      <c r="BK225" s="326">
        <v>0</v>
      </c>
      <c r="BL225" s="326">
        <v>0</v>
      </c>
      <c r="BM225" s="326">
        <v>0</v>
      </c>
      <c r="BN225" s="326">
        <v>0</v>
      </c>
      <c r="BO225" s="326">
        <v>0</v>
      </c>
      <c r="BP225" s="326">
        <v>0</v>
      </c>
      <c r="BQ225" s="326">
        <v>0</v>
      </c>
      <c r="BR225" s="326">
        <v>0</v>
      </c>
      <c r="BS225" s="326">
        <v>0</v>
      </c>
      <c r="BT225" s="326">
        <v>0</v>
      </c>
      <c r="BU225" s="326">
        <v>0</v>
      </c>
      <c r="BV225" s="326">
        <v>0</v>
      </c>
      <c r="BW225" s="326">
        <v>0</v>
      </c>
      <c r="BX225" s="326">
        <v>0</v>
      </c>
      <c r="BY225" s="326">
        <v>0</v>
      </c>
    </row>
    <row r="226" spans="2:86">
      <c r="B226" s="324" t="s">
        <v>102</v>
      </c>
      <c r="D226" s="320">
        <f t="shared" si="124"/>
        <v>0</v>
      </c>
      <c r="E226" s="319">
        <f t="shared" si="89"/>
        <v>0</v>
      </c>
      <c r="F226" s="319">
        <f t="shared" si="90"/>
        <v>0</v>
      </c>
      <c r="G226" s="319">
        <f t="shared" si="91"/>
        <v>0</v>
      </c>
      <c r="H226" s="319">
        <f t="shared" si="92"/>
        <v>0</v>
      </c>
      <c r="I226" s="319">
        <f t="shared" si="93"/>
        <v>0</v>
      </c>
      <c r="J226" s="319">
        <f t="shared" si="94"/>
        <v>0</v>
      </c>
      <c r="K226" s="319">
        <f t="shared" si="95"/>
        <v>0</v>
      </c>
      <c r="L226" s="319">
        <f t="shared" si="96"/>
        <v>0</v>
      </c>
      <c r="M226" s="319">
        <f t="shared" si="97"/>
        <v>0</v>
      </c>
      <c r="N226" s="319">
        <f t="shared" si="98"/>
        <v>0</v>
      </c>
      <c r="O226" s="319">
        <f t="shared" si="99"/>
        <v>0</v>
      </c>
      <c r="P226" s="319">
        <f t="shared" si="100"/>
        <v>0</v>
      </c>
      <c r="Q226" s="319">
        <f t="shared" si="101"/>
        <v>0</v>
      </c>
      <c r="R226" s="319">
        <f t="shared" si="102"/>
        <v>0</v>
      </c>
      <c r="S226" s="319">
        <f t="shared" si="103"/>
        <v>0</v>
      </c>
      <c r="T226" s="319">
        <f t="shared" si="104"/>
        <v>0</v>
      </c>
      <c r="U226" s="319">
        <f t="shared" si="105"/>
        <v>0</v>
      </c>
      <c r="V226" s="319">
        <f t="shared" si="106"/>
        <v>0</v>
      </c>
      <c r="W226" s="319">
        <f t="shared" si="107"/>
        <v>0</v>
      </c>
      <c r="X226" s="319">
        <f t="shared" si="108"/>
        <v>0</v>
      </c>
      <c r="Y226" s="319">
        <f t="shared" si="109"/>
        <v>0</v>
      </c>
      <c r="Z226" s="319">
        <f t="shared" si="110"/>
        <v>0</v>
      </c>
      <c r="AA226" s="319">
        <f t="shared" si="111"/>
        <v>0</v>
      </c>
      <c r="AB226" s="319">
        <f t="shared" si="112"/>
        <v>0</v>
      </c>
      <c r="AC226" s="319">
        <f t="shared" si="113"/>
        <v>0</v>
      </c>
      <c r="AD226" s="319">
        <f t="shared" si="114"/>
        <v>0</v>
      </c>
      <c r="AE226" s="319">
        <f t="shared" si="115"/>
        <v>0</v>
      </c>
      <c r="AF226" s="319">
        <f t="shared" si="116"/>
        <v>0</v>
      </c>
      <c r="AG226" s="319">
        <f t="shared" si="117"/>
        <v>0</v>
      </c>
      <c r="AH226" s="319">
        <f t="shared" si="118"/>
        <v>0</v>
      </c>
      <c r="AI226" s="319">
        <f t="shared" si="119"/>
        <v>0</v>
      </c>
      <c r="AJ226" s="319">
        <f t="shared" si="120"/>
        <v>0</v>
      </c>
      <c r="AK226" s="319">
        <f t="shared" si="121"/>
        <v>0</v>
      </c>
      <c r="AL226" s="319">
        <f t="shared" si="122"/>
        <v>0</v>
      </c>
      <c r="AM226" s="319">
        <f t="shared" si="123"/>
        <v>0</v>
      </c>
      <c r="AN226" s="319"/>
      <c r="AP226" s="266" t="s">
        <v>103</v>
      </c>
      <c r="AQ226" s="326">
        <v>0</v>
      </c>
      <c r="AR226" s="326">
        <v>0</v>
      </c>
      <c r="AS226" s="326">
        <v>0</v>
      </c>
      <c r="AT226" s="326">
        <v>0</v>
      </c>
      <c r="AU226" s="326">
        <v>0</v>
      </c>
      <c r="AV226" s="326">
        <v>0</v>
      </c>
      <c r="AW226" s="326">
        <v>0</v>
      </c>
      <c r="AX226" s="326">
        <v>0.2</v>
      </c>
      <c r="AY226" s="326">
        <v>0.2</v>
      </c>
      <c r="AZ226" s="326">
        <v>0.2</v>
      </c>
      <c r="BA226" s="326">
        <v>0.2</v>
      </c>
      <c r="BB226" s="326">
        <v>0.2</v>
      </c>
      <c r="BC226" s="326">
        <v>0</v>
      </c>
      <c r="BD226" s="326">
        <v>0</v>
      </c>
      <c r="BE226" s="326">
        <v>0</v>
      </c>
      <c r="BF226" s="326">
        <v>0</v>
      </c>
      <c r="BG226" s="326">
        <v>0</v>
      </c>
      <c r="BH226" s="326">
        <v>0</v>
      </c>
      <c r="BI226" s="326">
        <v>0</v>
      </c>
      <c r="BJ226" s="326">
        <v>0</v>
      </c>
      <c r="BK226" s="326">
        <v>0</v>
      </c>
      <c r="BL226" s="326">
        <v>0</v>
      </c>
      <c r="BM226" s="326">
        <v>0</v>
      </c>
      <c r="BN226" s="326">
        <v>0</v>
      </c>
      <c r="BO226" s="326">
        <v>0</v>
      </c>
      <c r="BP226" s="326">
        <v>0</v>
      </c>
      <c r="BQ226" s="326">
        <v>0</v>
      </c>
      <c r="BR226" s="326">
        <v>0</v>
      </c>
      <c r="BS226" s="326">
        <v>0</v>
      </c>
      <c r="BT226" s="326">
        <v>0</v>
      </c>
      <c r="BU226" s="326">
        <v>0</v>
      </c>
      <c r="BV226" s="326">
        <v>0</v>
      </c>
      <c r="BW226" s="326">
        <v>0</v>
      </c>
      <c r="BX226" s="326">
        <v>0</v>
      </c>
      <c r="BY226" s="326">
        <v>0</v>
      </c>
    </row>
    <row r="227" spans="2:86">
      <c r="B227" s="324" t="s">
        <v>103</v>
      </c>
      <c r="D227" s="320">
        <f t="shared" si="124"/>
        <v>0</v>
      </c>
      <c r="E227" s="319">
        <f t="shared" si="89"/>
        <v>0</v>
      </c>
      <c r="F227" s="319">
        <f t="shared" si="90"/>
        <v>0</v>
      </c>
      <c r="G227" s="319">
        <f t="shared" si="91"/>
        <v>0</v>
      </c>
      <c r="H227" s="319">
        <f t="shared" si="92"/>
        <v>0</v>
      </c>
      <c r="I227" s="319">
        <f t="shared" si="93"/>
        <v>0</v>
      </c>
      <c r="J227" s="319">
        <f t="shared" si="94"/>
        <v>0</v>
      </c>
      <c r="K227" s="319">
        <f t="shared" si="95"/>
        <v>0</v>
      </c>
      <c r="L227" s="319">
        <f t="shared" si="96"/>
        <v>0</v>
      </c>
      <c r="M227" s="319">
        <f t="shared" si="97"/>
        <v>0</v>
      </c>
      <c r="N227" s="319">
        <f t="shared" si="98"/>
        <v>0</v>
      </c>
      <c r="O227" s="319">
        <f t="shared" si="99"/>
        <v>0</v>
      </c>
      <c r="P227" s="319">
        <f t="shared" si="100"/>
        <v>0</v>
      </c>
      <c r="Q227" s="319">
        <f t="shared" si="101"/>
        <v>0</v>
      </c>
      <c r="R227" s="319">
        <f t="shared" si="102"/>
        <v>0</v>
      </c>
      <c r="S227" s="319">
        <f t="shared" si="103"/>
        <v>0</v>
      </c>
      <c r="T227" s="319">
        <f t="shared" si="104"/>
        <v>0</v>
      </c>
      <c r="U227" s="319">
        <f t="shared" si="105"/>
        <v>0</v>
      </c>
      <c r="V227" s="319">
        <f t="shared" si="106"/>
        <v>0</v>
      </c>
      <c r="W227" s="319">
        <f t="shared" si="107"/>
        <v>0</v>
      </c>
      <c r="X227" s="319">
        <f t="shared" si="108"/>
        <v>0</v>
      </c>
      <c r="Y227" s="319">
        <f t="shared" si="109"/>
        <v>0</v>
      </c>
      <c r="Z227" s="319">
        <f t="shared" si="110"/>
        <v>0</v>
      </c>
      <c r="AA227" s="319">
        <f t="shared" si="111"/>
        <v>0</v>
      </c>
      <c r="AB227" s="319">
        <f t="shared" si="112"/>
        <v>0</v>
      </c>
      <c r="AC227" s="319">
        <f t="shared" si="113"/>
        <v>0</v>
      </c>
      <c r="AD227" s="319">
        <f t="shared" si="114"/>
        <v>0</v>
      </c>
      <c r="AE227" s="319">
        <f t="shared" si="115"/>
        <v>0</v>
      </c>
      <c r="AF227" s="319">
        <f t="shared" si="116"/>
        <v>0</v>
      </c>
      <c r="AG227" s="319">
        <f t="shared" si="117"/>
        <v>0</v>
      </c>
      <c r="AH227" s="319">
        <f t="shared" si="118"/>
        <v>0</v>
      </c>
      <c r="AI227" s="319">
        <f t="shared" si="119"/>
        <v>0</v>
      </c>
      <c r="AJ227" s="319">
        <f t="shared" si="120"/>
        <v>0</v>
      </c>
      <c r="AK227" s="319">
        <f t="shared" si="121"/>
        <v>0</v>
      </c>
      <c r="AL227" s="319">
        <f t="shared" si="122"/>
        <v>0</v>
      </c>
      <c r="AM227" s="319">
        <f t="shared" si="123"/>
        <v>0</v>
      </c>
      <c r="AN227" s="319"/>
      <c r="AP227" s="266" t="s">
        <v>104</v>
      </c>
      <c r="AQ227" s="326">
        <v>0</v>
      </c>
      <c r="AR227" s="326">
        <v>0</v>
      </c>
      <c r="AS227" s="326">
        <v>0</v>
      </c>
      <c r="AT227" s="326">
        <v>0</v>
      </c>
      <c r="AU227" s="326">
        <v>0</v>
      </c>
      <c r="AV227" s="326">
        <v>0</v>
      </c>
      <c r="AW227" s="326">
        <v>0</v>
      </c>
      <c r="AX227" s="326">
        <v>0</v>
      </c>
      <c r="AY227" s="326">
        <v>0.2</v>
      </c>
      <c r="AZ227" s="326">
        <v>0.2</v>
      </c>
      <c r="BA227" s="326">
        <v>0.2</v>
      </c>
      <c r="BB227" s="326">
        <v>0.2</v>
      </c>
      <c r="BC227" s="326">
        <v>0.2</v>
      </c>
      <c r="BD227" s="326">
        <v>0</v>
      </c>
      <c r="BE227" s="326">
        <v>0</v>
      </c>
      <c r="BF227" s="326">
        <v>0</v>
      </c>
      <c r="BG227" s="326">
        <v>0</v>
      </c>
      <c r="BH227" s="326">
        <v>0</v>
      </c>
      <c r="BI227" s="326">
        <v>0</v>
      </c>
      <c r="BJ227" s="326">
        <v>0</v>
      </c>
      <c r="BK227" s="326">
        <v>0</v>
      </c>
      <c r="BL227" s="326">
        <v>0</v>
      </c>
      <c r="BM227" s="326">
        <v>0</v>
      </c>
      <c r="BN227" s="326">
        <v>0</v>
      </c>
      <c r="BO227" s="326">
        <v>0</v>
      </c>
      <c r="BP227" s="326">
        <v>0</v>
      </c>
      <c r="BQ227" s="326">
        <v>0</v>
      </c>
      <c r="BR227" s="326">
        <v>0</v>
      </c>
      <c r="BS227" s="326">
        <v>0</v>
      </c>
      <c r="BT227" s="326">
        <v>0</v>
      </c>
      <c r="BU227" s="326">
        <v>0</v>
      </c>
      <c r="BV227" s="326">
        <v>0</v>
      </c>
      <c r="BW227" s="326">
        <v>0</v>
      </c>
      <c r="BX227" s="326">
        <v>0</v>
      </c>
      <c r="BY227" s="326">
        <v>0</v>
      </c>
    </row>
    <row r="228" spans="2:86">
      <c r="B228" s="324" t="s">
        <v>104</v>
      </c>
      <c r="D228" s="320">
        <f t="shared" si="124"/>
        <v>0</v>
      </c>
      <c r="E228" s="319">
        <f t="shared" si="89"/>
        <v>0</v>
      </c>
      <c r="F228" s="319">
        <f t="shared" si="90"/>
        <v>0</v>
      </c>
      <c r="G228" s="319">
        <f t="shared" si="91"/>
        <v>0</v>
      </c>
      <c r="H228" s="319">
        <f t="shared" si="92"/>
        <v>0</v>
      </c>
      <c r="I228" s="319">
        <f t="shared" si="93"/>
        <v>0</v>
      </c>
      <c r="J228" s="319">
        <f t="shared" si="94"/>
        <v>0</v>
      </c>
      <c r="K228" s="319">
        <f t="shared" si="95"/>
        <v>0</v>
      </c>
      <c r="L228" s="319">
        <f t="shared" si="96"/>
        <v>0</v>
      </c>
      <c r="M228" s="319">
        <f t="shared" si="97"/>
        <v>0</v>
      </c>
      <c r="N228" s="319">
        <f t="shared" si="98"/>
        <v>0</v>
      </c>
      <c r="O228" s="319">
        <f t="shared" si="99"/>
        <v>0</v>
      </c>
      <c r="P228" s="319">
        <f t="shared" si="100"/>
        <v>0</v>
      </c>
      <c r="Q228" s="319">
        <f t="shared" si="101"/>
        <v>0</v>
      </c>
      <c r="R228" s="319">
        <f t="shared" si="102"/>
        <v>0</v>
      </c>
      <c r="S228" s="319">
        <f t="shared" si="103"/>
        <v>0</v>
      </c>
      <c r="T228" s="319">
        <f t="shared" si="104"/>
        <v>0</v>
      </c>
      <c r="U228" s="319">
        <f t="shared" si="105"/>
        <v>0</v>
      </c>
      <c r="V228" s="319">
        <f t="shared" si="106"/>
        <v>0</v>
      </c>
      <c r="W228" s="319">
        <f t="shared" si="107"/>
        <v>0</v>
      </c>
      <c r="X228" s="319">
        <f t="shared" si="108"/>
        <v>0</v>
      </c>
      <c r="Y228" s="319">
        <f t="shared" si="109"/>
        <v>0</v>
      </c>
      <c r="Z228" s="319">
        <f t="shared" si="110"/>
        <v>0</v>
      </c>
      <c r="AA228" s="319">
        <f t="shared" si="111"/>
        <v>0</v>
      </c>
      <c r="AB228" s="319">
        <f t="shared" si="112"/>
        <v>0</v>
      </c>
      <c r="AC228" s="319">
        <f t="shared" si="113"/>
        <v>0</v>
      </c>
      <c r="AD228" s="319">
        <f t="shared" si="114"/>
        <v>0</v>
      </c>
      <c r="AE228" s="319">
        <f t="shared" si="115"/>
        <v>0</v>
      </c>
      <c r="AF228" s="319">
        <f t="shared" si="116"/>
        <v>0</v>
      </c>
      <c r="AG228" s="319">
        <f t="shared" si="117"/>
        <v>0</v>
      </c>
      <c r="AH228" s="319">
        <f t="shared" si="118"/>
        <v>0</v>
      </c>
      <c r="AI228" s="319">
        <f t="shared" si="119"/>
        <v>0</v>
      </c>
      <c r="AJ228" s="319">
        <f t="shared" si="120"/>
        <v>0</v>
      </c>
      <c r="AK228" s="319">
        <f t="shared" si="121"/>
        <v>0</v>
      </c>
      <c r="AL228" s="319">
        <f t="shared" si="122"/>
        <v>0</v>
      </c>
      <c r="AM228" s="319">
        <f t="shared" si="123"/>
        <v>0</v>
      </c>
      <c r="AN228" s="319"/>
      <c r="AP228" s="266" t="s">
        <v>105</v>
      </c>
      <c r="AQ228" s="326">
        <v>0</v>
      </c>
      <c r="AR228" s="326">
        <v>0</v>
      </c>
      <c r="AS228" s="326">
        <v>0</v>
      </c>
      <c r="AT228" s="326">
        <v>0</v>
      </c>
      <c r="AU228" s="326">
        <v>0</v>
      </c>
      <c r="AV228" s="326">
        <v>0</v>
      </c>
      <c r="AW228" s="326">
        <v>0</v>
      </c>
      <c r="AX228" s="326">
        <v>0</v>
      </c>
      <c r="AY228" s="326">
        <v>0</v>
      </c>
      <c r="AZ228" s="326">
        <v>0.2</v>
      </c>
      <c r="BA228" s="326">
        <v>0.2</v>
      </c>
      <c r="BB228" s="326">
        <v>0.2</v>
      </c>
      <c r="BC228" s="326">
        <v>0.2</v>
      </c>
      <c r="BD228" s="326">
        <v>0.2</v>
      </c>
      <c r="BE228" s="326">
        <v>0</v>
      </c>
      <c r="BF228" s="326">
        <v>0</v>
      </c>
      <c r="BG228" s="326">
        <v>0</v>
      </c>
      <c r="BH228" s="326">
        <v>0</v>
      </c>
      <c r="BI228" s="326">
        <v>0</v>
      </c>
      <c r="BJ228" s="326">
        <v>0</v>
      </c>
      <c r="BK228" s="326">
        <v>0</v>
      </c>
      <c r="BL228" s="326">
        <v>0</v>
      </c>
      <c r="BM228" s="326">
        <v>0</v>
      </c>
      <c r="BN228" s="326">
        <v>0</v>
      </c>
      <c r="BO228" s="326">
        <v>0</v>
      </c>
      <c r="BP228" s="326">
        <v>0</v>
      </c>
      <c r="BQ228" s="326">
        <v>0</v>
      </c>
      <c r="BR228" s="326">
        <v>0</v>
      </c>
      <c r="BS228" s="326">
        <v>0</v>
      </c>
      <c r="BT228" s="326">
        <v>0</v>
      </c>
      <c r="BU228" s="326">
        <v>0</v>
      </c>
      <c r="BV228" s="326">
        <v>0</v>
      </c>
      <c r="BW228" s="326">
        <v>0</v>
      </c>
      <c r="BX228" s="326">
        <v>0</v>
      </c>
      <c r="BY228" s="326">
        <v>0</v>
      </c>
    </row>
    <row r="229" spans="2:86">
      <c r="B229" s="324" t="s">
        <v>105</v>
      </c>
      <c r="D229" s="320">
        <f t="shared" si="124"/>
        <v>0</v>
      </c>
      <c r="E229" s="319">
        <f t="shared" si="89"/>
        <v>0</v>
      </c>
      <c r="F229" s="319">
        <f t="shared" si="90"/>
        <v>0</v>
      </c>
      <c r="G229" s="319">
        <f t="shared" si="91"/>
        <v>0</v>
      </c>
      <c r="H229" s="319">
        <f t="shared" si="92"/>
        <v>0</v>
      </c>
      <c r="I229" s="319">
        <f t="shared" si="93"/>
        <v>0</v>
      </c>
      <c r="J229" s="319">
        <f t="shared" si="94"/>
        <v>0</v>
      </c>
      <c r="K229" s="319">
        <f t="shared" si="95"/>
        <v>0</v>
      </c>
      <c r="L229" s="319">
        <f t="shared" si="96"/>
        <v>0</v>
      </c>
      <c r="M229" s="319">
        <f t="shared" si="97"/>
        <v>0</v>
      </c>
      <c r="N229" s="319">
        <f t="shared" si="98"/>
        <v>0</v>
      </c>
      <c r="O229" s="319">
        <f t="shared" si="99"/>
        <v>0</v>
      </c>
      <c r="P229" s="319">
        <f t="shared" si="100"/>
        <v>0</v>
      </c>
      <c r="Q229" s="319">
        <f t="shared" si="101"/>
        <v>0</v>
      </c>
      <c r="R229" s="319">
        <f t="shared" si="102"/>
        <v>0</v>
      </c>
      <c r="S229" s="319">
        <f t="shared" si="103"/>
        <v>0</v>
      </c>
      <c r="T229" s="319">
        <f t="shared" si="104"/>
        <v>0</v>
      </c>
      <c r="U229" s="319">
        <f t="shared" si="105"/>
        <v>0</v>
      </c>
      <c r="V229" s="319">
        <f t="shared" si="106"/>
        <v>0</v>
      </c>
      <c r="W229" s="319">
        <f t="shared" si="107"/>
        <v>0</v>
      </c>
      <c r="X229" s="319">
        <f t="shared" si="108"/>
        <v>0</v>
      </c>
      <c r="Y229" s="319">
        <f t="shared" si="109"/>
        <v>0</v>
      </c>
      <c r="Z229" s="319">
        <f t="shared" si="110"/>
        <v>0</v>
      </c>
      <c r="AA229" s="319">
        <f t="shared" si="111"/>
        <v>0</v>
      </c>
      <c r="AB229" s="319">
        <f t="shared" si="112"/>
        <v>0</v>
      </c>
      <c r="AC229" s="319">
        <f t="shared" si="113"/>
        <v>0</v>
      </c>
      <c r="AD229" s="319">
        <f t="shared" si="114"/>
        <v>0</v>
      </c>
      <c r="AE229" s="319">
        <f t="shared" si="115"/>
        <v>0</v>
      </c>
      <c r="AF229" s="319">
        <f t="shared" si="116"/>
        <v>0</v>
      </c>
      <c r="AG229" s="319">
        <f t="shared" si="117"/>
        <v>0</v>
      </c>
      <c r="AH229" s="319">
        <f t="shared" si="118"/>
        <v>0</v>
      </c>
      <c r="AI229" s="319">
        <f t="shared" si="119"/>
        <v>0</v>
      </c>
      <c r="AJ229" s="319">
        <f t="shared" si="120"/>
        <v>0</v>
      </c>
      <c r="AK229" s="319">
        <f t="shared" si="121"/>
        <v>0</v>
      </c>
      <c r="AL229" s="319">
        <f t="shared" si="122"/>
        <v>0</v>
      </c>
      <c r="AM229" s="319">
        <f t="shared" si="123"/>
        <v>0</v>
      </c>
      <c r="AN229" s="319"/>
      <c r="AP229" s="266" t="s">
        <v>106</v>
      </c>
      <c r="AQ229" s="326">
        <v>0</v>
      </c>
      <c r="AR229" s="326">
        <v>0</v>
      </c>
      <c r="AS229" s="326">
        <v>0</v>
      </c>
      <c r="AT229" s="326">
        <v>0</v>
      </c>
      <c r="AU229" s="326">
        <v>0</v>
      </c>
      <c r="AV229" s="326">
        <v>0</v>
      </c>
      <c r="AW229" s="326">
        <v>0</v>
      </c>
      <c r="AX229" s="326">
        <v>0</v>
      </c>
      <c r="AY229" s="326">
        <v>0</v>
      </c>
      <c r="AZ229" s="326">
        <v>0</v>
      </c>
      <c r="BA229" s="326">
        <v>0.2</v>
      </c>
      <c r="BB229" s="326">
        <v>0.2</v>
      </c>
      <c r="BC229" s="326">
        <v>0.2</v>
      </c>
      <c r="BD229" s="326">
        <v>0.2</v>
      </c>
      <c r="BE229" s="326">
        <v>0.2</v>
      </c>
      <c r="BF229" s="326">
        <v>0</v>
      </c>
      <c r="BG229" s="326">
        <v>0</v>
      </c>
      <c r="BH229" s="326">
        <v>0</v>
      </c>
      <c r="BI229" s="326">
        <v>0</v>
      </c>
      <c r="BJ229" s="326">
        <v>0</v>
      </c>
      <c r="BK229" s="326">
        <v>0</v>
      </c>
      <c r="BL229" s="326">
        <v>0</v>
      </c>
      <c r="BM229" s="326">
        <v>0</v>
      </c>
      <c r="BN229" s="326">
        <v>0</v>
      </c>
      <c r="BO229" s="326">
        <v>0</v>
      </c>
      <c r="BP229" s="326">
        <v>0</v>
      </c>
      <c r="BQ229" s="326">
        <v>0</v>
      </c>
      <c r="BR229" s="326">
        <v>0</v>
      </c>
      <c r="BS229" s="326">
        <v>0</v>
      </c>
      <c r="BT229" s="326">
        <v>0</v>
      </c>
      <c r="BU229" s="326">
        <v>0</v>
      </c>
      <c r="BV229" s="326">
        <v>0</v>
      </c>
      <c r="BW229" s="326">
        <v>0</v>
      </c>
      <c r="BX229" s="326">
        <v>0</v>
      </c>
      <c r="BY229" s="326">
        <v>0</v>
      </c>
      <c r="CH229" s="326"/>
    </row>
    <row r="230" spans="2:86">
      <c r="B230" s="324" t="s">
        <v>106</v>
      </c>
      <c r="D230" s="320">
        <f t="shared" si="124"/>
        <v>0</v>
      </c>
      <c r="E230" s="319">
        <f t="shared" si="89"/>
        <v>0</v>
      </c>
      <c r="F230" s="319">
        <f t="shared" si="90"/>
        <v>0</v>
      </c>
      <c r="G230" s="319">
        <f t="shared" si="91"/>
        <v>0</v>
      </c>
      <c r="H230" s="319">
        <f t="shared" si="92"/>
        <v>0</v>
      </c>
      <c r="I230" s="319">
        <f t="shared" si="93"/>
        <v>0</v>
      </c>
      <c r="J230" s="319">
        <f t="shared" si="94"/>
        <v>0</v>
      </c>
      <c r="K230" s="319">
        <f t="shared" si="95"/>
        <v>0</v>
      </c>
      <c r="L230" s="319">
        <f t="shared" si="96"/>
        <v>0</v>
      </c>
      <c r="M230" s="319">
        <f t="shared" si="97"/>
        <v>0</v>
      </c>
      <c r="N230" s="319">
        <f t="shared" si="98"/>
        <v>0</v>
      </c>
      <c r="O230" s="319">
        <f t="shared" si="99"/>
        <v>0</v>
      </c>
      <c r="P230" s="319">
        <f t="shared" si="100"/>
        <v>0</v>
      </c>
      <c r="Q230" s="319">
        <f t="shared" si="101"/>
        <v>0</v>
      </c>
      <c r="R230" s="319">
        <f t="shared" si="102"/>
        <v>0</v>
      </c>
      <c r="S230" s="319">
        <f t="shared" si="103"/>
        <v>0</v>
      </c>
      <c r="T230" s="319">
        <f t="shared" si="104"/>
        <v>0</v>
      </c>
      <c r="U230" s="319">
        <f t="shared" si="105"/>
        <v>0</v>
      </c>
      <c r="V230" s="319">
        <f t="shared" si="106"/>
        <v>0</v>
      </c>
      <c r="W230" s="319">
        <f t="shared" si="107"/>
        <v>0</v>
      </c>
      <c r="X230" s="319">
        <f t="shared" si="108"/>
        <v>0</v>
      </c>
      <c r="Y230" s="319">
        <f t="shared" si="109"/>
        <v>0</v>
      </c>
      <c r="Z230" s="319">
        <f t="shared" si="110"/>
        <v>0</v>
      </c>
      <c r="AA230" s="319">
        <f t="shared" si="111"/>
        <v>0</v>
      </c>
      <c r="AB230" s="319">
        <f t="shared" si="112"/>
        <v>0</v>
      </c>
      <c r="AC230" s="319">
        <f t="shared" si="113"/>
        <v>0</v>
      </c>
      <c r="AD230" s="319">
        <f t="shared" si="114"/>
        <v>0</v>
      </c>
      <c r="AE230" s="319">
        <f t="shared" si="115"/>
        <v>0</v>
      </c>
      <c r="AF230" s="319">
        <f t="shared" si="116"/>
        <v>0</v>
      </c>
      <c r="AG230" s="319">
        <f t="shared" si="117"/>
        <v>0</v>
      </c>
      <c r="AH230" s="319">
        <f t="shared" si="118"/>
        <v>0</v>
      </c>
      <c r="AI230" s="319">
        <f t="shared" si="119"/>
        <v>0</v>
      </c>
      <c r="AJ230" s="319">
        <f t="shared" si="120"/>
        <v>0</v>
      </c>
      <c r="AK230" s="319">
        <f t="shared" si="121"/>
        <v>0</v>
      </c>
      <c r="AL230" s="319">
        <f t="shared" si="122"/>
        <v>0</v>
      </c>
      <c r="AM230" s="319">
        <f t="shared" si="123"/>
        <v>0</v>
      </c>
      <c r="AN230" s="319"/>
      <c r="AP230" s="266" t="s">
        <v>107</v>
      </c>
      <c r="AQ230" s="326">
        <v>0</v>
      </c>
      <c r="AR230" s="326">
        <v>0</v>
      </c>
      <c r="AS230" s="326">
        <v>0</v>
      </c>
      <c r="AT230" s="326">
        <v>0</v>
      </c>
      <c r="AU230" s="326">
        <v>0</v>
      </c>
      <c r="AV230" s="326">
        <v>0</v>
      </c>
      <c r="AW230" s="326">
        <v>0</v>
      </c>
      <c r="AX230" s="326">
        <v>0</v>
      </c>
      <c r="AY230" s="326">
        <v>0</v>
      </c>
      <c r="AZ230" s="326">
        <v>0</v>
      </c>
      <c r="BA230" s="326">
        <v>0</v>
      </c>
      <c r="BB230" s="326">
        <v>0.2</v>
      </c>
      <c r="BC230" s="326">
        <v>0.2</v>
      </c>
      <c r="BD230" s="326">
        <v>0.2</v>
      </c>
      <c r="BE230" s="326">
        <v>0.2</v>
      </c>
      <c r="BF230" s="326">
        <v>0.2</v>
      </c>
      <c r="BG230" s="326">
        <v>0</v>
      </c>
      <c r="BH230" s="326">
        <v>0</v>
      </c>
      <c r="BI230" s="326">
        <v>0</v>
      </c>
      <c r="BJ230" s="326">
        <v>0</v>
      </c>
      <c r="BK230" s="326">
        <v>0</v>
      </c>
      <c r="BL230" s="326">
        <v>0</v>
      </c>
      <c r="BM230" s="326">
        <v>0</v>
      </c>
      <c r="BN230" s="326">
        <v>0</v>
      </c>
      <c r="BO230" s="326">
        <v>0</v>
      </c>
      <c r="BP230" s="326">
        <v>0</v>
      </c>
      <c r="BQ230" s="326">
        <v>0</v>
      </c>
      <c r="BR230" s="326">
        <v>0</v>
      </c>
      <c r="BS230" s="326">
        <v>0</v>
      </c>
      <c r="BT230" s="326">
        <v>0</v>
      </c>
      <c r="BU230" s="326">
        <v>0</v>
      </c>
      <c r="BV230" s="326">
        <v>0</v>
      </c>
      <c r="BW230" s="326">
        <v>0</v>
      </c>
      <c r="BX230" s="326">
        <v>0</v>
      </c>
      <c r="BY230" s="326">
        <v>0</v>
      </c>
    </row>
    <row r="231" spans="2:86" ht="10.15" customHeight="1">
      <c r="B231" s="324" t="s">
        <v>107</v>
      </c>
      <c r="D231" s="320">
        <f t="shared" si="124"/>
        <v>0</v>
      </c>
      <c r="E231" s="319">
        <f t="shared" si="89"/>
        <v>0</v>
      </c>
      <c r="F231" s="319">
        <f t="shared" si="90"/>
        <v>0</v>
      </c>
      <c r="G231" s="319">
        <f t="shared" si="91"/>
        <v>0</v>
      </c>
      <c r="H231" s="319">
        <f t="shared" si="92"/>
        <v>0</v>
      </c>
      <c r="I231" s="319">
        <f t="shared" si="93"/>
        <v>0</v>
      </c>
      <c r="J231" s="319">
        <f t="shared" si="94"/>
        <v>0</v>
      </c>
      <c r="K231" s="319">
        <f t="shared" si="95"/>
        <v>0</v>
      </c>
      <c r="L231" s="319">
        <f t="shared" si="96"/>
        <v>0</v>
      </c>
      <c r="M231" s="319">
        <f t="shared" si="97"/>
        <v>0</v>
      </c>
      <c r="N231" s="319">
        <f t="shared" si="98"/>
        <v>0</v>
      </c>
      <c r="O231" s="319">
        <f t="shared" si="99"/>
        <v>0</v>
      </c>
      <c r="P231" s="319">
        <f t="shared" si="100"/>
        <v>0</v>
      </c>
      <c r="Q231" s="319">
        <f t="shared" si="101"/>
        <v>0</v>
      </c>
      <c r="R231" s="319">
        <f t="shared" si="102"/>
        <v>0</v>
      </c>
      <c r="S231" s="319">
        <f t="shared" si="103"/>
        <v>0</v>
      </c>
      <c r="T231" s="319">
        <f t="shared" si="104"/>
        <v>0</v>
      </c>
      <c r="U231" s="319">
        <f t="shared" si="105"/>
        <v>0</v>
      </c>
      <c r="V231" s="319">
        <f t="shared" si="106"/>
        <v>0</v>
      </c>
      <c r="W231" s="319">
        <f t="shared" si="107"/>
        <v>0</v>
      </c>
      <c r="X231" s="319">
        <f t="shared" si="108"/>
        <v>0</v>
      </c>
      <c r="Y231" s="319">
        <f t="shared" si="109"/>
        <v>0</v>
      </c>
      <c r="Z231" s="319">
        <f t="shared" si="110"/>
        <v>0</v>
      </c>
      <c r="AA231" s="319">
        <f t="shared" si="111"/>
        <v>0</v>
      </c>
      <c r="AB231" s="319">
        <f t="shared" si="112"/>
        <v>0</v>
      </c>
      <c r="AC231" s="319">
        <f t="shared" si="113"/>
        <v>0</v>
      </c>
      <c r="AD231" s="319">
        <f t="shared" si="114"/>
        <v>0</v>
      </c>
      <c r="AE231" s="319">
        <f t="shared" si="115"/>
        <v>0</v>
      </c>
      <c r="AF231" s="319">
        <f t="shared" si="116"/>
        <v>0</v>
      </c>
      <c r="AG231" s="319">
        <f t="shared" si="117"/>
        <v>0</v>
      </c>
      <c r="AH231" s="319">
        <f t="shared" si="118"/>
        <v>0</v>
      </c>
      <c r="AI231" s="319">
        <f t="shared" si="119"/>
        <v>0</v>
      </c>
      <c r="AJ231" s="319">
        <f t="shared" si="120"/>
        <v>0</v>
      </c>
      <c r="AK231" s="319">
        <f t="shared" si="121"/>
        <v>0</v>
      </c>
      <c r="AL231" s="319">
        <f t="shared" si="122"/>
        <v>0</v>
      </c>
      <c r="AM231" s="319">
        <f t="shared" si="123"/>
        <v>0</v>
      </c>
      <c r="AN231" s="319"/>
      <c r="AP231" s="266" t="s">
        <v>108</v>
      </c>
      <c r="AQ231" s="326">
        <v>0</v>
      </c>
      <c r="AR231" s="326">
        <v>0</v>
      </c>
      <c r="AS231" s="326">
        <v>0</v>
      </c>
      <c r="AT231" s="326">
        <v>0</v>
      </c>
      <c r="AU231" s="326">
        <v>0</v>
      </c>
      <c r="AV231" s="326">
        <v>0</v>
      </c>
      <c r="AW231" s="326">
        <v>0</v>
      </c>
      <c r="AX231" s="326">
        <v>0</v>
      </c>
      <c r="AY231" s="326">
        <v>0</v>
      </c>
      <c r="AZ231" s="326">
        <v>0</v>
      </c>
      <c r="BA231" s="326">
        <v>0</v>
      </c>
      <c r="BB231" s="326">
        <v>0</v>
      </c>
      <c r="BC231" s="326">
        <v>0.2</v>
      </c>
      <c r="BD231" s="326">
        <v>0.2</v>
      </c>
      <c r="BE231" s="326">
        <v>0.2</v>
      </c>
      <c r="BF231" s="326">
        <v>0.2</v>
      </c>
      <c r="BG231" s="326">
        <v>0.2</v>
      </c>
      <c r="BH231" s="326">
        <v>0</v>
      </c>
      <c r="BI231" s="326">
        <v>0</v>
      </c>
      <c r="BJ231" s="326">
        <v>0</v>
      </c>
      <c r="BK231" s="326">
        <v>0</v>
      </c>
      <c r="BL231" s="326">
        <v>0</v>
      </c>
      <c r="BM231" s="326">
        <v>0</v>
      </c>
      <c r="BN231" s="326">
        <v>0</v>
      </c>
      <c r="BO231" s="326">
        <v>0</v>
      </c>
      <c r="BP231" s="326">
        <v>0</v>
      </c>
      <c r="BQ231" s="326">
        <v>0</v>
      </c>
      <c r="BR231" s="326">
        <v>0</v>
      </c>
      <c r="BS231" s="326">
        <v>0</v>
      </c>
      <c r="BT231" s="326">
        <v>0</v>
      </c>
      <c r="BU231" s="326">
        <v>0</v>
      </c>
      <c r="BV231" s="326">
        <v>0</v>
      </c>
      <c r="BW231" s="326">
        <v>0</v>
      </c>
      <c r="BX231" s="326">
        <v>0</v>
      </c>
      <c r="BY231" s="326">
        <v>0</v>
      </c>
    </row>
    <row r="232" spans="2:86" ht="10.15" customHeight="1">
      <c r="B232" s="324" t="s">
        <v>108</v>
      </c>
      <c r="D232" s="320">
        <f t="shared" si="124"/>
        <v>0</v>
      </c>
      <c r="E232" s="319">
        <f t="shared" si="89"/>
        <v>0</v>
      </c>
      <c r="F232" s="319">
        <f t="shared" si="90"/>
        <v>0</v>
      </c>
      <c r="G232" s="319">
        <f t="shared" si="91"/>
        <v>0</v>
      </c>
      <c r="H232" s="319">
        <f t="shared" si="92"/>
        <v>0</v>
      </c>
      <c r="I232" s="319">
        <f t="shared" si="93"/>
        <v>0</v>
      </c>
      <c r="J232" s="319">
        <f t="shared" si="94"/>
        <v>0</v>
      </c>
      <c r="K232" s="319">
        <f t="shared" si="95"/>
        <v>0</v>
      </c>
      <c r="L232" s="319">
        <f t="shared" si="96"/>
        <v>0</v>
      </c>
      <c r="M232" s="319">
        <f t="shared" si="97"/>
        <v>0</v>
      </c>
      <c r="N232" s="319">
        <f t="shared" si="98"/>
        <v>0</v>
      </c>
      <c r="O232" s="319">
        <f t="shared" si="99"/>
        <v>0</v>
      </c>
      <c r="P232" s="319">
        <f t="shared" si="100"/>
        <v>0</v>
      </c>
      <c r="Q232" s="319">
        <f t="shared" si="101"/>
        <v>0</v>
      </c>
      <c r="R232" s="319">
        <f t="shared" si="102"/>
        <v>0</v>
      </c>
      <c r="S232" s="319">
        <f t="shared" si="103"/>
        <v>0</v>
      </c>
      <c r="T232" s="319">
        <f t="shared" si="104"/>
        <v>0</v>
      </c>
      <c r="U232" s="319">
        <f t="shared" si="105"/>
        <v>0</v>
      </c>
      <c r="V232" s="319">
        <f t="shared" si="106"/>
        <v>0</v>
      </c>
      <c r="W232" s="319">
        <f t="shared" si="107"/>
        <v>0</v>
      </c>
      <c r="X232" s="319">
        <f t="shared" si="108"/>
        <v>0</v>
      </c>
      <c r="Y232" s="319">
        <f t="shared" si="109"/>
        <v>0</v>
      </c>
      <c r="Z232" s="319">
        <f t="shared" si="110"/>
        <v>0</v>
      </c>
      <c r="AA232" s="319">
        <f t="shared" si="111"/>
        <v>0</v>
      </c>
      <c r="AB232" s="319">
        <f t="shared" si="112"/>
        <v>0</v>
      </c>
      <c r="AC232" s="319">
        <f t="shared" si="113"/>
        <v>0</v>
      </c>
      <c r="AD232" s="319">
        <f t="shared" si="114"/>
        <v>0</v>
      </c>
      <c r="AE232" s="319">
        <f t="shared" si="115"/>
        <v>0</v>
      </c>
      <c r="AF232" s="319">
        <f t="shared" si="116"/>
        <v>0</v>
      </c>
      <c r="AG232" s="319">
        <f t="shared" si="117"/>
        <v>0</v>
      </c>
      <c r="AH232" s="319">
        <f t="shared" si="118"/>
        <v>0</v>
      </c>
      <c r="AI232" s="319">
        <f t="shared" si="119"/>
        <v>0</v>
      </c>
      <c r="AJ232" s="319">
        <f t="shared" si="120"/>
        <v>0</v>
      </c>
      <c r="AK232" s="319">
        <f t="shared" si="121"/>
        <v>0</v>
      </c>
      <c r="AL232" s="319">
        <f t="shared" si="122"/>
        <v>0</v>
      </c>
      <c r="AM232" s="319">
        <f t="shared" si="123"/>
        <v>0</v>
      </c>
      <c r="AN232" s="319"/>
      <c r="AP232" s="266" t="s">
        <v>109</v>
      </c>
      <c r="AQ232" s="326">
        <v>0</v>
      </c>
      <c r="AR232" s="326">
        <v>0</v>
      </c>
      <c r="AS232" s="326">
        <v>0</v>
      </c>
      <c r="AT232" s="326">
        <v>0</v>
      </c>
      <c r="AU232" s="326">
        <v>0</v>
      </c>
      <c r="AV232" s="326">
        <v>0</v>
      </c>
      <c r="AW232" s="326">
        <v>0</v>
      </c>
      <c r="AX232" s="326">
        <v>0</v>
      </c>
      <c r="AY232" s="326">
        <v>0</v>
      </c>
      <c r="AZ232" s="326">
        <v>0</v>
      </c>
      <c r="BA232" s="326">
        <v>0</v>
      </c>
      <c r="BB232" s="326">
        <v>0</v>
      </c>
      <c r="BC232" s="326">
        <v>0</v>
      </c>
      <c r="BD232" s="326">
        <v>0.2</v>
      </c>
      <c r="BE232" s="326">
        <v>0.2</v>
      </c>
      <c r="BF232" s="326">
        <v>0.2</v>
      </c>
      <c r="BG232" s="326">
        <v>0.2</v>
      </c>
      <c r="BH232" s="326">
        <v>0.2</v>
      </c>
      <c r="BI232" s="326">
        <v>0</v>
      </c>
      <c r="BJ232" s="326">
        <v>0</v>
      </c>
      <c r="BK232" s="326">
        <v>0</v>
      </c>
      <c r="BL232" s="326">
        <v>0</v>
      </c>
      <c r="BM232" s="326">
        <v>0</v>
      </c>
      <c r="BN232" s="326">
        <v>0</v>
      </c>
      <c r="BO232" s="326">
        <v>0</v>
      </c>
      <c r="BP232" s="326">
        <v>0</v>
      </c>
      <c r="BQ232" s="326">
        <v>0</v>
      </c>
      <c r="BR232" s="326">
        <v>0</v>
      </c>
      <c r="BS232" s="326">
        <v>0</v>
      </c>
      <c r="BT232" s="326">
        <v>0</v>
      </c>
      <c r="BU232" s="326">
        <v>0</v>
      </c>
      <c r="BV232" s="326">
        <v>0</v>
      </c>
      <c r="BW232" s="326">
        <v>0</v>
      </c>
      <c r="BX232" s="326">
        <v>0</v>
      </c>
      <c r="BY232" s="326">
        <v>0</v>
      </c>
    </row>
    <row r="233" spans="2:86" ht="10.15" customHeight="1">
      <c r="B233" s="324" t="s">
        <v>109</v>
      </c>
      <c r="D233" s="320">
        <f t="shared" si="124"/>
        <v>0</v>
      </c>
      <c r="E233" s="319">
        <f t="shared" si="89"/>
        <v>0</v>
      </c>
      <c r="F233" s="319">
        <f t="shared" si="90"/>
        <v>0</v>
      </c>
      <c r="G233" s="319">
        <f t="shared" si="91"/>
        <v>0</v>
      </c>
      <c r="H233" s="319">
        <f t="shared" si="92"/>
        <v>0</v>
      </c>
      <c r="I233" s="319">
        <f t="shared" si="93"/>
        <v>0</v>
      </c>
      <c r="J233" s="319">
        <f t="shared" si="94"/>
        <v>0</v>
      </c>
      <c r="K233" s="319">
        <f t="shared" si="95"/>
        <v>0</v>
      </c>
      <c r="L233" s="319">
        <f t="shared" si="96"/>
        <v>0</v>
      </c>
      <c r="M233" s="319">
        <f t="shared" si="97"/>
        <v>0</v>
      </c>
      <c r="N233" s="319">
        <f t="shared" si="98"/>
        <v>0</v>
      </c>
      <c r="O233" s="319">
        <f t="shared" si="99"/>
        <v>0</v>
      </c>
      <c r="P233" s="319">
        <f t="shared" si="100"/>
        <v>0</v>
      </c>
      <c r="Q233" s="319">
        <f t="shared" si="101"/>
        <v>0</v>
      </c>
      <c r="R233" s="319">
        <f t="shared" si="102"/>
        <v>0</v>
      </c>
      <c r="S233" s="319">
        <f t="shared" si="103"/>
        <v>0</v>
      </c>
      <c r="T233" s="319">
        <f t="shared" si="104"/>
        <v>0</v>
      </c>
      <c r="U233" s="319">
        <f t="shared" si="105"/>
        <v>0</v>
      </c>
      <c r="V233" s="319">
        <f t="shared" si="106"/>
        <v>0</v>
      </c>
      <c r="W233" s="319">
        <f t="shared" si="107"/>
        <v>0</v>
      </c>
      <c r="X233" s="319">
        <f t="shared" si="108"/>
        <v>0</v>
      </c>
      <c r="Y233" s="319">
        <f t="shared" si="109"/>
        <v>0</v>
      </c>
      <c r="Z233" s="319">
        <f t="shared" si="110"/>
        <v>0</v>
      </c>
      <c r="AA233" s="319">
        <f t="shared" si="111"/>
        <v>0</v>
      </c>
      <c r="AB233" s="319">
        <f t="shared" si="112"/>
        <v>0</v>
      </c>
      <c r="AC233" s="319">
        <f t="shared" si="113"/>
        <v>0</v>
      </c>
      <c r="AD233" s="319">
        <f t="shared" si="114"/>
        <v>0</v>
      </c>
      <c r="AE233" s="319">
        <f t="shared" si="115"/>
        <v>0</v>
      </c>
      <c r="AF233" s="319">
        <f t="shared" si="116"/>
        <v>0</v>
      </c>
      <c r="AG233" s="319">
        <f t="shared" si="117"/>
        <v>0</v>
      </c>
      <c r="AH233" s="319">
        <f t="shared" si="118"/>
        <v>0</v>
      </c>
      <c r="AI233" s="319">
        <f t="shared" si="119"/>
        <v>0</v>
      </c>
      <c r="AJ233" s="319">
        <f t="shared" si="120"/>
        <v>0</v>
      </c>
      <c r="AK233" s="319">
        <f t="shared" si="121"/>
        <v>0</v>
      </c>
      <c r="AL233" s="319">
        <f t="shared" si="122"/>
        <v>0</v>
      </c>
      <c r="AM233" s="319">
        <f t="shared" si="123"/>
        <v>0</v>
      </c>
      <c r="AN233" s="319"/>
      <c r="AP233" s="266" t="s">
        <v>110</v>
      </c>
      <c r="AQ233" s="326">
        <v>0</v>
      </c>
      <c r="AR233" s="326">
        <v>0</v>
      </c>
      <c r="AS233" s="326">
        <v>0</v>
      </c>
      <c r="AT233" s="326">
        <v>0</v>
      </c>
      <c r="AU233" s="326">
        <v>0</v>
      </c>
      <c r="AV233" s="326">
        <v>0</v>
      </c>
      <c r="AW233" s="326">
        <v>0</v>
      </c>
      <c r="AX233" s="326">
        <v>0</v>
      </c>
      <c r="AY233" s="326">
        <v>0</v>
      </c>
      <c r="AZ233" s="326">
        <v>0</v>
      </c>
      <c r="BA233" s="326">
        <v>0</v>
      </c>
      <c r="BB233" s="326">
        <v>0</v>
      </c>
      <c r="BC233" s="326">
        <v>0</v>
      </c>
      <c r="BD233" s="326">
        <v>0</v>
      </c>
      <c r="BE233" s="326">
        <v>0.2</v>
      </c>
      <c r="BF233" s="326">
        <v>0.2</v>
      </c>
      <c r="BG233" s="326">
        <v>0.2</v>
      </c>
      <c r="BH233" s="326">
        <v>0.2</v>
      </c>
      <c r="BI233" s="326">
        <v>0.2</v>
      </c>
      <c r="BJ233" s="326">
        <v>0</v>
      </c>
      <c r="BK233" s="326">
        <v>0</v>
      </c>
      <c r="BL233" s="326">
        <v>0</v>
      </c>
      <c r="BM233" s="326">
        <v>0</v>
      </c>
      <c r="BN233" s="326">
        <v>0</v>
      </c>
      <c r="BO233" s="326">
        <v>0</v>
      </c>
      <c r="BP233" s="326">
        <v>0</v>
      </c>
      <c r="BQ233" s="326">
        <v>0</v>
      </c>
      <c r="BR233" s="326">
        <v>0</v>
      </c>
      <c r="BS233" s="326">
        <v>0</v>
      </c>
      <c r="BT233" s="326">
        <v>0</v>
      </c>
      <c r="BU233" s="326">
        <v>0</v>
      </c>
      <c r="BV233" s="326">
        <v>0</v>
      </c>
      <c r="BW233" s="326">
        <v>0</v>
      </c>
      <c r="BX233" s="326">
        <v>0</v>
      </c>
      <c r="BY233" s="326">
        <v>0</v>
      </c>
    </row>
    <row r="234" spans="2:86" ht="10.15" customHeight="1">
      <c r="B234" s="324" t="s">
        <v>110</v>
      </c>
      <c r="D234" s="320">
        <f t="shared" si="124"/>
        <v>0</v>
      </c>
      <c r="E234" s="319">
        <f t="shared" si="89"/>
        <v>0</v>
      </c>
      <c r="F234" s="319">
        <f t="shared" si="90"/>
        <v>0</v>
      </c>
      <c r="G234" s="319">
        <f t="shared" si="91"/>
        <v>0</v>
      </c>
      <c r="H234" s="319">
        <f t="shared" si="92"/>
        <v>0</v>
      </c>
      <c r="I234" s="319">
        <f t="shared" si="93"/>
        <v>0</v>
      </c>
      <c r="J234" s="319">
        <f t="shared" si="94"/>
        <v>0</v>
      </c>
      <c r="K234" s="319">
        <f t="shared" si="95"/>
        <v>0</v>
      </c>
      <c r="L234" s="319">
        <f t="shared" si="96"/>
        <v>0</v>
      </c>
      <c r="M234" s="319">
        <f t="shared" si="97"/>
        <v>0</v>
      </c>
      <c r="N234" s="319">
        <f t="shared" si="98"/>
        <v>0</v>
      </c>
      <c r="O234" s="319">
        <f t="shared" si="99"/>
        <v>0</v>
      </c>
      <c r="P234" s="319">
        <f t="shared" si="100"/>
        <v>0</v>
      </c>
      <c r="Q234" s="319">
        <f t="shared" si="101"/>
        <v>0</v>
      </c>
      <c r="R234" s="319">
        <f t="shared" si="102"/>
        <v>0</v>
      </c>
      <c r="S234" s="319">
        <f t="shared" si="103"/>
        <v>0</v>
      </c>
      <c r="T234" s="319">
        <f t="shared" si="104"/>
        <v>0</v>
      </c>
      <c r="U234" s="319">
        <f t="shared" si="105"/>
        <v>0</v>
      </c>
      <c r="V234" s="319">
        <f t="shared" si="106"/>
        <v>0</v>
      </c>
      <c r="W234" s="319">
        <f t="shared" si="107"/>
        <v>0</v>
      </c>
      <c r="X234" s="319">
        <f t="shared" si="108"/>
        <v>0</v>
      </c>
      <c r="Y234" s="319">
        <f t="shared" si="109"/>
        <v>0</v>
      </c>
      <c r="Z234" s="319">
        <f t="shared" si="110"/>
        <v>0</v>
      </c>
      <c r="AA234" s="319">
        <f t="shared" si="111"/>
        <v>0</v>
      </c>
      <c r="AB234" s="319">
        <f t="shared" si="112"/>
        <v>0</v>
      </c>
      <c r="AC234" s="319">
        <f t="shared" si="113"/>
        <v>0</v>
      </c>
      <c r="AD234" s="319">
        <f t="shared" si="114"/>
        <v>0</v>
      </c>
      <c r="AE234" s="319">
        <f t="shared" si="115"/>
        <v>0</v>
      </c>
      <c r="AF234" s="319">
        <f t="shared" si="116"/>
        <v>0</v>
      </c>
      <c r="AG234" s="319">
        <f t="shared" si="117"/>
        <v>0</v>
      </c>
      <c r="AH234" s="319">
        <f t="shared" si="118"/>
        <v>0</v>
      </c>
      <c r="AI234" s="319">
        <f t="shared" si="119"/>
        <v>0</v>
      </c>
      <c r="AJ234" s="319">
        <f t="shared" si="120"/>
        <v>0</v>
      </c>
      <c r="AK234" s="319">
        <f t="shared" si="121"/>
        <v>0</v>
      </c>
      <c r="AL234" s="319">
        <f t="shared" si="122"/>
        <v>0</v>
      </c>
      <c r="AM234" s="319">
        <f t="shared" si="123"/>
        <v>0</v>
      </c>
      <c r="AN234" s="319"/>
      <c r="AP234" s="266" t="s">
        <v>111</v>
      </c>
      <c r="AQ234" s="326">
        <v>0</v>
      </c>
      <c r="AR234" s="326">
        <v>0</v>
      </c>
      <c r="AS234" s="326">
        <v>0</v>
      </c>
      <c r="AT234" s="326">
        <v>0</v>
      </c>
      <c r="AU234" s="326">
        <v>0</v>
      </c>
      <c r="AV234" s="326">
        <v>0</v>
      </c>
      <c r="AW234" s="326">
        <v>0</v>
      </c>
      <c r="AX234" s="326">
        <v>0</v>
      </c>
      <c r="AY234" s="326">
        <v>0</v>
      </c>
      <c r="AZ234" s="326">
        <v>0</v>
      </c>
      <c r="BA234" s="326">
        <v>0</v>
      </c>
      <c r="BB234" s="326">
        <v>0</v>
      </c>
      <c r="BC234" s="326">
        <v>0</v>
      </c>
      <c r="BD234" s="326">
        <v>0</v>
      </c>
      <c r="BE234" s="326">
        <v>0</v>
      </c>
      <c r="BF234" s="326">
        <v>0.2</v>
      </c>
      <c r="BG234" s="326">
        <v>0.2</v>
      </c>
      <c r="BH234" s="326">
        <v>0.2</v>
      </c>
      <c r="BI234" s="326">
        <v>0.2</v>
      </c>
      <c r="BJ234" s="326">
        <v>0.2</v>
      </c>
      <c r="BK234" s="326">
        <v>0</v>
      </c>
      <c r="BL234" s="326">
        <v>0</v>
      </c>
      <c r="BM234" s="326">
        <v>0</v>
      </c>
      <c r="BN234" s="326">
        <v>0</v>
      </c>
      <c r="BO234" s="326">
        <v>0</v>
      </c>
      <c r="BP234" s="326">
        <v>0</v>
      </c>
      <c r="BQ234" s="326">
        <v>0</v>
      </c>
      <c r="BR234" s="326">
        <v>0</v>
      </c>
      <c r="BS234" s="326">
        <v>0</v>
      </c>
      <c r="BT234" s="326">
        <v>0</v>
      </c>
      <c r="BU234" s="326">
        <v>0</v>
      </c>
      <c r="BV234" s="326">
        <v>0</v>
      </c>
      <c r="BW234" s="326">
        <v>0</v>
      </c>
      <c r="BX234" s="326">
        <v>0</v>
      </c>
      <c r="BY234" s="326">
        <v>0</v>
      </c>
    </row>
    <row r="235" spans="2:86" ht="10.15" customHeight="1">
      <c r="B235" s="324" t="s">
        <v>111</v>
      </c>
      <c r="D235" s="320">
        <f t="shared" si="124"/>
        <v>0</v>
      </c>
      <c r="E235" s="319">
        <f t="shared" si="89"/>
        <v>0</v>
      </c>
      <c r="F235" s="319">
        <f t="shared" si="90"/>
        <v>0</v>
      </c>
      <c r="G235" s="319">
        <f t="shared" si="91"/>
        <v>0</v>
      </c>
      <c r="H235" s="319">
        <f t="shared" si="92"/>
        <v>0</v>
      </c>
      <c r="I235" s="319">
        <f t="shared" si="93"/>
        <v>0</v>
      </c>
      <c r="J235" s="319">
        <f t="shared" si="94"/>
        <v>0</v>
      </c>
      <c r="K235" s="319">
        <f t="shared" si="95"/>
        <v>0</v>
      </c>
      <c r="L235" s="319">
        <f t="shared" si="96"/>
        <v>0</v>
      </c>
      <c r="M235" s="319">
        <f t="shared" si="97"/>
        <v>0</v>
      </c>
      <c r="N235" s="319">
        <f t="shared" si="98"/>
        <v>0</v>
      </c>
      <c r="O235" s="319">
        <f t="shared" si="99"/>
        <v>0</v>
      </c>
      <c r="P235" s="319">
        <f t="shared" si="100"/>
        <v>0</v>
      </c>
      <c r="Q235" s="319">
        <f t="shared" si="101"/>
        <v>0</v>
      </c>
      <c r="R235" s="319">
        <f t="shared" si="102"/>
        <v>0</v>
      </c>
      <c r="S235" s="319">
        <f t="shared" si="103"/>
        <v>0</v>
      </c>
      <c r="T235" s="319">
        <f t="shared" si="104"/>
        <v>0</v>
      </c>
      <c r="U235" s="319">
        <f t="shared" si="105"/>
        <v>0</v>
      </c>
      <c r="V235" s="319">
        <f t="shared" si="106"/>
        <v>0</v>
      </c>
      <c r="W235" s="319">
        <f t="shared" si="107"/>
        <v>0</v>
      </c>
      <c r="X235" s="319">
        <f t="shared" si="108"/>
        <v>0</v>
      </c>
      <c r="Y235" s="319">
        <f t="shared" si="109"/>
        <v>0</v>
      </c>
      <c r="Z235" s="319">
        <f t="shared" si="110"/>
        <v>0</v>
      </c>
      <c r="AA235" s="319">
        <f t="shared" si="111"/>
        <v>0</v>
      </c>
      <c r="AB235" s="319">
        <f t="shared" si="112"/>
        <v>0</v>
      </c>
      <c r="AC235" s="319">
        <f t="shared" si="113"/>
        <v>0</v>
      </c>
      <c r="AD235" s="319">
        <f t="shared" si="114"/>
        <v>0</v>
      </c>
      <c r="AE235" s="319">
        <f t="shared" si="115"/>
        <v>0</v>
      </c>
      <c r="AF235" s="319">
        <f t="shared" si="116"/>
        <v>0</v>
      </c>
      <c r="AG235" s="319">
        <f t="shared" si="117"/>
        <v>0</v>
      </c>
      <c r="AH235" s="319">
        <f t="shared" si="118"/>
        <v>0</v>
      </c>
      <c r="AI235" s="319">
        <f t="shared" si="119"/>
        <v>0</v>
      </c>
      <c r="AJ235" s="319">
        <f t="shared" si="120"/>
        <v>0</v>
      </c>
      <c r="AK235" s="319">
        <f t="shared" si="121"/>
        <v>0</v>
      </c>
      <c r="AL235" s="319">
        <f t="shared" si="122"/>
        <v>0</v>
      </c>
      <c r="AM235" s="319">
        <f t="shared" si="123"/>
        <v>0</v>
      </c>
      <c r="AN235" s="319"/>
      <c r="AP235" s="266" t="s">
        <v>112</v>
      </c>
      <c r="AQ235" s="326">
        <v>0</v>
      </c>
      <c r="AR235" s="326">
        <v>0</v>
      </c>
      <c r="AS235" s="326">
        <v>0</v>
      </c>
      <c r="AT235" s="326">
        <v>0</v>
      </c>
      <c r="AU235" s="326">
        <v>0</v>
      </c>
      <c r="AV235" s="326">
        <v>0</v>
      </c>
      <c r="AW235" s="326">
        <v>0</v>
      </c>
      <c r="AX235" s="326">
        <v>0</v>
      </c>
      <c r="AY235" s="326">
        <v>0</v>
      </c>
      <c r="AZ235" s="326">
        <v>0</v>
      </c>
      <c r="BA235" s="326">
        <v>0</v>
      </c>
      <c r="BB235" s="326">
        <v>0</v>
      </c>
      <c r="BC235" s="326">
        <v>0</v>
      </c>
      <c r="BD235" s="326">
        <v>0</v>
      </c>
      <c r="BE235" s="326">
        <v>0</v>
      </c>
      <c r="BF235" s="326">
        <v>0</v>
      </c>
      <c r="BG235" s="326">
        <v>0.2</v>
      </c>
      <c r="BH235" s="326">
        <v>0.2</v>
      </c>
      <c r="BI235" s="326">
        <v>0.2</v>
      </c>
      <c r="BJ235" s="326">
        <v>0.2</v>
      </c>
      <c r="BK235" s="326">
        <v>0.2</v>
      </c>
      <c r="BL235" s="326">
        <v>0</v>
      </c>
      <c r="BM235" s="326">
        <v>0</v>
      </c>
      <c r="BN235" s="326">
        <v>0</v>
      </c>
      <c r="BO235" s="326">
        <v>0</v>
      </c>
      <c r="BP235" s="326">
        <v>0</v>
      </c>
      <c r="BQ235" s="326">
        <v>0</v>
      </c>
      <c r="BR235" s="326">
        <v>0</v>
      </c>
      <c r="BS235" s="326">
        <v>0</v>
      </c>
      <c r="BT235" s="326">
        <v>0</v>
      </c>
      <c r="BU235" s="326">
        <v>0</v>
      </c>
      <c r="BV235" s="326">
        <v>0</v>
      </c>
      <c r="BW235" s="326">
        <v>0</v>
      </c>
      <c r="BX235" s="326">
        <v>0</v>
      </c>
      <c r="BY235" s="326">
        <v>0</v>
      </c>
    </row>
    <row r="236" spans="2:86" ht="10.15" customHeight="1">
      <c r="B236" s="324" t="s">
        <v>112</v>
      </c>
      <c r="D236" s="320">
        <f t="shared" si="124"/>
        <v>0</v>
      </c>
      <c r="E236" s="319">
        <f t="shared" si="89"/>
        <v>0</v>
      </c>
      <c r="F236" s="319">
        <f t="shared" si="90"/>
        <v>0</v>
      </c>
      <c r="G236" s="319">
        <f t="shared" si="91"/>
        <v>0</v>
      </c>
      <c r="H236" s="319">
        <f t="shared" si="92"/>
        <v>0</v>
      </c>
      <c r="I236" s="319">
        <f t="shared" si="93"/>
        <v>0</v>
      </c>
      <c r="J236" s="319">
        <f t="shared" si="94"/>
        <v>0</v>
      </c>
      <c r="K236" s="319">
        <f t="shared" si="95"/>
        <v>0</v>
      </c>
      <c r="L236" s="319">
        <f t="shared" si="96"/>
        <v>0</v>
      </c>
      <c r="M236" s="319">
        <f t="shared" si="97"/>
        <v>0</v>
      </c>
      <c r="N236" s="319">
        <f t="shared" si="98"/>
        <v>0</v>
      </c>
      <c r="O236" s="319">
        <f t="shared" si="99"/>
        <v>0</v>
      </c>
      <c r="P236" s="319">
        <f t="shared" si="100"/>
        <v>0</v>
      </c>
      <c r="Q236" s="319">
        <f t="shared" si="101"/>
        <v>0</v>
      </c>
      <c r="R236" s="319">
        <f t="shared" si="102"/>
        <v>0</v>
      </c>
      <c r="S236" s="319">
        <f t="shared" si="103"/>
        <v>0</v>
      </c>
      <c r="T236" s="319">
        <f t="shared" si="104"/>
        <v>0</v>
      </c>
      <c r="U236" s="319">
        <f t="shared" si="105"/>
        <v>0</v>
      </c>
      <c r="V236" s="319">
        <f t="shared" si="106"/>
        <v>0</v>
      </c>
      <c r="W236" s="319">
        <f t="shared" si="107"/>
        <v>0</v>
      </c>
      <c r="X236" s="319">
        <f t="shared" si="108"/>
        <v>0</v>
      </c>
      <c r="Y236" s="319">
        <f t="shared" si="109"/>
        <v>0</v>
      </c>
      <c r="Z236" s="319">
        <f t="shared" si="110"/>
        <v>0</v>
      </c>
      <c r="AA236" s="319">
        <f t="shared" si="111"/>
        <v>0</v>
      </c>
      <c r="AB236" s="319">
        <f t="shared" si="112"/>
        <v>0</v>
      </c>
      <c r="AC236" s="319">
        <f t="shared" si="113"/>
        <v>0</v>
      </c>
      <c r="AD236" s="319">
        <f t="shared" si="114"/>
        <v>0</v>
      </c>
      <c r="AE236" s="319">
        <f t="shared" si="115"/>
        <v>0</v>
      </c>
      <c r="AF236" s="319">
        <f t="shared" si="116"/>
        <v>0</v>
      </c>
      <c r="AG236" s="319">
        <f t="shared" si="117"/>
        <v>0</v>
      </c>
      <c r="AH236" s="319">
        <f t="shared" si="118"/>
        <v>0</v>
      </c>
      <c r="AI236" s="319">
        <f t="shared" si="119"/>
        <v>0</v>
      </c>
      <c r="AJ236" s="319">
        <f t="shared" si="120"/>
        <v>0</v>
      </c>
      <c r="AK236" s="319">
        <f t="shared" si="121"/>
        <v>0</v>
      </c>
      <c r="AL236" s="319">
        <f t="shared" si="122"/>
        <v>0</v>
      </c>
      <c r="AM236" s="319">
        <f t="shared" si="123"/>
        <v>0</v>
      </c>
      <c r="AN236" s="319"/>
      <c r="AP236" s="266" t="s">
        <v>113</v>
      </c>
      <c r="AQ236" s="326">
        <v>0</v>
      </c>
      <c r="AR236" s="326">
        <v>0</v>
      </c>
      <c r="AS236" s="326">
        <v>0</v>
      </c>
      <c r="AT236" s="326">
        <v>0</v>
      </c>
      <c r="AU236" s="326">
        <v>0</v>
      </c>
      <c r="AV236" s="326">
        <v>0</v>
      </c>
      <c r="AW236" s="326">
        <v>0</v>
      </c>
      <c r="AX236" s="326">
        <v>0</v>
      </c>
      <c r="AY236" s="326">
        <v>0</v>
      </c>
      <c r="AZ236" s="326">
        <v>0</v>
      </c>
      <c r="BA236" s="326">
        <v>0</v>
      </c>
      <c r="BB236" s="326">
        <v>0</v>
      </c>
      <c r="BC236" s="326">
        <v>0</v>
      </c>
      <c r="BD236" s="326">
        <v>0</v>
      </c>
      <c r="BE236" s="326">
        <v>0</v>
      </c>
      <c r="BF236" s="326">
        <v>0</v>
      </c>
      <c r="BG236" s="326">
        <v>0</v>
      </c>
      <c r="BH236" s="326">
        <v>0.2</v>
      </c>
      <c r="BI236" s="326">
        <v>0.2</v>
      </c>
      <c r="BJ236" s="326">
        <v>0.2</v>
      </c>
      <c r="BK236" s="326">
        <v>0.2</v>
      </c>
      <c r="BL236" s="326">
        <v>0.2</v>
      </c>
      <c r="BM236" s="326">
        <v>0</v>
      </c>
      <c r="BN236" s="326">
        <v>0</v>
      </c>
      <c r="BO236" s="326">
        <v>0</v>
      </c>
      <c r="BP236" s="326">
        <v>0</v>
      </c>
      <c r="BQ236" s="326">
        <v>0</v>
      </c>
      <c r="BR236" s="326">
        <v>0</v>
      </c>
      <c r="BS236" s="326">
        <v>0</v>
      </c>
      <c r="BT236" s="326">
        <v>0</v>
      </c>
      <c r="BU236" s="326">
        <v>0</v>
      </c>
      <c r="BV236" s="326">
        <v>0</v>
      </c>
      <c r="BW236" s="326">
        <v>0</v>
      </c>
      <c r="BX236" s="326">
        <v>0</v>
      </c>
      <c r="BY236" s="326">
        <v>0</v>
      </c>
    </row>
    <row r="237" spans="2:86" ht="10.15" customHeight="1">
      <c r="B237" s="324" t="s">
        <v>113</v>
      </c>
      <c r="D237" s="320">
        <f t="shared" si="124"/>
        <v>0</v>
      </c>
      <c r="E237" s="319">
        <f t="shared" si="89"/>
        <v>0</v>
      </c>
      <c r="F237" s="319">
        <f t="shared" si="90"/>
        <v>0</v>
      </c>
      <c r="G237" s="319">
        <f t="shared" si="91"/>
        <v>0</v>
      </c>
      <c r="H237" s="319">
        <f t="shared" si="92"/>
        <v>0</v>
      </c>
      <c r="I237" s="319">
        <f t="shared" si="93"/>
        <v>0</v>
      </c>
      <c r="J237" s="319">
        <f t="shared" si="94"/>
        <v>0</v>
      </c>
      <c r="K237" s="319">
        <f t="shared" si="95"/>
        <v>0</v>
      </c>
      <c r="L237" s="319">
        <f t="shared" si="96"/>
        <v>0</v>
      </c>
      <c r="M237" s="319">
        <f t="shared" si="97"/>
        <v>0</v>
      </c>
      <c r="N237" s="319">
        <f t="shared" si="98"/>
        <v>0</v>
      </c>
      <c r="O237" s="319">
        <f t="shared" si="99"/>
        <v>0</v>
      </c>
      <c r="P237" s="319">
        <f t="shared" si="100"/>
        <v>0</v>
      </c>
      <c r="Q237" s="319">
        <f t="shared" si="101"/>
        <v>0</v>
      </c>
      <c r="R237" s="319">
        <f t="shared" si="102"/>
        <v>0</v>
      </c>
      <c r="S237" s="319">
        <f t="shared" si="103"/>
        <v>0</v>
      </c>
      <c r="T237" s="319">
        <f t="shared" si="104"/>
        <v>0</v>
      </c>
      <c r="U237" s="319">
        <f t="shared" si="105"/>
        <v>0</v>
      </c>
      <c r="V237" s="319">
        <f t="shared" si="106"/>
        <v>0</v>
      </c>
      <c r="W237" s="319">
        <f t="shared" si="107"/>
        <v>0</v>
      </c>
      <c r="X237" s="319">
        <f t="shared" si="108"/>
        <v>0</v>
      </c>
      <c r="Y237" s="319">
        <f t="shared" si="109"/>
        <v>0</v>
      </c>
      <c r="Z237" s="319">
        <f t="shared" si="110"/>
        <v>0</v>
      </c>
      <c r="AA237" s="319">
        <f t="shared" si="111"/>
        <v>0</v>
      </c>
      <c r="AB237" s="319">
        <f t="shared" si="112"/>
        <v>0</v>
      </c>
      <c r="AC237" s="319">
        <f t="shared" si="113"/>
        <v>0</v>
      </c>
      <c r="AD237" s="319">
        <f t="shared" si="114"/>
        <v>0</v>
      </c>
      <c r="AE237" s="319">
        <f t="shared" si="115"/>
        <v>0</v>
      </c>
      <c r="AF237" s="319">
        <f t="shared" si="116"/>
        <v>0</v>
      </c>
      <c r="AG237" s="319">
        <f t="shared" si="117"/>
        <v>0</v>
      </c>
      <c r="AH237" s="319">
        <f t="shared" si="118"/>
        <v>0</v>
      </c>
      <c r="AI237" s="319">
        <f t="shared" si="119"/>
        <v>0</v>
      </c>
      <c r="AJ237" s="319">
        <f t="shared" si="120"/>
        <v>0</v>
      </c>
      <c r="AK237" s="319">
        <f t="shared" si="121"/>
        <v>0</v>
      </c>
      <c r="AL237" s="319">
        <f t="shared" si="122"/>
        <v>0</v>
      </c>
      <c r="AM237" s="319">
        <f t="shared" si="123"/>
        <v>0</v>
      </c>
      <c r="AN237" s="319"/>
      <c r="AP237" s="266" t="s">
        <v>114</v>
      </c>
      <c r="AQ237" s="326">
        <v>0</v>
      </c>
      <c r="AR237" s="326">
        <v>0</v>
      </c>
      <c r="AS237" s="326">
        <v>0</v>
      </c>
      <c r="AT237" s="326">
        <v>0</v>
      </c>
      <c r="AU237" s="326">
        <v>0</v>
      </c>
      <c r="AV237" s="326">
        <v>0</v>
      </c>
      <c r="AW237" s="326">
        <v>0</v>
      </c>
      <c r="AX237" s="326">
        <v>0</v>
      </c>
      <c r="AY237" s="326">
        <v>0</v>
      </c>
      <c r="AZ237" s="326">
        <v>0</v>
      </c>
      <c r="BA237" s="326">
        <v>0</v>
      </c>
      <c r="BB237" s="326">
        <v>0</v>
      </c>
      <c r="BC237" s="326">
        <v>0</v>
      </c>
      <c r="BD237" s="326">
        <v>0</v>
      </c>
      <c r="BE237" s="326">
        <v>0</v>
      </c>
      <c r="BF237" s="326">
        <v>0</v>
      </c>
      <c r="BG237" s="326">
        <v>0</v>
      </c>
      <c r="BH237" s="326">
        <v>0</v>
      </c>
      <c r="BI237" s="326">
        <v>0.2</v>
      </c>
      <c r="BJ237" s="326">
        <v>0.2</v>
      </c>
      <c r="BK237" s="326">
        <v>0.2</v>
      </c>
      <c r="BL237" s="326">
        <v>0.2</v>
      </c>
      <c r="BM237" s="326">
        <v>0.2</v>
      </c>
      <c r="BN237" s="326">
        <v>0</v>
      </c>
      <c r="BO237" s="326">
        <v>0</v>
      </c>
      <c r="BP237" s="326">
        <v>0</v>
      </c>
      <c r="BQ237" s="326">
        <v>0</v>
      </c>
      <c r="BR237" s="326">
        <v>0</v>
      </c>
      <c r="BS237" s="326">
        <v>0</v>
      </c>
      <c r="BT237" s="326">
        <v>0</v>
      </c>
      <c r="BU237" s="326">
        <v>0</v>
      </c>
      <c r="BV237" s="326">
        <v>0</v>
      </c>
      <c r="BW237" s="326">
        <v>0</v>
      </c>
      <c r="BX237" s="326">
        <v>0</v>
      </c>
      <c r="BY237" s="326">
        <v>0</v>
      </c>
    </row>
    <row r="238" spans="2:86" ht="10.15" customHeight="1">
      <c r="B238" s="324" t="s">
        <v>114</v>
      </c>
      <c r="D238" s="320">
        <f t="shared" si="124"/>
        <v>0</v>
      </c>
      <c r="E238" s="319">
        <f t="shared" si="89"/>
        <v>0</v>
      </c>
      <c r="F238" s="319">
        <f t="shared" si="90"/>
        <v>0</v>
      </c>
      <c r="G238" s="319">
        <f t="shared" si="91"/>
        <v>0</v>
      </c>
      <c r="H238" s="319">
        <f t="shared" si="92"/>
        <v>0</v>
      </c>
      <c r="I238" s="319">
        <f t="shared" si="93"/>
        <v>0</v>
      </c>
      <c r="J238" s="319">
        <f t="shared" si="94"/>
        <v>0</v>
      </c>
      <c r="K238" s="319">
        <f t="shared" si="95"/>
        <v>0</v>
      </c>
      <c r="L238" s="319">
        <f t="shared" si="96"/>
        <v>0</v>
      </c>
      <c r="M238" s="319">
        <f t="shared" si="97"/>
        <v>0</v>
      </c>
      <c r="N238" s="319">
        <f t="shared" si="98"/>
        <v>0</v>
      </c>
      <c r="O238" s="319">
        <f t="shared" si="99"/>
        <v>0</v>
      </c>
      <c r="P238" s="319">
        <f t="shared" si="100"/>
        <v>0</v>
      </c>
      <c r="Q238" s="319">
        <f t="shared" si="101"/>
        <v>0</v>
      </c>
      <c r="R238" s="319">
        <f t="shared" si="102"/>
        <v>0</v>
      </c>
      <c r="S238" s="319">
        <f t="shared" si="103"/>
        <v>0</v>
      </c>
      <c r="T238" s="319">
        <f t="shared" si="104"/>
        <v>0</v>
      </c>
      <c r="U238" s="319">
        <f t="shared" si="105"/>
        <v>0</v>
      </c>
      <c r="V238" s="319">
        <f t="shared" si="106"/>
        <v>0</v>
      </c>
      <c r="W238" s="319">
        <f t="shared" si="107"/>
        <v>0</v>
      </c>
      <c r="X238" s="319">
        <f t="shared" si="108"/>
        <v>0</v>
      </c>
      <c r="Y238" s="319">
        <f t="shared" si="109"/>
        <v>0</v>
      </c>
      <c r="Z238" s="319">
        <f t="shared" si="110"/>
        <v>0</v>
      </c>
      <c r="AA238" s="319">
        <f t="shared" si="111"/>
        <v>0</v>
      </c>
      <c r="AB238" s="319">
        <f t="shared" si="112"/>
        <v>0</v>
      </c>
      <c r="AC238" s="319">
        <f t="shared" si="113"/>
        <v>0</v>
      </c>
      <c r="AD238" s="319">
        <f t="shared" si="114"/>
        <v>0</v>
      </c>
      <c r="AE238" s="319">
        <f t="shared" si="115"/>
        <v>0</v>
      </c>
      <c r="AF238" s="319">
        <f t="shared" si="116"/>
        <v>0</v>
      </c>
      <c r="AG238" s="319">
        <f t="shared" si="117"/>
        <v>0</v>
      </c>
      <c r="AH238" s="319">
        <f t="shared" si="118"/>
        <v>0</v>
      </c>
      <c r="AI238" s="319">
        <f t="shared" si="119"/>
        <v>0</v>
      </c>
      <c r="AJ238" s="319">
        <f t="shared" si="120"/>
        <v>0</v>
      </c>
      <c r="AK238" s="319">
        <f t="shared" si="121"/>
        <v>0</v>
      </c>
      <c r="AL238" s="319">
        <f t="shared" si="122"/>
        <v>0</v>
      </c>
      <c r="AM238" s="319">
        <f t="shared" si="123"/>
        <v>0</v>
      </c>
      <c r="AN238" s="319"/>
      <c r="AP238" s="266" t="s">
        <v>115</v>
      </c>
      <c r="AQ238" s="326">
        <v>0</v>
      </c>
      <c r="AR238" s="326">
        <v>0</v>
      </c>
      <c r="AS238" s="326">
        <v>0</v>
      </c>
      <c r="AT238" s="326">
        <v>0</v>
      </c>
      <c r="AU238" s="326">
        <v>0</v>
      </c>
      <c r="AV238" s="326">
        <v>0</v>
      </c>
      <c r="AW238" s="326">
        <v>0</v>
      </c>
      <c r="AX238" s="326">
        <v>0</v>
      </c>
      <c r="AY238" s="326">
        <v>0</v>
      </c>
      <c r="AZ238" s="326">
        <v>0</v>
      </c>
      <c r="BA238" s="326">
        <v>0</v>
      </c>
      <c r="BB238" s="326">
        <v>0</v>
      </c>
      <c r="BC238" s="326">
        <v>0</v>
      </c>
      <c r="BD238" s="326">
        <v>0</v>
      </c>
      <c r="BE238" s="326">
        <v>0</v>
      </c>
      <c r="BF238" s="326">
        <v>0</v>
      </c>
      <c r="BG238" s="326">
        <v>0</v>
      </c>
      <c r="BH238" s="326">
        <v>0</v>
      </c>
      <c r="BI238" s="326">
        <v>0</v>
      </c>
      <c r="BJ238" s="326">
        <v>0.2</v>
      </c>
      <c r="BK238" s="326">
        <v>0.2</v>
      </c>
      <c r="BL238" s="326">
        <v>0.2</v>
      </c>
      <c r="BM238" s="326">
        <v>0.2</v>
      </c>
      <c r="BN238" s="326">
        <v>0.2</v>
      </c>
      <c r="BO238" s="326">
        <v>0</v>
      </c>
      <c r="BP238" s="326">
        <v>0</v>
      </c>
      <c r="BQ238" s="326">
        <v>0</v>
      </c>
      <c r="BR238" s="326">
        <v>0</v>
      </c>
      <c r="BS238" s="326">
        <v>0</v>
      </c>
      <c r="BT238" s="326">
        <v>0</v>
      </c>
      <c r="BU238" s="326">
        <v>0</v>
      </c>
      <c r="BV238" s="326">
        <v>0</v>
      </c>
      <c r="BW238" s="326">
        <v>0</v>
      </c>
      <c r="BX238" s="326">
        <v>0</v>
      </c>
      <c r="BY238" s="326">
        <v>0</v>
      </c>
    </row>
    <row r="239" spans="2:86" ht="10.15" customHeight="1">
      <c r="B239" s="324" t="s">
        <v>115</v>
      </c>
      <c r="D239" s="320">
        <f t="shared" si="124"/>
        <v>0</v>
      </c>
      <c r="E239" s="319">
        <f t="shared" si="89"/>
        <v>0</v>
      </c>
      <c r="F239" s="319">
        <f t="shared" si="90"/>
        <v>0</v>
      </c>
      <c r="G239" s="319">
        <f t="shared" si="91"/>
        <v>0</v>
      </c>
      <c r="H239" s="319">
        <f t="shared" si="92"/>
        <v>0</v>
      </c>
      <c r="I239" s="319">
        <f t="shared" si="93"/>
        <v>0</v>
      </c>
      <c r="J239" s="319">
        <f t="shared" si="94"/>
        <v>0</v>
      </c>
      <c r="K239" s="319">
        <f t="shared" si="95"/>
        <v>0</v>
      </c>
      <c r="L239" s="319">
        <f t="shared" si="96"/>
        <v>0</v>
      </c>
      <c r="M239" s="319">
        <f t="shared" si="97"/>
        <v>0</v>
      </c>
      <c r="N239" s="319">
        <f t="shared" si="98"/>
        <v>0</v>
      </c>
      <c r="O239" s="319">
        <f t="shared" si="99"/>
        <v>0</v>
      </c>
      <c r="P239" s="319">
        <f t="shared" si="100"/>
        <v>0</v>
      </c>
      <c r="Q239" s="319">
        <f t="shared" si="101"/>
        <v>0</v>
      </c>
      <c r="R239" s="319">
        <f t="shared" si="102"/>
        <v>0</v>
      </c>
      <c r="S239" s="319">
        <f t="shared" si="103"/>
        <v>0</v>
      </c>
      <c r="T239" s="319">
        <f t="shared" si="104"/>
        <v>0</v>
      </c>
      <c r="U239" s="319">
        <f t="shared" si="105"/>
        <v>0</v>
      </c>
      <c r="V239" s="319">
        <f t="shared" si="106"/>
        <v>0</v>
      </c>
      <c r="W239" s="319">
        <f t="shared" si="107"/>
        <v>0</v>
      </c>
      <c r="X239" s="319">
        <f t="shared" si="108"/>
        <v>0</v>
      </c>
      <c r="Y239" s="319">
        <f t="shared" si="109"/>
        <v>0</v>
      </c>
      <c r="Z239" s="319">
        <f t="shared" si="110"/>
        <v>0</v>
      </c>
      <c r="AA239" s="319">
        <f t="shared" si="111"/>
        <v>0</v>
      </c>
      <c r="AB239" s="319">
        <f t="shared" si="112"/>
        <v>0</v>
      </c>
      <c r="AC239" s="319">
        <f t="shared" si="113"/>
        <v>0</v>
      </c>
      <c r="AD239" s="319">
        <f t="shared" si="114"/>
        <v>0</v>
      </c>
      <c r="AE239" s="319">
        <f t="shared" si="115"/>
        <v>0</v>
      </c>
      <c r="AF239" s="319">
        <f t="shared" si="116"/>
        <v>0</v>
      </c>
      <c r="AG239" s="319">
        <f t="shared" si="117"/>
        <v>0</v>
      </c>
      <c r="AH239" s="319">
        <f t="shared" si="118"/>
        <v>0</v>
      </c>
      <c r="AI239" s="319">
        <f t="shared" si="119"/>
        <v>0</v>
      </c>
      <c r="AJ239" s="319">
        <f t="shared" si="120"/>
        <v>0</v>
      </c>
      <c r="AK239" s="319">
        <f t="shared" si="121"/>
        <v>0</v>
      </c>
      <c r="AL239" s="319">
        <f t="shared" si="122"/>
        <v>0</v>
      </c>
      <c r="AM239" s="319">
        <f t="shared" si="123"/>
        <v>0</v>
      </c>
      <c r="AN239" s="319"/>
      <c r="AP239" s="266" t="s">
        <v>116</v>
      </c>
      <c r="AQ239" s="326">
        <v>0</v>
      </c>
      <c r="AR239" s="326">
        <v>0</v>
      </c>
      <c r="AS239" s="326">
        <v>0</v>
      </c>
      <c r="AT239" s="326">
        <v>0</v>
      </c>
      <c r="AU239" s="326">
        <v>0</v>
      </c>
      <c r="AV239" s="326">
        <v>0</v>
      </c>
      <c r="AW239" s="326">
        <v>0</v>
      </c>
      <c r="AX239" s="326">
        <v>0</v>
      </c>
      <c r="AY239" s="326">
        <v>0</v>
      </c>
      <c r="AZ239" s="326">
        <v>0</v>
      </c>
      <c r="BA239" s="326">
        <v>0</v>
      </c>
      <c r="BB239" s="326">
        <v>0</v>
      </c>
      <c r="BC239" s="326">
        <v>0</v>
      </c>
      <c r="BD239" s="326">
        <v>0</v>
      </c>
      <c r="BE239" s="326">
        <v>0</v>
      </c>
      <c r="BF239" s="326">
        <v>0</v>
      </c>
      <c r="BG239" s="326">
        <v>0</v>
      </c>
      <c r="BH239" s="326">
        <v>0</v>
      </c>
      <c r="BI239" s="326">
        <v>0</v>
      </c>
      <c r="BJ239" s="326">
        <v>0</v>
      </c>
      <c r="BK239" s="326">
        <v>0.2</v>
      </c>
      <c r="BL239" s="326">
        <v>0.2</v>
      </c>
      <c r="BM239" s="326">
        <v>0.2</v>
      </c>
      <c r="BN239" s="326">
        <v>0.2</v>
      </c>
      <c r="BO239" s="326">
        <v>0.2</v>
      </c>
      <c r="BP239" s="326">
        <v>0</v>
      </c>
      <c r="BQ239" s="326">
        <v>0</v>
      </c>
      <c r="BR239" s="326">
        <v>0</v>
      </c>
      <c r="BS239" s="326">
        <v>0</v>
      </c>
      <c r="BT239" s="326">
        <v>0</v>
      </c>
      <c r="BU239" s="326">
        <v>0</v>
      </c>
      <c r="BV239" s="326">
        <v>0</v>
      </c>
      <c r="BW239" s="326">
        <v>0</v>
      </c>
      <c r="BX239" s="326">
        <v>0</v>
      </c>
      <c r="BY239" s="326">
        <v>0</v>
      </c>
    </row>
    <row r="240" spans="2:86" ht="10.15" customHeight="1">
      <c r="B240" s="324" t="s">
        <v>116</v>
      </c>
      <c r="D240" s="320">
        <f t="shared" si="124"/>
        <v>0</v>
      </c>
      <c r="E240" s="319">
        <f t="shared" si="89"/>
        <v>0</v>
      </c>
      <c r="F240" s="319">
        <f t="shared" si="90"/>
        <v>0</v>
      </c>
      <c r="G240" s="319">
        <f t="shared" si="91"/>
        <v>0</v>
      </c>
      <c r="H240" s="319">
        <f t="shared" si="92"/>
        <v>0</v>
      </c>
      <c r="I240" s="319">
        <f t="shared" si="93"/>
        <v>0</v>
      </c>
      <c r="J240" s="319">
        <f t="shared" si="94"/>
        <v>0</v>
      </c>
      <c r="K240" s="319">
        <f t="shared" si="95"/>
        <v>0</v>
      </c>
      <c r="L240" s="319">
        <f t="shared" si="96"/>
        <v>0</v>
      </c>
      <c r="M240" s="319">
        <f t="shared" si="97"/>
        <v>0</v>
      </c>
      <c r="N240" s="319">
        <f t="shared" si="98"/>
        <v>0</v>
      </c>
      <c r="O240" s="319">
        <f t="shared" si="99"/>
        <v>0</v>
      </c>
      <c r="P240" s="319">
        <f t="shared" si="100"/>
        <v>0</v>
      </c>
      <c r="Q240" s="319">
        <f t="shared" si="101"/>
        <v>0</v>
      </c>
      <c r="R240" s="319">
        <f t="shared" si="102"/>
        <v>0</v>
      </c>
      <c r="S240" s="319">
        <f t="shared" si="103"/>
        <v>0</v>
      </c>
      <c r="T240" s="319">
        <f t="shared" si="104"/>
        <v>0</v>
      </c>
      <c r="U240" s="319">
        <f t="shared" si="105"/>
        <v>0</v>
      </c>
      <c r="V240" s="319">
        <f t="shared" si="106"/>
        <v>0</v>
      </c>
      <c r="W240" s="319">
        <f t="shared" si="107"/>
        <v>0</v>
      </c>
      <c r="X240" s="319">
        <f t="shared" si="108"/>
        <v>0</v>
      </c>
      <c r="Y240" s="319">
        <f t="shared" si="109"/>
        <v>0</v>
      </c>
      <c r="Z240" s="319">
        <f t="shared" si="110"/>
        <v>0</v>
      </c>
      <c r="AA240" s="319">
        <f t="shared" si="111"/>
        <v>0</v>
      </c>
      <c r="AB240" s="319">
        <f t="shared" si="112"/>
        <v>0</v>
      </c>
      <c r="AC240" s="319">
        <f t="shared" si="113"/>
        <v>0</v>
      </c>
      <c r="AD240" s="319">
        <f t="shared" si="114"/>
        <v>0</v>
      </c>
      <c r="AE240" s="319">
        <f t="shared" si="115"/>
        <v>0</v>
      </c>
      <c r="AF240" s="319">
        <f t="shared" si="116"/>
        <v>0</v>
      </c>
      <c r="AG240" s="319">
        <f t="shared" si="117"/>
        <v>0</v>
      </c>
      <c r="AH240" s="319">
        <f t="shared" si="118"/>
        <v>0</v>
      </c>
      <c r="AI240" s="319">
        <f t="shared" si="119"/>
        <v>0</v>
      </c>
      <c r="AJ240" s="319">
        <f t="shared" si="120"/>
        <v>0</v>
      </c>
      <c r="AK240" s="319">
        <f t="shared" si="121"/>
        <v>0</v>
      </c>
      <c r="AL240" s="319">
        <f t="shared" si="122"/>
        <v>0</v>
      </c>
      <c r="AM240" s="319">
        <f t="shared" si="123"/>
        <v>0</v>
      </c>
      <c r="AN240" s="319"/>
      <c r="AP240" s="266" t="s">
        <v>117</v>
      </c>
      <c r="AQ240" s="326">
        <v>0</v>
      </c>
      <c r="AR240" s="326">
        <v>0</v>
      </c>
      <c r="AS240" s="326">
        <v>0</v>
      </c>
      <c r="AT240" s="326">
        <v>0</v>
      </c>
      <c r="AU240" s="326">
        <v>0</v>
      </c>
      <c r="AV240" s="326">
        <v>0</v>
      </c>
      <c r="AW240" s="326">
        <v>0</v>
      </c>
      <c r="AX240" s="326">
        <v>0</v>
      </c>
      <c r="AY240" s="326">
        <v>0</v>
      </c>
      <c r="AZ240" s="326">
        <v>0</v>
      </c>
      <c r="BA240" s="326">
        <v>0</v>
      </c>
      <c r="BB240" s="326">
        <v>0</v>
      </c>
      <c r="BC240" s="326">
        <v>0</v>
      </c>
      <c r="BD240" s="326">
        <v>0</v>
      </c>
      <c r="BE240" s="326">
        <v>0</v>
      </c>
      <c r="BF240" s="326">
        <v>0</v>
      </c>
      <c r="BG240" s="326">
        <v>0</v>
      </c>
      <c r="BH240" s="326">
        <v>0</v>
      </c>
      <c r="BI240" s="326">
        <v>0</v>
      </c>
      <c r="BJ240" s="326">
        <v>0</v>
      </c>
      <c r="BK240" s="326">
        <v>0</v>
      </c>
      <c r="BL240" s="326">
        <v>0.2</v>
      </c>
      <c r="BM240" s="326">
        <v>0.2</v>
      </c>
      <c r="BN240" s="326">
        <v>0.2</v>
      </c>
      <c r="BO240" s="326">
        <v>0.2</v>
      </c>
      <c r="BP240" s="326">
        <v>0.2</v>
      </c>
      <c r="BQ240" s="326">
        <v>0</v>
      </c>
      <c r="BR240" s="326">
        <v>0</v>
      </c>
      <c r="BS240" s="326">
        <v>0</v>
      </c>
      <c r="BT240" s="326">
        <v>0</v>
      </c>
      <c r="BU240" s="326">
        <v>0</v>
      </c>
      <c r="BV240" s="326">
        <v>0</v>
      </c>
      <c r="BW240" s="326">
        <v>0</v>
      </c>
      <c r="BX240" s="326">
        <v>0</v>
      </c>
      <c r="BY240" s="326">
        <v>0</v>
      </c>
    </row>
    <row r="241" spans="2:77" ht="10.15" customHeight="1">
      <c r="B241" s="324" t="s">
        <v>117</v>
      </c>
      <c r="D241" s="320">
        <f t="shared" si="124"/>
        <v>0</v>
      </c>
      <c r="E241" s="319">
        <f t="shared" si="89"/>
        <v>0</v>
      </c>
      <c r="F241" s="319">
        <f t="shared" si="90"/>
        <v>0</v>
      </c>
      <c r="G241" s="319">
        <f t="shared" si="91"/>
        <v>0</v>
      </c>
      <c r="H241" s="319">
        <f t="shared" si="92"/>
        <v>0</v>
      </c>
      <c r="I241" s="319">
        <f t="shared" si="93"/>
        <v>0</v>
      </c>
      <c r="J241" s="319">
        <f t="shared" si="94"/>
        <v>0</v>
      </c>
      <c r="K241" s="319">
        <f t="shared" si="95"/>
        <v>0</v>
      </c>
      <c r="L241" s="319">
        <f t="shared" si="96"/>
        <v>0</v>
      </c>
      <c r="M241" s="319">
        <f t="shared" si="97"/>
        <v>0</v>
      </c>
      <c r="N241" s="319">
        <f t="shared" si="98"/>
        <v>0</v>
      </c>
      <c r="O241" s="319">
        <f t="shared" si="99"/>
        <v>0</v>
      </c>
      <c r="P241" s="319">
        <f t="shared" si="100"/>
        <v>0</v>
      </c>
      <c r="Q241" s="319">
        <f t="shared" si="101"/>
        <v>0</v>
      </c>
      <c r="R241" s="319">
        <f t="shared" si="102"/>
        <v>0</v>
      </c>
      <c r="S241" s="319">
        <f t="shared" si="103"/>
        <v>0</v>
      </c>
      <c r="T241" s="319">
        <f t="shared" si="104"/>
        <v>0</v>
      </c>
      <c r="U241" s="319">
        <f t="shared" si="105"/>
        <v>0</v>
      </c>
      <c r="V241" s="319">
        <f t="shared" si="106"/>
        <v>0</v>
      </c>
      <c r="W241" s="319">
        <f t="shared" si="107"/>
        <v>0</v>
      </c>
      <c r="X241" s="319">
        <f t="shared" si="108"/>
        <v>0</v>
      </c>
      <c r="Y241" s="319">
        <f t="shared" si="109"/>
        <v>0</v>
      </c>
      <c r="Z241" s="319">
        <f t="shared" si="110"/>
        <v>0</v>
      </c>
      <c r="AA241" s="319">
        <f t="shared" si="111"/>
        <v>0</v>
      </c>
      <c r="AB241" s="319">
        <f t="shared" si="112"/>
        <v>0</v>
      </c>
      <c r="AC241" s="319">
        <f t="shared" si="113"/>
        <v>0</v>
      </c>
      <c r="AD241" s="319">
        <f t="shared" si="114"/>
        <v>0</v>
      </c>
      <c r="AE241" s="319">
        <f t="shared" si="115"/>
        <v>0</v>
      </c>
      <c r="AF241" s="319">
        <f t="shared" si="116"/>
        <v>0</v>
      </c>
      <c r="AG241" s="319">
        <f t="shared" si="117"/>
        <v>0</v>
      </c>
      <c r="AH241" s="319">
        <f t="shared" si="118"/>
        <v>0</v>
      </c>
      <c r="AI241" s="319">
        <f t="shared" si="119"/>
        <v>0</v>
      </c>
      <c r="AJ241" s="319">
        <f t="shared" si="120"/>
        <v>0</v>
      </c>
      <c r="AK241" s="319">
        <f t="shared" si="121"/>
        <v>0</v>
      </c>
      <c r="AL241" s="319">
        <f t="shared" si="122"/>
        <v>0</v>
      </c>
      <c r="AM241" s="319">
        <f t="shared" si="123"/>
        <v>0</v>
      </c>
      <c r="AN241" s="319"/>
      <c r="AP241" s="266" t="s">
        <v>118</v>
      </c>
      <c r="AQ241" s="326">
        <v>0</v>
      </c>
      <c r="AR241" s="326">
        <v>0</v>
      </c>
      <c r="AS241" s="326">
        <v>0</v>
      </c>
      <c r="AT241" s="326">
        <v>0</v>
      </c>
      <c r="AU241" s="326">
        <v>0</v>
      </c>
      <c r="AV241" s="326">
        <v>0</v>
      </c>
      <c r="AW241" s="326">
        <v>0</v>
      </c>
      <c r="AX241" s="326">
        <v>0</v>
      </c>
      <c r="AY241" s="326">
        <v>0</v>
      </c>
      <c r="AZ241" s="326">
        <v>0</v>
      </c>
      <c r="BA241" s="326">
        <v>0</v>
      </c>
      <c r="BB241" s="326">
        <v>0</v>
      </c>
      <c r="BC241" s="326">
        <v>0</v>
      </c>
      <c r="BD241" s="326">
        <v>0</v>
      </c>
      <c r="BE241" s="326">
        <v>0</v>
      </c>
      <c r="BF241" s="326">
        <v>0</v>
      </c>
      <c r="BG241" s="326">
        <v>0</v>
      </c>
      <c r="BH241" s="326">
        <v>0</v>
      </c>
      <c r="BI241" s="326">
        <v>0</v>
      </c>
      <c r="BJ241" s="326">
        <v>0</v>
      </c>
      <c r="BK241" s="326">
        <v>0</v>
      </c>
      <c r="BL241" s="326">
        <v>0</v>
      </c>
      <c r="BM241" s="326">
        <v>0.2</v>
      </c>
      <c r="BN241" s="326">
        <v>0.2</v>
      </c>
      <c r="BO241" s="326">
        <v>0.2</v>
      </c>
      <c r="BP241" s="326">
        <v>0.2</v>
      </c>
      <c r="BQ241" s="326">
        <v>0.2</v>
      </c>
      <c r="BR241" s="326">
        <v>0</v>
      </c>
      <c r="BS241" s="326">
        <v>0</v>
      </c>
      <c r="BT241" s="326">
        <v>0</v>
      </c>
      <c r="BU241" s="326">
        <v>0</v>
      </c>
      <c r="BV241" s="326">
        <v>0</v>
      </c>
      <c r="BW241" s="326">
        <v>0</v>
      </c>
      <c r="BX241" s="326">
        <v>0</v>
      </c>
      <c r="BY241" s="326">
        <v>0</v>
      </c>
    </row>
    <row r="242" spans="2:77" ht="10.15" customHeight="1">
      <c r="B242" s="324" t="s">
        <v>118</v>
      </c>
      <c r="D242" s="320">
        <f t="shared" si="124"/>
        <v>0</v>
      </c>
      <c r="E242" s="319">
        <f t="shared" si="89"/>
        <v>0</v>
      </c>
      <c r="F242" s="319">
        <f t="shared" si="90"/>
        <v>0</v>
      </c>
      <c r="G242" s="319">
        <f t="shared" si="91"/>
        <v>0</v>
      </c>
      <c r="H242" s="319">
        <f t="shared" si="92"/>
        <v>0</v>
      </c>
      <c r="I242" s="319">
        <f t="shared" si="93"/>
        <v>0</v>
      </c>
      <c r="J242" s="319">
        <f t="shared" si="94"/>
        <v>0</v>
      </c>
      <c r="K242" s="319">
        <f t="shared" si="95"/>
        <v>0</v>
      </c>
      <c r="L242" s="319">
        <f t="shared" si="96"/>
        <v>0</v>
      </c>
      <c r="M242" s="319">
        <f t="shared" si="97"/>
        <v>0</v>
      </c>
      <c r="N242" s="319">
        <f t="shared" si="98"/>
        <v>0</v>
      </c>
      <c r="O242" s="319">
        <f t="shared" si="99"/>
        <v>0</v>
      </c>
      <c r="P242" s="319">
        <f t="shared" si="100"/>
        <v>0</v>
      </c>
      <c r="Q242" s="319">
        <f t="shared" si="101"/>
        <v>0</v>
      </c>
      <c r="R242" s="319">
        <f t="shared" si="102"/>
        <v>0</v>
      </c>
      <c r="S242" s="319">
        <f t="shared" si="103"/>
        <v>0</v>
      </c>
      <c r="T242" s="319">
        <f t="shared" si="104"/>
        <v>0</v>
      </c>
      <c r="U242" s="319">
        <f t="shared" si="105"/>
        <v>0</v>
      </c>
      <c r="V242" s="319">
        <f t="shared" si="106"/>
        <v>0</v>
      </c>
      <c r="W242" s="319">
        <f t="shared" si="107"/>
        <v>0</v>
      </c>
      <c r="X242" s="319">
        <f t="shared" si="108"/>
        <v>0</v>
      </c>
      <c r="Y242" s="319">
        <f t="shared" si="109"/>
        <v>0</v>
      </c>
      <c r="Z242" s="319">
        <f t="shared" si="110"/>
        <v>0</v>
      </c>
      <c r="AA242" s="319">
        <f t="shared" si="111"/>
        <v>0</v>
      </c>
      <c r="AB242" s="319">
        <f t="shared" si="112"/>
        <v>0</v>
      </c>
      <c r="AC242" s="319">
        <f t="shared" si="113"/>
        <v>0</v>
      </c>
      <c r="AD242" s="319">
        <f t="shared" si="114"/>
        <v>0</v>
      </c>
      <c r="AE242" s="319">
        <f t="shared" si="115"/>
        <v>0</v>
      </c>
      <c r="AF242" s="319">
        <f t="shared" si="116"/>
        <v>0</v>
      </c>
      <c r="AG242" s="319">
        <f t="shared" si="117"/>
        <v>0</v>
      </c>
      <c r="AH242" s="319">
        <f t="shared" si="118"/>
        <v>0</v>
      </c>
      <c r="AI242" s="319">
        <f t="shared" si="119"/>
        <v>0</v>
      </c>
      <c r="AJ242" s="319">
        <f t="shared" si="120"/>
        <v>0</v>
      </c>
      <c r="AK242" s="319">
        <f t="shared" si="121"/>
        <v>0</v>
      </c>
      <c r="AL242" s="319">
        <f t="shared" si="122"/>
        <v>0</v>
      </c>
      <c r="AM242" s="319">
        <f t="shared" si="123"/>
        <v>0</v>
      </c>
      <c r="AN242" s="319"/>
      <c r="AP242" s="266" t="s">
        <v>119</v>
      </c>
      <c r="AQ242" s="326">
        <v>0</v>
      </c>
      <c r="AR242" s="326">
        <v>0</v>
      </c>
      <c r="AS242" s="326">
        <v>0</v>
      </c>
      <c r="AT242" s="326">
        <v>0</v>
      </c>
      <c r="AU242" s="326">
        <v>0</v>
      </c>
      <c r="AV242" s="326">
        <v>0</v>
      </c>
      <c r="AW242" s="326">
        <v>0</v>
      </c>
      <c r="AX242" s="326">
        <v>0</v>
      </c>
      <c r="AY242" s="326">
        <v>0</v>
      </c>
      <c r="AZ242" s="326">
        <v>0</v>
      </c>
      <c r="BA242" s="326">
        <v>0</v>
      </c>
      <c r="BB242" s="326">
        <v>0</v>
      </c>
      <c r="BC242" s="326">
        <v>0</v>
      </c>
      <c r="BD242" s="326">
        <v>0</v>
      </c>
      <c r="BE242" s="326">
        <v>0</v>
      </c>
      <c r="BF242" s="326">
        <v>0</v>
      </c>
      <c r="BG242" s="326">
        <v>0</v>
      </c>
      <c r="BH242" s="326">
        <v>0</v>
      </c>
      <c r="BI242" s="326">
        <v>0</v>
      </c>
      <c r="BJ242" s="326">
        <v>0</v>
      </c>
      <c r="BK242" s="326">
        <v>0</v>
      </c>
      <c r="BL242" s="326">
        <v>0</v>
      </c>
      <c r="BM242" s="326">
        <v>0</v>
      </c>
      <c r="BN242" s="326">
        <v>0.2</v>
      </c>
      <c r="BO242" s="326">
        <v>0.2</v>
      </c>
      <c r="BP242" s="326">
        <v>0.2</v>
      </c>
      <c r="BQ242" s="326">
        <v>0.2</v>
      </c>
      <c r="BR242" s="326">
        <v>0.2</v>
      </c>
      <c r="BS242" s="326">
        <v>0</v>
      </c>
      <c r="BT242" s="326">
        <v>0</v>
      </c>
      <c r="BU242" s="326">
        <v>0</v>
      </c>
      <c r="BV242" s="326">
        <v>0</v>
      </c>
      <c r="BW242" s="326">
        <v>0</v>
      </c>
      <c r="BX242" s="326">
        <v>0</v>
      </c>
      <c r="BY242" s="326">
        <v>0</v>
      </c>
    </row>
    <row r="243" spans="2:77" ht="10.15" customHeight="1">
      <c r="B243" s="324" t="s">
        <v>119</v>
      </c>
      <c r="D243" s="320">
        <f t="shared" si="124"/>
        <v>0</v>
      </c>
      <c r="E243" s="319">
        <f t="shared" si="89"/>
        <v>0</v>
      </c>
      <c r="F243" s="319">
        <f t="shared" si="90"/>
        <v>0</v>
      </c>
      <c r="G243" s="319">
        <f t="shared" si="91"/>
        <v>0</v>
      </c>
      <c r="H243" s="319">
        <f t="shared" si="92"/>
        <v>0</v>
      </c>
      <c r="I243" s="319">
        <f t="shared" si="93"/>
        <v>0</v>
      </c>
      <c r="J243" s="319">
        <f t="shared" si="94"/>
        <v>0</v>
      </c>
      <c r="K243" s="319">
        <f t="shared" si="95"/>
        <v>0</v>
      </c>
      <c r="L243" s="319">
        <f t="shared" si="96"/>
        <v>0</v>
      </c>
      <c r="M243" s="319">
        <f t="shared" si="97"/>
        <v>0</v>
      </c>
      <c r="N243" s="319">
        <f t="shared" si="98"/>
        <v>0</v>
      </c>
      <c r="O243" s="319">
        <f t="shared" si="99"/>
        <v>0</v>
      </c>
      <c r="P243" s="319">
        <f t="shared" si="100"/>
        <v>0</v>
      </c>
      <c r="Q243" s="319">
        <f t="shared" si="101"/>
        <v>0</v>
      </c>
      <c r="R243" s="319">
        <f t="shared" si="102"/>
        <v>0</v>
      </c>
      <c r="S243" s="319">
        <f t="shared" si="103"/>
        <v>0</v>
      </c>
      <c r="T243" s="319">
        <f t="shared" si="104"/>
        <v>0</v>
      </c>
      <c r="U243" s="319">
        <f t="shared" si="105"/>
        <v>0</v>
      </c>
      <c r="V243" s="319">
        <f t="shared" si="106"/>
        <v>0</v>
      </c>
      <c r="W243" s="319">
        <f t="shared" si="107"/>
        <v>0</v>
      </c>
      <c r="X243" s="319">
        <f t="shared" si="108"/>
        <v>0</v>
      </c>
      <c r="Y243" s="319">
        <f t="shared" si="109"/>
        <v>0</v>
      </c>
      <c r="Z243" s="319">
        <f t="shared" si="110"/>
        <v>0</v>
      </c>
      <c r="AA243" s="319">
        <f t="shared" si="111"/>
        <v>0</v>
      </c>
      <c r="AB243" s="319">
        <f t="shared" si="112"/>
        <v>0</v>
      </c>
      <c r="AC243" s="319">
        <f t="shared" si="113"/>
        <v>0</v>
      </c>
      <c r="AD243" s="319">
        <f t="shared" si="114"/>
        <v>0</v>
      </c>
      <c r="AE243" s="319">
        <f t="shared" si="115"/>
        <v>0</v>
      </c>
      <c r="AF243" s="319">
        <f t="shared" si="116"/>
        <v>0</v>
      </c>
      <c r="AG243" s="319">
        <f t="shared" si="117"/>
        <v>0</v>
      </c>
      <c r="AH243" s="319">
        <f t="shared" si="118"/>
        <v>0</v>
      </c>
      <c r="AI243" s="319">
        <f t="shared" si="119"/>
        <v>0</v>
      </c>
      <c r="AJ243" s="319">
        <f t="shared" si="120"/>
        <v>0</v>
      </c>
      <c r="AK243" s="319">
        <f t="shared" si="121"/>
        <v>0</v>
      </c>
      <c r="AL243" s="319">
        <f t="shared" si="122"/>
        <v>0</v>
      </c>
      <c r="AM243" s="319">
        <f t="shared" si="123"/>
        <v>0</v>
      </c>
      <c r="AN243" s="319"/>
      <c r="AP243" s="266" t="s">
        <v>120</v>
      </c>
      <c r="AQ243" s="326">
        <v>0</v>
      </c>
      <c r="AR243" s="326">
        <v>0</v>
      </c>
      <c r="AS243" s="326">
        <v>0</v>
      </c>
      <c r="AT243" s="326">
        <v>0</v>
      </c>
      <c r="AU243" s="326">
        <v>0</v>
      </c>
      <c r="AV243" s="326">
        <v>0</v>
      </c>
      <c r="AW243" s="326">
        <v>0</v>
      </c>
      <c r="AX243" s="326">
        <v>0</v>
      </c>
      <c r="AY243" s="326">
        <v>0</v>
      </c>
      <c r="AZ243" s="326">
        <v>0</v>
      </c>
      <c r="BA243" s="326">
        <v>0</v>
      </c>
      <c r="BB243" s="326">
        <v>0</v>
      </c>
      <c r="BC243" s="326">
        <v>0</v>
      </c>
      <c r="BD243" s="326">
        <v>0</v>
      </c>
      <c r="BE243" s="326">
        <v>0</v>
      </c>
      <c r="BF243" s="326">
        <v>0</v>
      </c>
      <c r="BG243" s="326">
        <v>0</v>
      </c>
      <c r="BH243" s="326">
        <v>0</v>
      </c>
      <c r="BI243" s="326">
        <v>0</v>
      </c>
      <c r="BJ243" s="326">
        <v>0</v>
      </c>
      <c r="BK243" s="326">
        <v>0</v>
      </c>
      <c r="BL243" s="326">
        <v>0</v>
      </c>
      <c r="BM243" s="326">
        <v>0</v>
      </c>
      <c r="BN243" s="326">
        <v>0</v>
      </c>
      <c r="BO243" s="326">
        <v>0.2</v>
      </c>
      <c r="BP243" s="326">
        <v>0.2</v>
      </c>
      <c r="BQ243" s="326">
        <v>0.2</v>
      </c>
      <c r="BR243" s="326">
        <v>0.2</v>
      </c>
      <c r="BS243" s="326">
        <v>0.2</v>
      </c>
      <c r="BT243" s="326">
        <v>0</v>
      </c>
      <c r="BU243" s="326">
        <v>0</v>
      </c>
      <c r="BV243" s="326">
        <v>0</v>
      </c>
      <c r="BW243" s="326">
        <v>0</v>
      </c>
      <c r="BX243" s="326">
        <v>0</v>
      </c>
      <c r="BY243" s="326">
        <v>0</v>
      </c>
    </row>
    <row r="244" spans="2:77" ht="10.15" customHeight="1">
      <c r="B244" s="324" t="s">
        <v>120</v>
      </c>
      <c r="D244" s="320">
        <f t="shared" si="124"/>
        <v>0</v>
      </c>
      <c r="E244" s="319">
        <f t="shared" si="89"/>
        <v>0</v>
      </c>
      <c r="F244" s="319">
        <f t="shared" si="90"/>
        <v>0</v>
      </c>
      <c r="G244" s="319">
        <f t="shared" si="91"/>
        <v>0</v>
      </c>
      <c r="H244" s="319">
        <f t="shared" si="92"/>
        <v>0</v>
      </c>
      <c r="I244" s="319">
        <f t="shared" si="93"/>
        <v>0</v>
      </c>
      <c r="J244" s="319">
        <f t="shared" si="94"/>
        <v>0</v>
      </c>
      <c r="K244" s="319">
        <f t="shared" si="95"/>
        <v>0</v>
      </c>
      <c r="L244" s="319">
        <f t="shared" si="96"/>
        <v>0</v>
      </c>
      <c r="M244" s="319">
        <f t="shared" si="97"/>
        <v>0</v>
      </c>
      <c r="N244" s="319">
        <f t="shared" si="98"/>
        <v>0</v>
      </c>
      <c r="O244" s="319">
        <f t="shared" si="99"/>
        <v>0</v>
      </c>
      <c r="P244" s="319">
        <f t="shared" si="100"/>
        <v>0</v>
      </c>
      <c r="Q244" s="319">
        <f t="shared" si="101"/>
        <v>0</v>
      </c>
      <c r="R244" s="319">
        <f t="shared" si="102"/>
        <v>0</v>
      </c>
      <c r="S244" s="319">
        <f t="shared" si="103"/>
        <v>0</v>
      </c>
      <c r="T244" s="319">
        <f t="shared" si="104"/>
        <v>0</v>
      </c>
      <c r="U244" s="319">
        <f t="shared" si="105"/>
        <v>0</v>
      </c>
      <c r="V244" s="319">
        <f t="shared" si="106"/>
        <v>0</v>
      </c>
      <c r="W244" s="319">
        <f t="shared" si="107"/>
        <v>0</v>
      </c>
      <c r="X244" s="319">
        <f t="shared" si="108"/>
        <v>0</v>
      </c>
      <c r="Y244" s="319">
        <f t="shared" si="109"/>
        <v>0</v>
      </c>
      <c r="Z244" s="319">
        <f t="shared" si="110"/>
        <v>0</v>
      </c>
      <c r="AA244" s="319">
        <f t="shared" si="111"/>
        <v>0</v>
      </c>
      <c r="AB244" s="319">
        <f t="shared" si="112"/>
        <v>0</v>
      </c>
      <c r="AC244" s="319">
        <f t="shared" si="113"/>
        <v>0</v>
      </c>
      <c r="AD244" s="319">
        <f t="shared" si="114"/>
        <v>0</v>
      </c>
      <c r="AE244" s="319">
        <f t="shared" si="115"/>
        <v>0</v>
      </c>
      <c r="AF244" s="319">
        <f t="shared" si="116"/>
        <v>0</v>
      </c>
      <c r="AG244" s="319">
        <f t="shared" si="117"/>
        <v>0</v>
      </c>
      <c r="AH244" s="319">
        <f t="shared" si="118"/>
        <v>0</v>
      </c>
      <c r="AI244" s="319">
        <f t="shared" si="119"/>
        <v>0</v>
      </c>
      <c r="AJ244" s="319">
        <f t="shared" si="120"/>
        <v>0</v>
      </c>
      <c r="AK244" s="319">
        <f t="shared" si="121"/>
        <v>0</v>
      </c>
      <c r="AL244" s="319">
        <f t="shared" si="122"/>
        <v>0</v>
      </c>
      <c r="AM244" s="319">
        <f t="shared" si="123"/>
        <v>0</v>
      </c>
      <c r="AN244" s="319"/>
      <c r="AP244" s="266" t="s">
        <v>121</v>
      </c>
      <c r="AQ244" s="326">
        <v>0</v>
      </c>
      <c r="AR244" s="326">
        <v>0</v>
      </c>
      <c r="AS244" s="326">
        <v>0</v>
      </c>
      <c r="AT244" s="326">
        <v>0</v>
      </c>
      <c r="AU244" s="326">
        <v>0</v>
      </c>
      <c r="AV244" s="326">
        <v>0</v>
      </c>
      <c r="AW244" s="326">
        <v>0</v>
      </c>
      <c r="AX244" s="326">
        <v>0</v>
      </c>
      <c r="AY244" s="326">
        <v>0</v>
      </c>
      <c r="AZ244" s="326">
        <v>0</v>
      </c>
      <c r="BA244" s="326">
        <v>0</v>
      </c>
      <c r="BB244" s="326">
        <v>0</v>
      </c>
      <c r="BC244" s="326">
        <v>0</v>
      </c>
      <c r="BD244" s="326">
        <v>0</v>
      </c>
      <c r="BE244" s="326">
        <v>0</v>
      </c>
      <c r="BF244" s="326">
        <v>0</v>
      </c>
      <c r="BG244" s="326">
        <v>0</v>
      </c>
      <c r="BH244" s="326">
        <v>0</v>
      </c>
      <c r="BI244" s="326">
        <v>0</v>
      </c>
      <c r="BJ244" s="326">
        <v>0</v>
      </c>
      <c r="BK244" s="326">
        <v>0</v>
      </c>
      <c r="BL244" s="326">
        <v>0</v>
      </c>
      <c r="BM244" s="326">
        <v>0</v>
      </c>
      <c r="BN244" s="326">
        <v>0</v>
      </c>
      <c r="BO244" s="326">
        <v>0</v>
      </c>
      <c r="BP244" s="326">
        <v>0.2</v>
      </c>
      <c r="BQ244" s="326">
        <v>0.2</v>
      </c>
      <c r="BR244" s="326">
        <v>0.2</v>
      </c>
      <c r="BS244" s="326">
        <v>0.2</v>
      </c>
      <c r="BT244" s="326">
        <v>0.2</v>
      </c>
      <c r="BU244" s="326">
        <v>0</v>
      </c>
      <c r="BV244" s="326">
        <v>0</v>
      </c>
      <c r="BW244" s="326">
        <v>0</v>
      </c>
      <c r="BX244" s="326">
        <v>0</v>
      </c>
      <c r="BY244" s="326">
        <v>0</v>
      </c>
    </row>
    <row r="245" spans="2:77" ht="10.15" customHeight="1">
      <c r="B245" s="324" t="s">
        <v>121</v>
      </c>
      <c r="D245" s="320">
        <f t="shared" si="124"/>
        <v>0</v>
      </c>
      <c r="E245" s="319">
        <f t="shared" si="89"/>
        <v>0</v>
      </c>
      <c r="F245" s="319">
        <f t="shared" si="90"/>
        <v>0</v>
      </c>
      <c r="G245" s="319">
        <f t="shared" si="91"/>
        <v>0</v>
      </c>
      <c r="H245" s="319">
        <f t="shared" si="92"/>
        <v>0</v>
      </c>
      <c r="I245" s="319">
        <f t="shared" si="93"/>
        <v>0</v>
      </c>
      <c r="J245" s="319">
        <f t="shared" si="94"/>
        <v>0</v>
      </c>
      <c r="K245" s="319">
        <f t="shared" si="95"/>
        <v>0</v>
      </c>
      <c r="L245" s="319">
        <f t="shared" si="96"/>
        <v>0</v>
      </c>
      <c r="M245" s="319">
        <f t="shared" si="97"/>
        <v>0</v>
      </c>
      <c r="N245" s="319">
        <f t="shared" si="98"/>
        <v>0</v>
      </c>
      <c r="O245" s="319">
        <f t="shared" si="99"/>
        <v>0</v>
      </c>
      <c r="P245" s="319">
        <f t="shared" si="100"/>
        <v>0</v>
      </c>
      <c r="Q245" s="319">
        <f t="shared" si="101"/>
        <v>0</v>
      </c>
      <c r="R245" s="319">
        <f t="shared" si="102"/>
        <v>0</v>
      </c>
      <c r="S245" s="319">
        <f t="shared" si="103"/>
        <v>0</v>
      </c>
      <c r="T245" s="319">
        <f t="shared" si="104"/>
        <v>0</v>
      </c>
      <c r="U245" s="319">
        <f t="shared" si="105"/>
        <v>0</v>
      </c>
      <c r="V245" s="319">
        <f t="shared" si="106"/>
        <v>0</v>
      </c>
      <c r="W245" s="319">
        <f t="shared" si="107"/>
        <v>0</v>
      </c>
      <c r="X245" s="319">
        <f t="shared" si="108"/>
        <v>0</v>
      </c>
      <c r="Y245" s="319">
        <f t="shared" si="109"/>
        <v>0</v>
      </c>
      <c r="Z245" s="319">
        <f t="shared" si="110"/>
        <v>0</v>
      </c>
      <c r="AA245" s="319">
        <f t="shared" si="111"/>
        <v>0</v>
      </c>
      <c r="AB245" s="319">
        <f t="shared" si="112"/>
        <v>0</v>
      </c>
      <c r="AC245" s="319">
        <f t="shared" si="113"/>
        <v>0</v>
      </c>
      <c r="AD245" s="319">
        <f t="shared" si="114"/>
        <v>0</v>
      </c>
      <c r="AE245" s="319">
        <f t="shared" si="115"/>
        <v>0</v>
      </c>
      <c r="AF245" s="319">
        <f t="shared" si="116"/>
        <v>0</v>
      </c>
      <c r="AG245" s="319">
        <f t="shared" si="117"/>
        <v>0</v>
      </c>
      <c r="AH245" s="319">
        <f t="shared" si="118"/>
        <v>0</v>
      </c>
      <c r="AI245" s="319">
        <f t="shared" si="119"/>
        <v>0</v>
      </c>
      <c r="AJ245" s="319">
        <f t="shared" si="120"/>
        <v>0</v>
      </c>
      <c r="AK245" s="319">
        <f t="shared" si="121"/>
        <v>0</v>
      </c>
      <c r="AL245" s="319">
        <f t="shared" si="122"/>
        <v>0</v>
      </c>
      <c r="AM245" s="319">
        <f t="shared" si="123"/>
        <v>0</v>
      </c>
      <c r="AN245" s="319"/>
      <c r="AP245" s="266" t="s">
        <v>122</v>
      </c>
      <c r="AQ245" s="326">
        <v>0</v>
      </c>
      <c r="AR245" s="326">
        <v>0</v>
      </c>
      <c r="AS245" s="326">
        <v>0</v>
      </c>
      <c r="AT245" s="326">
        <v>0</v>
      </c>
      <c r="AU245" s="326">
        <v>0</v>
      </c>
      <c r="AV245" s="326">
        <v>0</v>
      </c>
      <c r="AW245" s="326">
        <v>0</v>
      </c>
      <c r="AX245" s="326">
        <v>0</v>
      </c>
      <c r="AY245" s="326">
        <v>0</v>
      </c>
      <c r="AZ245" s="326">
        <v>0</v>
      </c>
      <c r="BA245" s="326">
        <v>0</v>
      </c>
      <c r="BB245" s="326">
        <v>0</v>
      </c>
      <c r="BC245" s="326">
        <v>0</v>
      </c>
      <c r="BD245" s="326">
        <v>0</v>
      </c>
      <c r="BE245" s="326">
        <v>0</v>
      </c>
      <c r="BF245" s="326">
        <v>0</v>
      </c>
      <c r="BG245" s="326">
        <v>0</v>
      </c>
      <c r="BH245" s="326">
        <v>0</v>
      </c>
      <c r="BI245" s="326">
        <v>0</v>
      </c>
      <c r="BJ245" s="326">
        <v>0</v>
      </c>
      <c r="BK245" s="326">
        <v>0</v>
      </c>
      <c r="BL245" s="326">
        <v>0</v>
      </c>
      <c r="BM245" s="326">
        <v>0</v>
      </c>
      <c r="BN245" s="326">
        <v>0</v>
      </c>
      <c r="BO245" s="326">
        <v>0</v>
      </c>
      <c r="BP245" s="326">
        <v>0</v>
      </c>
      <c r="BQ245" s="326">
        <v>0.2</v>
      </c>
      <c r="BR245" s="326">
        <v>0.2</v>
      </c>
      <c r="BS245" s="326">
        <v>0.2</v>
      </c>
      <c r="BT245" s="326">
        <v>0.2</v>
      </c>
      <c r="BU245" s="326">
        <v>0.2</v>
      </c>
      <c r="BV245" s="326">
        <v>0</v>
      </c>
      <c r="BW245" s="326">
        <v>0</v>
      </c>
      <c r="BX245" s="326">
        <v>0</v>
      </c>
      <c r="BY245" s="326">
        <v>0</v>
      </c>
    </row>
    <row r="246" spans="2:77" ht="10.15" customHeight="1">
      <c r="B246" s="324" t="s">
        <v>122</v>
      </c>
      <c r="D246" s="320">
        <f t="shared" si="124"/>
        <v>0</v>
      </c>
      <c r="E246" s="319">
        <f t="shared" si="89"/>
        <v>0</v>
      </c>
      <c r="F246" s="319">
        <f t="shared" si="90"/>
        <v>0</v>
      </c>
      <c r="G246" s="319">
        <f t="shared" si="91"/>
        <v>0</v>
      </c>
      <c r="H246" s="319">
        <f t="shared" si="92"/>
        <v>0</v>
      </c>
      <c r="I246" s="319">
        <f t="shared" si="93"/>
        <v>0</v>
      </c>
      <c r="J246" s="319">
        <f t="shared" si="94"/>
        <v>0</v>
      </c>
      <c r="K246" s="319">
        <f t="shared" si="95"/>
        <v>0</v>
      </c>
      <c r="L246" s="319">
        <f t="shared" si="96"/>
        <v>0</v>
      </c>
      <c r="M246" s="319">
        <f t="shared" si="97"/>
        <v>0</v>
      </c>
      <c r="N246" s="319">
        <f t="shared" si="98"/>
        <v>0</v>
      </c>
      <c r="O246" s="319">
        <f t="shared" si="99"/>
        <v>0</v>
      </c>
      <c r="P246" s="319">
        <f t="shared" si="100"/>
        <v>0</v>
      </c>
      <c r="Q246" s="319">
        <f t="shared" si="101"/>
        <v>0</v>
      </c>
      <c r="R246" s="319">
        <f t="shared" si="102"/>
        <v>0</v>
      </c>
      <c r="S246" s="319">
        <f t="shared" si="103"/>
        <v>0</v>
      </c>
      <c r="T246" s="319">
        <f t="shared" si="104"/>
        <v>0</v>
      </c>
      <c r="U246" s="319">
        <f t="shared" si="105"/>
        <v>0</v>
      </c>
      <c r="V246" s="319">
        <f t="shared" si="106"/>
        <v>0</v>
      </c>
      <c r="W246" s="319">
        <f t="shared" si="107"/>
        <v>0</v>
      </c>
      <c r="X246" s="319">
        <f t="shared" si="108"/>
        <v>0</v>
      </c>
      <c r="Y246" s="319">
        <f t="shared" si="109"/>
        <v>0</v>
      </c>
      <c r="Z246" s="319">
        <f t="shared" si="110"/>
        <v>0</v>
      </c>
      <c r="AA246" s="319">
        <f t="shared" si="111"/>
        <v>0</v>
      </c>
      <c r="AB246" s="319">
        <f t="shared" si="112"/>
        <v>0</v>
      </c>
      <c r="AC246" s="319">
        <f t="shared" si="113"/>
        <v>0</v>
      </c>
      <c r="AD246" s="319">
        <f t="shared" si="114"/>
        <v>0</v>
      </c>
      <c r="AE246" s="319">
        <f t="shared" si="115"/>
        <v>0</v>
      </c>
      <c r="AF246" s="319">
        <f t="shared" si="116"/>
        <v>0</v>
      </c>
      <c r="AG246" s="319">
        <f t="shared" si="117"/>
        <v>0</v>
      </c>
      <c r="AH246" s="319">
        <f t="shared" si="118"/>
        <v>0</v>
      </c>
      <c r="AI246" s="319">
        <f t="shared" si="119"/>
        <v>0</v>
      </c>
      <c r="AJ246" s="319">
        <f t="shared" si="120"/>
        <v>0</v>
      </c>
      <c r="AK246" s="319">
        <f t="shared" si="121"/>
        <v>0</v>
      </c>
      <c r="AL246" s="319">
        <f t="shared" si="122"/>
        <v>0</v>
      </c>
      <c r="AM246" s="319">
        <f t="shared" si="123"/>
        <v>0</v>
      </c>
      <c r="AN246" s="319"/>
      <c r="AP246" s="266" t="s">
        <v>123</v>
      </c>
      <c r="AQ246" s="326">
        <v>0</v>
      </c>
      <c r="AR246" s="326">
        <v>0</v>
      </c>
      <c r="AS246" s="326">
        <v>0</v>
      </c>
      <c r="AT246" s="326">
        <v>0</v>
      </c>
      <c r="AU246" s="326">
        <v>0</v>
      </c>
      <c r="AV246" s="326">
        <v>0</v>
      </c>
      <c r="AW246" s="326">
        <v>0</v>
      </c>
      <c r="AX246" s="326">
        <v>0</v>
      </c>
      <c r="AY246" s="326">
        <v>0</v>
      </c>
      <c r="AZ246" s="326">
        <v>0</v>
      </c>
      <c r="BA246" s="326">
        <v>0</v>
      </c>
      <c r="BB246" s="326">
        <v>0</v>
      </c>
      <c r="BC246" s="326">
        <v>0</v>
      </c>
      <c r="BD246" s="326">
        <v>0</v>
      </c>
      <c r="BE246" s="326">
        <v>0</v>
      </c>
      <c r="BF246" s="326">
        <v>0</v>
      </c>
      <c r="BG246" s="326">
        <v>0</v>
      </c>
      <c r="BH246" s="326">
        <v>0</v>
      </c>
      <c r="BI246" s="326">
        <v>0</v>
      </c>
      <c r="BJ246" s="326">
        <v>0</v>
      </c>
      <c r="BK246" s="326">
        <v>0</v>
      </c>
      <c r="BL246" s="326">
        <v>0</v>
      </c>
      <c r="BM246" s="326">
        <v>0</v>
      </c>
      <c r="BN246" s="326">
        <v>0</v>
      </c>
      <c r="BO246" s="326">
        <v>0</v>
      </c>
      <c r="BP246" s="326">
        <v>0</v>
      </c>
      <c r="BQ246" s="326">
        <v>0</v>
      </c>
      <c r="BR246" s="326">
        <v>0.2</v>
      </c>
      <c r="BS246" s="326">
        <v>0.2</v>
      </c>
      <c r="BT246" s="326">
        <v>0.2</v>
      </c>
      <c r="BU246" s="326">
        <v>0.2</v>
      </c>
      <c r="BV246" s="326">
        <v>0.2</v>
      </c>
      <c r="BW246" s="326">
        <v>0</v>
      </c>
      <c r="BX246" s="326">
        <v>0</v>
      </c>
      <c r="BY246" s="326">
        <v>0</v>
      </c>
    </row>
    <row r="247" spans="2:77" ht="10.15" customHeight="1">
      <c r="B247" s="324" t="s">
        <v>123</v>
      </c>
      <c r="D247" s="320">
        <f t="shared" si="124"/>
        <v>0</v>
      </c>
      <c r="E247" s="319">
        <f t="shared" si="89"/>
        <v>0</v>
      </c>
      <c r="F247" s="319">
        <f t="shared" si="90"/>
        <v>0</v>
      </c>
      <c r="G247" s="319">
        <f t="shared" si="91"/>
        <v>0</v>
      </c>
      <c r="H247" s="319">
        <f t="shared" si="92"/>
        <v>0</v>
      </c>
      <c r="I247" s="319">
        <f t="shared" si="93"/>
        <v>0</v>
      </c>
      <c r="J247" s="319">
        <f t="shared" si="94"/>
        <v>0</v>
      </c>
      <c r="K247" s="319">
        <f t="shared" si="95"/>
        <v>0</v>
      </c>
      <c r="L247" s="319">
        <f t="shared" si="96"/>
        <v>0</v>
      </c>
      <c r="M247" s="319">
        <f t="shared" si="97"/>
        <v>0</v>
      </c>
      <c r="N247" s="319">
        <f t="shared" si="98"/>
        <v>0</v>
      </c>
      <c r="O247" s="319">
        <f t="shared" si="99"/>
        <v>0</v>
      </c>
      <c r="P247" s="319">
        <f t="shared" si="100"/>
        <v>0</v>
      </c>
      <c r="Q247" s="319">
        <f t="shared" si="101"/>
        <v>0</v>
      </c>
      <c r="R247" s="319">
        <f t="shared" si="102"/>
        <v>0</v>
      </c>
      <c r="S247" s="319">
        <f t="shared" si="103"/>
        <v>0</v>
      </c>
      <c r="T247" s="319">
        <f t="shared" si="104"/>
        <v>0</v>
      </c>
      <c r="U247" s="319">
        <f t="shared" si="105"/>
        <v>0</v>
      </c>
      <c r="V247" s="319">
        <f t="shared" si="106"/>
        <v>0</v>
      </c>
      <c r="W247" s="319">
        <f t="shared" si="107"/>
        <v>0</v>
      </c>
      <c r="X247" s="319">
        <f t="shared" si="108"/>
        <v>0</v>
      </c>
      <c r="Y247" s="319">
        <f t="shared" si="109"/>
        <v>0</v>
      </c>
      <c r="Z247" s="319">
        <f t="shared" si="110"/>
        <v>0</v>
      </c>
      <c r="AA247" s="319">
        <f t="shared" si="111"/>
        <v>0</v>
      </c>
      <c r="AB247" s="319">
        <f t="shared" si="112"/>
        <v>0</v>
      </c>
      <c r="AC247" s="319">
        <f t="shared" si="113"/>
        <v>0</v>
      </c>
      <c r="AD247" s="319">
        <f t="shared" si="114"/>
        <v>0</v>
      </c>
      <c r="AE247" s="319">
        <f t="shared" si="115"/>
        <v>0</v>
      </c>
      <c r="AF247" s="319">
        <f t="shared" si="116"/>
        <v>0</v>
      </c>
      <c r="AG247" s="319">
        <f t="shared" si="117"/>
        <v>0</v>
      </c>
      <c r="AH247" s="319">
        <f t="shared" si="118"/>
        <v>0</v>
      </c>
      <c r="AI247" s="319">
        <f t="shared" si="119"/>
        <v>0</v>
      </c>
      <c r="AJ247" s="319">
        <f t="shared" si="120"/>
        <v>0</v>
      </c>
      <c r="AK247" s="319">
        <f t="shared" si="121"/>
        <v>0</v>
      </c>
      <c r="AL247" s="319">
        <f t="shared" si="122"/>
        <v>0</v>
      </c>
      <c r="AM247" s="319">
        <f t="shared" si="123"/>
        <v>0</v>
      </c>
      <c r="AN247" s="319"/>
      <c r="AP247" s="266" t="s">
        <v>124</v>
      </c>
      <c r="AQ247" s="326">
        <v>0</v>
      </c>
      <c r="AR247" s="326">
        <v>0</v>
      </c>
      <c r="AS247" s="326">
        <v>0</v>
      </c>
      <c r="AT247" s="326">
        <v>0</v>
      </c>
      <c r="AU247" s="326">
        <v>0</v>
      </c>
      <c r="AV247" s="326">
        <v>0</v>
      </c>
      <c r="AW247" s="326">
        <v>0</v>
      </c>
      <c r="AX247" s="326">
        <v>0</v>
      </c>
      <c r="AY247" s="326">
        <v>0</v>
      </c>
      <c r="AZ247" s="326">
        <v>0</v>
      </c>
      <c r="BA247" s="326">
        <v>0</v>
      </c>
      <c r="BB247" s="326">
        <v>0</v>
      </c>
      <c r="BC247" s="326">
        <v>0</v>
      </c>
      <c r="BD247" s="326">
        <v>0</v>
      </c>
      <c r="BE247" s="326">
        <v>0</v>
      </c>
      <c r="BF247" s="326">
        <v>0</v>
      </c>
      <c r="BG247" s="326">
        <v>0</v>
      </c>
      <c r="BH247" s="326">
        <v>0</v>
      </c>
      <c r="BI247" s="326">
        <v>0</v>
      </c>
      <c r="BJ247" s="326">
        <v>0</v>
      </c>
      <c r="BK247" s="326">
        <v>0</v>
      </c>
      <c r="BL247" s="326">
        <v>0</v>
      </c>
      <c r="BM247" s="326">
        <v>0</v>
      </c>
      <c r="BN247" s="326">
        <v>0</v>
      </c>
      <c r="BO247" s="326">
        <v>0</v>
      </c>
      <c r="BP247" s="326">
        <v>0</v>
      </c>
      <c r="BQ247" s="326">
        <v>0</v>
      </c>
      <c r="BR247" s="326">
        <v>0</v>
      </c>
      <c r="BS247" s="326">
        <v>0.2</v>
      </c>
      <c r="BT247" s="326">
        <v>0.2</v>
      </c>
      <c r="BU247" s="326">
        <v>0.2</v>
      </c>
      <c r="BV247" s="326">
        <v>0.2</v>
      </c>
      <c r="BW247" s="326">
        <v>0.2</v>
      </c>
      <c r="BX247" s="326">
        <v>0</v>
      </c>
      <c r="BY247" s="326">
        <v>0</v>
      </c>
    </row>
    <row r="248" spans="2:77" ht="10.15" customHeight="1">
      <c r="B248" s="324" t="s">
        <v>124</v>
      </c>
      <c r="D248" s="320">
        <f t="shared" si="124"/>
        <v>0</v>
      </c>
      <c r="E248" s="319">
        <f t="shared" si="89"/>
        <v>0</v>
      </c>
      <c r="F248" s="319">
        <f t="shared" si="90"/>
        <v>0</v>
      </c>
      <c r="G248" s="319">
        <f t="shared" si="91"/>
        <v>0</v>
      </c>
      <c r="H248" s="319">
        <f t="shared" si="92"/>
        <v>0</v>
      </c>
      <c r="I248" s="319">
        <f t="shared" si="93"/>
        <v>0</v>
      </c>
      <c r="J248" s="319">
        <f t="shared" si="94"/>
        <v>0</v>
      </c>
      <c r="K248" s="319">
        <f t="shared" si="95"/>
        <v>0</v>
      </c>
      <c r="L248" s="319">
        <f t="shared" si="96"/>
        <v>0</v>
      </c>
      <c r="M248" s="319">
        <f t="shared" si="97"/>
        <v>0</v>
      </c>
      <c r="N248" s="319">
        <f t="shared" si="98"/>
        <v>0</v>
      </c>
      <c r="O248" s="319">
        <f t="shared" si="99"/>
        <v>0</v>
      </c>
      <c r="P248" s="319">
        <f t="shared" si="100"/>
        <v>0</v>
      </c>
      <c r="Q248" s="319">
        <f t="shared" si="101"/>
        <v>0</v>
      </c>
      <c r="R248" s="319">
        <f t="shared" si="102"/>
        <v>0</v>
      </c>
      <c r="S248" s="319">
        <f t="shared" si="103"/>
        <v>0</v>
      </c>
      <c r="T248" s="319">
        <f t="shared" si="104"/>
        <v>0</v>
      </c>
      <c r="U248" s="319">
        <f t="shared" si="105"/>
        <v>0</v>
      </c>
      <c r="V248" s="319">
        <f t="shared" si="106"/>
        <v>0</v>
      </c>
      <c r="W248" s="319">
        <f t="shared" si="107"/>
        <v>0</v>
      </c>
      <c r="X248" s="319">
        <f t="shared" si="108"/>
        <v>0</v>
      </c>
      <c r="Y248" s="319">
        <f t="shared" si="109"/>
        <v>0</v>
      </c>
      <c r="Z248" s="319">
        <f t="shared" si="110"/>
        <v>0</v>
      </c>
      <c r="AA248" s="319">
        <f t="shared" si="111"/>
        <v>0</v>
      </c>
      <c r="AB248" s="319">
        <f t="shared" si="112"/>
        <v>0</v>
      </c>
      <c r="AC248" s="319">
        <f t="shared" si="113"/>
        <v>0</v>
      </c>
      <c r="AD248" s="319">
        <f t="shared" si="114"/>
        <v>0</v>
      </c>
      <c r="AE248" s="319">
        <f t="shared" si="115"/>
        <v>0</v>
      </c>
      <c r="AF248" s="319">
        <f t="shared" si="116"/>
        <v>0</v>
      </c>
      <c r="AG248" s="319">
        <f t="shared" si="117"/>
        <v>0</v>
      </c>
      <c r="AH248" s="319">
        <f t="shared" si="118"/>
        <v>0</v>
      </c>
      <c r="AI248" s="319">
        <f t="shared" si="119"/>
        <v>0</v>
      </c>
      <c r="AJ248" s="319">
        <f t="shared" si="120"/>
        <v>0</v>
      </c>
      <c r="AK248" s="319">
        <f t="shared" si="121"/>
        <v>0</v>
      </c>
      <c r="AL248" s="319">
        <f t="shared" si="122"/>
        <v>0</v>
      </c>
      <c r="AM248" s="319">
        <f t="shared" si="123"/>
        <v>0</v>
      </c>
      <c r="AN248" s="319"/>
      <c r="AQ248" s="326">
        <f>SUM(AQ213:AQ247)</f>
        <v>1</v>
      </c>
      <c r="AR248" s="326">
        <f t="shared" ref="AR248:BY248" si="125">SUM(AR213:AR247)</f>
        <v>1</v>
      </c>
      <c r="AS248" s="326">
        <f t="shared" si="125"/>
        <v>1</v>
      </c>
      <c r="AT248" s="326">
        <f t="shared" si="125"/>
        <v>1</v>
      </c>
      <c r="AU248" s="326">
        <f t="shared" si="125"/>
        <v>1</v>
      </c>
      <c r="AV248" s="326">
        <f t="shared" si="125"/>
        <v>1</v>
      </c>
      <c r="AW248" s="326">
        <f t="shared" si="125"/>
        <v>1</v>
      </c>
      <c r="AX248" s="326">
        <f t="shared" si="125"/>
        <v>1</v>
      </c>
      <c r="AY248" s="326">
        <f t="shared" si="125"/>
        <v>1</v>
      </c>
      <c r="AZ248" s="326">
        <f t="shared" si="125"/>
        <v>1</v>
      </c>
      <c r="BA248" s="326">
        <f t="shared" si="125"/>
        <v>1</v>
      </c>
      <c r="BB248" s="326">
        <f t="shared" si="125"/>
        <v>1</v>
      </c>
      <c r="BC248" s="326">
        <f t="shared" si="125"/>
        <v>1</v>
      </c>
      <c r="BD248" s="326">
        <f t="shared" si="125"/>
        <v>1</v>
      </c>
      <c r="BE248" s="326">
        <f t="shared" si="125"/>
        <v>1</v>
      </c>
      <c r="BF248" s="326">
        <f t="shared" si="125"/>
        <v>1</v>
      </c>
      <c r="BG248" s="326">
        <f t="shared" si="125"/>
        <v>1</v>
      </c>
      <c r="BH248" s="326">
        <f t="shared" si="125"/>
        <v>1</v>
      </c>
      <c r="BI248" s="326">
        <f t="shared" si="125"/>
        <v>1</v>
      </c>
      <c r="BJ248" s="326">
        <f t="shared" si="125"/>
        <v>1</v>
      </c>
      <c r="BK248" s="326">
        <f t="shared" si="125"/>
        <v>1</v>
      </c>
      <c r="BL248" s="326">
        <f t="shared" si="125"/>
        <v>1</v>
      </c>
      <c r="BM248" s="326">
        <f t="shared" si="125"/>
        <v>1</v>
      </c>
      <c r="BN248" s="326">
        <f t="shared" si="125"/>
        <v>1</v>
      </c>
      <c r="BO248" s="326">
        <f t="shared" si="125"/>
        <v>1</v>
      </c>
      <c r="BP248" s="326">
        <f t="shared" si="125"/>
        <v>1</v>
      </c>
      <c r="BQ248" s="326">
        <f t="shared" si="125"/>
        <v>1</v>
      </c>
      <c r="BR248" s="326">
        <f t="shared" si="125"/>
        <v>1</v>
      </c>
      <c r="BS248" s="326">
        <f t="shared" si="125"/>
        <v>1</v>
      </c>
      <c r="BT248" s="326">
        <f t="shared" si="125"/>
        <v>0.8</v>
      </c>
      <c r="BU248" s="326">
        <f t="shared" si="125"/>
        <v>0.60000000000000009</v>
      </c>
      <c r="BV248" s="326">
        <f t="shared" si="125"/>
        <v>0.4</v>
      </c>
      <c r="BW248" s="326">
        <f t="shared" si="125"/>
        <v>0.2</v>
      </c>
      <c r="BX248" s="326">
        <f t="shared" si="125"/>
        <v>0</v>
      </c>
      <c r="BY248" s="326">
        <f t="shared" si="125"/>
        <v>0</v>
      </c>
    </row>
    <row r="249" spans="2:77" ht="10.15" customHeight="1">
      <c r="BU249" s="326"/>
      <c r="BV249" s="326"/>
      <c r="BW249" s="326"/>
    </row>
    <row r="250" spans="2:77" ht="10.15" customHeight="1">
      <c r="BV250" s="326"/>
      <c r="BW250" s="326"/>
    </row>
    <row r="252" spans="2:77" ht="15.6">
      <c r="B252" s="789" t="s">
        <v>1418</v>
      </c>
    </row>
    <row r="253" spans="2:77" ht="15.6">
      <c r="B253" s="789"/>
      <c r="E253" s="316" t="s">
        <v>84</v>
      </c>
      <c r="F253" s="316" t="s">
        <v>86</v>
      </c>
      <c r="G253" s="316" t="s">
        <v>92</v>
      </c>
      <c r="H253" s="316" t="s">
        <v>93</v>
      </c>
      <c r="I253" s="316" t="s">
        <v>94</v>
      </c>
      <c r="J253" s="316" t="s">
        <v>95</v>
      </c>
      <c r="K253" s="316" t="s">
        <v>96</v>
      </c>
      <c r="L253" s="316" t="s">
        <v>97</v>
      </c>
      <c r="M253" s="316" t="s">
        <v>98</v>
      </c>
      <c r="N253" s="316" t="s">
        <v>99</v>
      </c>
      <c r="O253" s="316" t="s">
        <v>100</v>
      </c>
      <c r="P253" s="316" t="s">
        <v>101</v>
      </c>
      <c r="Q253" s="316" t="s">
        <v>102</v>
      </c>
      <c r="R253" s="316" t="s">
        <v>103</v>
      </c>
      <c r="S253" s="316" t="s">
        <v>104</v>
      </c>
      <c r="T253" s="316" t="s">
        <v>105</v>
      </c>
      <c r="U253" s="316" t="s">
        <v>106</v>
      </c>
      <c r="V253" s="316" t="s">
        <v>107</v>
      </c>
      <c r="W253" s="316" t="s">
        <v>108</v>
      </c>
      <c r="X253" s="316" t="s">
        <v>109</v>
      </c>
      <c r="Y253" s="316" t="s">
        <v>110</v>
      </c>
      <c r="Z253" s="316" t="s">
        <v>111</v>
      </c>
      <c r="AA253" s="316" t="s">
        <v>112</v>
      </c>
      <c r="AB253" s="316" t="s">
        <v>113</v>
      </c>
      <c r="AC253" s="316" t="s">
        <v>114</v>
      </c>
      <c r="AD253" s="316" t="s">
        <v>115</v>
      </c>
      <c r="AE253" s="316" t="s">
        <v>116</v>
      </c>
      <c r="AF253" s="316" t="s">
        <v>117</v>
      </c>
      <c r="AG253" s="316" t="s">
        <v>118</v>
      </c>
      <c r="AH253" s="316" t="s">
        <v>119</v>
      </c>
      <c r="AI253" s="316" t="s">
        <v>120</v>
      </c>
      <c r="AJ253" s="316" t="s">
        <v>121</v>
      </c>
      <c r="AK253" s="316" t="s">
        <v>122</v>
      </c>
      <c r="AL253" s="316" t="s">
        <v>123</v>
      </c>
      <c r="AM253" s="316" t="s">
        <v>124</v>
      </c>
    </row>
    <row r="254" spans="2:77">
      <c r="E254" s="319" cm="1">
        <f t="array" ref="E254:AM254">TRANSPOSE(D255:D289)</f>
        <v>0</v>
      </c>
      <c r="F254" s="319">
        <v>0</v>
      </c>
      <c r="G254" s="319">
        <v>0</v>
      </c>
      <c r="H254" s="319">
        <v>815.28991441746791</v>
      </c>
      <c r="I254" s="319">
        <v>815.28991441746791</v>
      </c>
      <c r="J254" s="319">
        <v>815.28991441746791</v>
      </c>
      <c r="K254" s="319">
        <v>815.28991441746791</v>
      </c>
      <c r="L254" s="319">
        <v>815.28991441746791</v>
      </c>
      <c r="M254" s="319">
        <v>815.28991441746791</v>
      </c>
      <c r="N254" s="319">
        <v>815.28991441746791</v>
      </c>
      <c r="O254" s="319">
        <v>815.28991441746791</v>
      </c>
      <c r="P254" s="319">
        <v>815.28991441746791</v>
      </c>
      <c r="Q254" s="319">
        <v>815.28991441746791</v>
      </c>
      <c r="R254" s="319">
        <v>815.28991441746791</v>
      </c>
      <c r="S254" s="319">
        <v>815.28991441746791</v>
      </c>
      <c r="T254" s="319">
        <v>815.28991441746791</v>
      </c>
      <c r="U254" s="319">
        <v>815.28991441746791</v>
      </c>
      <c r="V254" s="319">
        <v>815.28991441746791</v>
      </c>
      <c r="W254" s="319">
        <v>0</v>
      </c>
      <c r="X254" s="319">
        <v>0</v>
      </c>
      <c r="Y254" s="319">
        <v>0</v>
      </c>
      <c r="Z254" s="319">
        <v>0</v>
      </c>
      <c r="AA254" s="319">
        <v>0</v>
      </c>
      <c r="AB254" s="319">
        <v>0</v>
      </c>
      <c r="AC254" s="319">
        <v>0</v>
      </c>
      <c r="AD254" s="319">
        <v>0</v>
      </c>
      <c r="AE254" s="319">
        <v>0</v>
      </c>
      <c r="AF254" s="319">
        <v>0</v>
      </c>
      <c r="AG254" s="319">
        <v>0</v>
      </c>
      <c r="AH254" s="319">
        <v>0</v>
      </c>
      <c r="AI254" s="319">
        <v>0</v>
      </c>
      <c r="AJ254" s="319">
        <v>0</v>
      </c>
      <c r="AK254" s="319">
        <v>0</v>
      </c>
      <c r="AL254" s="319">
        <v>0</v>
      </c>
      <c r="AM254" s="319">
        <v>0</v>
      </c>
      <c r="AN254" s="319"/>
      <c r="AO254" s="319"/>
      <c r="AP254" s="319"/>
      <c r="AQ254" s="266">
        <v>1</v>
      </c>
      <c r="AR254" s="266">
        <v>2</v>
      </c>
      <c r="AS254" s="266">
        <v>3</v>
      </c>
      <c r="AT254" s="266">
        <v>4</v>
      </c>
      <c r="AU254" s="266">
        <v>5</v>
      </c>
      <c r="AV254" s="266">
        <v>6</v>
      </c>
      <c r="AW254" s="266">
        <v>7</v>
      </c>
      <c r="AX254" s="266">
        <v>8</v>
      </c>
      <c r="AY254" s="266">
        <v>9</v>
      </c>
      <c r="AZ254" s="266">
        <v>10</v>
      </c>
      <c r="BA254" s="266">
        <v>11</v>
      </c>
      <c r="BB254" s="266">
        <v>12</v>
      </c>
      <c r="BC254" s="266">
        <v>13</v>
      </c>
      <c r="BD254" s="266">
        <v>14</v>
      </c>
      <c r="BE254" s="266">
        <v>15</v>
      </c>
      <c r="BF254" s="266">
        <v>16</v>
      </c>
      <c r="BG254" s="266">
        <v>17</v>
      </c>
      <c r="BH254" s="266">
        <v>18</v>
      </c>
      <c r="BI254" s="266">
        <v>19</v>
      </c>
      <c r="BJ254" s="266">
        <v>20</v>
      </c>
      <c r="BK254" s="266">
        <v>21</v>
      </c>
      <c r="BL254" s="266">
        <v>22</v>
      </c>
      <c r="BM254" s="266">
        <v>23</v>
      </c>
      <c r="BN254" s="266">
        <v>24</v>
      </c>
      <c r="BO254" s="266">
        <v>25</v>
      </c>
      <c r="BP254" s="266">
        <v>26</v>
      </c>
      <c r="BQ254" s="266">
        <v>27</v>
      </c>
      <c r="BR254" s="266">
        <v>28</v>
      </c>
      <c r="BS254" s="266">
        <v>29</v>
      </c>
      <c r="BT254" s="266">
        <v>30</v>
      </c>
      <c r="BU254" s="266">
        <v>31</v>
      </c>
      <c r="BV254" s="266">
        <v>32</v>
      </c>
      <c r="BW254" s="266">
        <v>33</v>
      </c>
      <c r="BX254" s="266">
        <v>34</v>
      </c>
      <c r="BY254" s="266">
        <v>35</v>
      </c>
    </row>
    <row r="255" spans="2:77">
      <c r="B255" s="324" t="s">
        <v>84</v>
      </c>
      <c r="D255" s="320">
        <f>SUM(E255:AN255)</f>
        <v>0</v>
      </c>
      <c r="E255" s="319">
        <f t="shared" ref="E255:E289" si="126">IFERROR((D$125+D$126)*AQ255,0)</f>
        <v>0</v>
      </c>
      <c r="F255" s="319">
        <f t="shared" ref="F255:F289" si="127">IFERROR((E$125+E$126)*AR255,0)</f>
        <v>0</v>
      </c>
      <c r="G255" s="319">
        <f t="shared" ref="G255:G289" si="128">IFERROR((F$125+F$126)*AS255,0)</f>
        <v>0</v>
      </c>
      <c r="H255" s="319">
        <f t="shared" ref="H255:H289" si="129">IFERROR((G$125+G$126)*AT255,0)</f>
        <v>0</v>
      </c>
      <c r="I255" s="319">
        <f t="shared" ref="I255:I289" si="130">IFERROR((H$125+H$126)*AU255,0)</f>
        <v>0</v>
      </c>
      <c r="J255" s="319">
        <f t="shared" ref="J255:J289" si="131">IFERROR((I$125+I$126)*AV255,0)</f>
        <v>0</v>
      </c>
      <c r="K255" s="319">
        <f t="shared" ref="K255:K289" si="132">IFERROR((J$125+J$126)*AW255,0)</f>
        <v>0</v>
      </c>
      <c r="L255" s="319">
        <f t="shared" ref="L255:L289" si="133">IFERROR((K$125+K$126)*AX255,0)</f>
        <v>0</v>
      </c>
      <c r="M255" s="319">
        <f t="shared" ref="M255:M289" si="134">IFERROR((L$125+L$126)*AY255,0)</f>
        <v>0</v>
      </c>
      <c r="N255" s="319">
        <f t="shared" ref="N255:N289" si="135">IFERROR((M$125+M$126)*AZ255,0)</f>
        <v>0</v>
      </c>
      <c r="O255" s="319">
        <f t="shared" ref="O255:O289" si="136">IFERROR((N$125+N$126)*BA255,0)</f>
        <v>0</v>
      </c>
      <c r="P255" s="319">
        <f t="shared" ref="P255:P289" si="137">IFERROR((O$125+O$126)*BB255,0)</f>
        <v>0</v>
      </c>
      <c r="Q255" s="319">
        <f t="shared" ref="Q255:Q289" si="138">IFERROR((P$125+P$126)*BC255,0)</f>
        <v>0</v>
      </c>
      <c r="R255" s="319">
        <f t="shared" ref="R255:R289" si="139">IFERROR((Q$125+Q$126)*BD255,0)</f>
        <v>0</v>
      </c>
      <c r="S255" s="319">
        <f t="shared" ref="S255:S289" si="140">IFERROR((R$125+R$126)*BE255,0)</f>
        <v>0</v>
      </c>
      <c r="T255" s="319">
        <f t="shared" ref="T255:T289" si="141">IFERROR((S$125+S$126)*BF255,0)</f>
        <v>0</v>
      </c>
      <c r="U255" s="319">
        <f t="shared" ref="U255:U289" si="142">IFERROR((T$125+T$126)*BG255,0)</f>
        <v>0</v>
      </c>
      <c r="V255" s="319">
        <f t="shared" ref="V255:V289" si="143">IFERROR((U$125+U$126)*BH255,0)</f>
        <v>0</v>
      </c>
      <c r="W255" s="319">
        <f t="shared" ref="W255:W289" si="144">IFERROR((V$125+V$126)*BI255,0)</f>
        <v>0</v>
      </c>
      <c r="X255" s="319">
        <f t="shared" ref="X255:X289" si="145">IFERROR((W$125+W$126)*BJ255,0)</f>
        <v>0</v>
      </c>
      <c r="Y255" s="319">
        <f t="shared" ref="Y255:Y289" si="146">IFERROR((X$125+X$126)*BK255,0)</f>
        <v>0</v>
      </c>
      <c r="Z255" s="319">
        <f t="shared" ref="Z255:Z289" si="147">IFERROR((Y$125+Y$126)*BL255,0)</f>
        <v>0</v>
      </c>
      <c r="AA255" s="319">
        <f t="shared" ref="AA255:AA289" si="148">IFERROR((Z$125+Z$126)*BM255,0)</f>
        <v>0</v>
      </c>
      <c r="AB255" s="319">
        <f t="shared" ref="AB255:AB289" si="149">IFERROR((AA$125+AA$126)*BN255,0)</f>
        <v>0</v>
      </c>
      <c r="AC255" s="319">
        <f t="shared" ref="AC255:AC289" si="150">IFERROR((AB$125+AB$126)*BO255,0)</f>
        <v>0</v>
      </c>
      <c r="AD255" s="319">
        <f t="shared" ref="AD255:AD289" si="151">IFERROR((AC$125+AC$126)*BP255,0)</f>
        <v>0</v>
      </c>
      <c r="AE255" s="319">
        <f t="shared" ref="AE255:AE289" si="152">IFERROR((AD$125+AD$126)*BQ255,0)</f>
        <v>0</v>
      </c>
      <c r="AF255" s="319">
        <f t="shared" ref="AF255:AF289" si="153">IFERROR((AE$125+AE$126)*BR255,0)</f>
        <v>0</v>
      </c>
      <c r="AG255" s="319">
        <f t="shared" ref="AG255:AG289" si="154">IFERROR((AF$125+AF$126)*BS255,0)</f>
        <v>0</v>
      </c>
      <c r="AH255" s="319">
        <f t="shared" ref="AH255:AH289" si="155">IFERROR((AG$125+AG$126)*BT255,0)</f>
        <v>0</v>
      </c>
      <c r="AI255" s="319">
        <f t="shared" ref="AI255:AI289" si="156">IFERROR((AH$125+AH$126)*BU255,0)</f>
        <v>0</v>
      </c>
      <c r="AJ255" s="319">
        <f t="shared" ref="AJ255:AJ289" si="157">IFERROR((AI$125+AI$126)*BV255,0)</f>
        <v>0</v>
      </c>
      <c r="AK255" s="319">
        <f t="shared" ref="AK255:AK289" si="158">IFERROR((AJ$125+AJ$126)*BW255,0)</f>
        <v>0</v>
      </c>
      <c r="AL255" s="319">
        <f t="shared" ref="AL255:AL289" si="159">IFERROR((AK$125+AK$126)*BX255,0)</f>
        <v>0</v>
      </c>
      <c r="AM255" s="319">
        <f t="shared" ref="AM255:AM289" si="160">IFERROR((AL$125+AL$126)*BY255,0)</f>
        <v>0</v>
      </c>
      <c r="AN255" s="319"/>
      <c r="AP255" s="266" t="s">
        <v>84</v>
      </c>
      <c r="AQ255" s="326">
        <v>0</v>
      </c>
      <c r="AR255" s="326">
        <v>0</v>
      </c>
      <c r="AS255" s="326">
        <v>0</v>
      </c>
      <c r="AT255" s="326">
        <v>0</v>
      </c>
      <c r="AU255" s="326">
        <v>0</v>
      </c>
      <c r="AV255" s="326">
        <v>0</v>
      </c>
      <c r="AW255" s="326">
        <v>0</v>
      </c>
      <c r="AX255" s="326">
        <v>0</v>
      </c>
      <c r="AY255" s="326">
        <v>0</v>
      </c>
      <c r="AZ255" s="326">
        <v>0</v>
      </c>
      <c r="BA255" s="326">
        <v>0</v>
      </c>
      <c r="BB255" s="326">
        <v>0</v>
      </c>
      <c r="BC255" s="326">
        <v>0</v>
      </c>
      <c r="BD255" s="326">
        <v>0</v>
      </c>
      <c r="BE255" s="326">
        <v>0</v>
      </c>
      <c r="BF255" s="326">
        <v>0</v>
      </c>
      <c r="BG255" s="326">
        <v>0</v>
      </c>
      <c r="BH255" s="326">
        <v>0</v>
      </c>
      <c r="BI255" s="326">
        <v>0</v>
      </c>
      <c r="BJ255" s="326">
        <v>0</v>
      </c>
      <c r="BK255" s="326">
        <v>0</v>
      </c>
      <c r="BL255" s="326">
        <v>0</v>
      </c>
      <c r="BM255" s="326">
        <v>0</v>
      </c>
      <c r="BN255" s="326">
        <v>0</v>
      </c>
      <c r="BO255" s="326">
        <v>0</v>
      </c>
      <c r="BP255" s="326">
        <v>0</v>
      </c>
      <c r="BQ255" s="326">
        <v>0</v>
      </c>
      <c r="BR255" s="326">
        <v>0</v>
      </c>
      <c r="BS255" s="326">
        <v>0</v>
      </c>
      <c r="BT255" s="326">
        <v>0</v>
      </c>
      <c r="BU255" s="326">
        <v>0</v>
      </c>
      <c r="BV255" s="326">
        <v>0</v>
      </c>
      <c r="BW255" s="326">
        <v>0</v>
      </c>
      <c r="BX255" s="326">
        <v>0</v>
      </c>
      <c r="BY255" s="326">
        <v>0</v>
      </c>
    </row>
    <row r="256" spans="2:77">
      <c r="B256" s="324" t="s">
        <v>86</v>
      </c>
      <c r="D256" s="320">
        <f t="shared" ref="D256:D288" si="161">SUM(E256:AN256)</f>
        <v>0</v>
      </c>
      <c r="E256" s="319">
        <f t="shared" si="126"/>
        <v>0</v>
      </c>
      <c r="F256" s="319">
        <f t="shared" si="127"/>
        <v>0</v>
      </c>
      <c r="G256" s="319">
        <f t="shared" si="128"/>
        <v>0</v>
      </c>
      <c r="H256" s="319">
        <f t="shared" si="129"/>
        <v>0</v>
      </c>
      <c r="I256" s="319">
        <f t="shared" si="130"/>
        <v>0</v>
      </c>
      <c r="J256" s="319">
        <f t="shared" si="131"/>
        <v>0</v>
      </c>
      <c r="K256" s="319">
        <f t="shared" si="132"/>
        <v>0</v>
      </c>
      <c r="L256" s="319">
        <f t="shared" si="133"/>
        <v>0</v>
      </c>
      <c r="M256" s="319">
        <f t="shared" si="134"/>
        <v>0</v>
      </c>
      <c r="N256" s="319">
        <f t="shared" si="135"/>
        <v>0</v>
      </c>
      <c r="O256" s="319">
        <f t="shared" si="136"/>
        <v>0</v>
      </c>
      <c r="P256" s="319">
        <f t="shared" si="137"/>
        <v>0</v>
      </c>
      <c r="Q256" s="319">
        <f t="shared" si="138"/>
        <v>0</v>
      </c>
      <c r="R256" s="319">
        <f t="shared" si="139"/>
        <v>0</v>
      </c>
      <c r="S256" s="319">
        <f t="shared" si="140"/>
        <v>0</v>
      </c>
      <c r="T256" s="319">
        <f t="shared" si="141"/>
        <v>0</v>
      </c>
      <c r="U256" s="319">
        <f t="shared" si="142"/>
        <v>0</v>
      </c>
      <c r="V256" s="319">
        <f t="shared" si="143"/>
        <v>0</v>
      </c>
      <c r="W256" s="319">
        <f t="shared" si="144"/>
        <v>0</v>
      </c>
      <c r="X256" s="319">
        <f t="shared" si="145"/>
        <v>0</v>
      </c>
      <c r="Y256" s="319">
        <f t="shared" si="146"/>
        <v>0</v>
      </c>
      <c r="Z256" s="319">
        <f t="shared" si="147"/>
        <v>0</v>
      </c>
      <c r="AA256" s="319">
        <f t="shared" si="148"/>
        <v>0</v>
      </c>
      <c r="AB256" s="319">
        <f t="shared" si="149"/>
        <v>0</v>
      </c>
      <c r="AC256" s="319">
        <f t="shared" si="150"/>
        <v>0</v>
      </c>
      <c r="AD256" s="319">
        <f t="shared" si="151"/>
        <v>0</v>
      </c>
      <c r="AE256" s="319">
        <f t="shared" si="152"/>
        <v>0</v>
      </c>
      <c r="AF256" s="319">
        <f t="shared" si="153"/>
        <v>0</v>
      </c>
      <c r="AG256" s="319">
        <f t="shared" si="154"/>
        <v>0</v>
      </c>
      <c r="AH256" s="319">
        <f t="shared" si="155"/>
        <v>0</v>
      </c>
      <c r="AI256" s="319">
        <f t="shared" si="156"/>
        <v>0</v>
      </c>
      <c r="AJ256" s="319">
        <f t="shared" si="157"/>
        <v>0</v>
      </c>
      <c r="AK256" s="319">
        <f t="shared" si="158"/>
        <v>0</v>
      </c>
      <c r="AL256" s="319">
        <f t="shared" si="159"/>
        <v>0</v>
      </c>
      <c r="AM256" s="319">
        <f t="shared" si="160"/>
        <v>0</v>
      </c>
      <c r="AN256" s="319"/>
      <c r="AP256" s="266" t="s">
        <v>86</v>
      </c>
      <c r="AQ256" s="326">
        <v>0</v>
      </c>
      <c r="AR256" s="326">
        <v>0</v>
      </c>
      <c r="AS256" s="326">
        <v>0</v>
      </c>
      <c r="AT256" s="326">
        <v>0</v>
      </c>
      <c r="AU256" s="326">
        <v>0</v>
      </c>
      <c r="AV256" s="326">
        <v>0</v>
      </c>
      <c r="AW256" s="326">
        <v>0</v>
      </c>
      <c r="AX256" s="326">
        <v>0</v>
      </c>
      <c r="AY256" s="326">
        <v>0</v>
      </c>
      <c r="AZ256" s="326">
        <v>0</v>
      </c>
      <c r="BA256" s="326">
        <v>0</v>
      </c>
      <c r="BB256" s="326">
        <v>0</v>
      </c>
      <c r="BC256" s="326">
        <v>0</v>
      </c>
      <c r="BD256" s="326">
        <v>0</v>
      </c>
      <c r="BE256" s="326">
        <v>0</v>
      </c>
      <c r="BF256" s="326">
        <v>0</v>
      </c>
      <c r="BG256" s="326">
        <v>0</v>
      </c>
      <c r="BH256" s="326">
        <v>0</v>
      </c>
      <c r="BI256" s="326">
        <v>0</v>
      </c>
      <c r="BJ256" s="326">
        <v>0</v>
      </c>
      <c r="BK256" s="326">
        <v>0</v>
      </c>
      <c r="BL256" s="326">
        <v>0</v>
      </c>
      <c r="BM256" s="326">
        <v>0</v>
      </c>
      <c r="BN256" s="326">
        <v>0</v>
      </c>
      <c r="BO256" s="326">
        <v>0</v>
      </c>
      <c r="BP256" s="326">
        <v>0</v>
      </c>
      <c r="BQ256" s="326">
        <v>0</v>
      </c>
      <c r="BR256" s="326">
        <v>0</v>
      </c>
      <c r="BS256" s="326">
        <v>0</v>
      </c>
      <c r="BT256" s="326">
        <v>0</v>
      </c>
      <c r="BU256" s="326">
        <v>0</v>
      </c>
      <c r="BV256" s="326">
        <v>0</v>
      </c>
      <c r="BW256" s="326">
        <v>0</v>
      </c>
      <c r="BX256" s="326">
        <v>0</v>
      </c>
      <c r="BY256" s="326">
        <v>0</v>
      </c>
    </row>
    <row r="257" spans="2:83">
      <c r="B257" s="324" t="s">
        <v>92</v>
      </c>
      <c r="D257" s="320">
        <f t="shared" si="161"/>
        <v>0</v>
      </c>
      <c r="E257" s="319">
        <f t="shared" si="126"/>
        <v>0</v>
      </c>
      <c r="F257" s="319">
        <f t="shared" si="127"/>
        <v>0</v>
      </c>
      <c r="G257" s="319">
        <f t="shared" si="128"/>
        <v>0</v>
      </c>
      <c r="H257" s="319">
        <f t="shared" si="129"/>
        <v>0</v>
      </c>
      <c r="I257" s="319">
        <f t="shared" si="130"/>
        <v>0</v>
      </c>
      <c r="J257" s="319">
        <f t="shared" si="131"/>
        <v>0</v>
      </c>
      <c r="K257" s="319">
        <f t="shared" si="132"/>
        <v>0</v>
      </c>
      <c r="L257" s="319">
        <f t="shared" si="133"/>
        <v>0</v>
      </c>
      <c r="M257" s="319">
        <f t="shared" si="134"/>
        <v>0</v>
      </c>
      <c r="N257" s="319">
        <f t="shared" si="135"/>
        <v>0</v>
      </c>
      <c r="O257" s="319">
        <f t="shared" si="136"/>
        <v>0</v>
      </c>
      <c r="P257" s="319">
        <f t="shared" si="137"/>
        <v>0</v>
      </c>
      <c r="Q257" s="319">
        <f t="shared" si="138"/>
        <v>0</v>
      </c>
      <c r="R257" s="319">
        <f t="shared" si="139"/>
        <v>0</v>
      </c>
      <c r="S257" s="319">
        <f t="shared" si="140"/>
        <v>0</v>
      </c>
      <c r="T257" s="319">
        <f t="shared" si="141"/>
        <v>0</v>
      </c>
      <c r="U257" s="319">
        <f t="shared" si="142"/>
        <v>0</v>
      </c>
      <c r="V257" s="319">
        <f t="shared" si="143"/>
        <v>0</v>
      </c>
      <c r="W257" s="319">
        <f t="shared" si="144"/>
        <v>0</v>
      </c>
      <c r="X257" s="319">
        <f t="shared" si="145"/>
        <v>0</v>
      </c>
      <c r="Y257" s="319">
        <f t="shared" si="146"/>
        <v>0</v>
      </c>
      <c r="Z257" s="319">
        <f t="shared" si="147"/>
        <v>0</v>
      </c>
      <c r="AA257" s="319">
        <f t="shared" si="148"/>
        <v>0</v>
      </c>
      <c r="AB257" s="319">
        <f t="shared" si="149"/>
        <v>0</v>
      </c>
      <c r="AC257" s="319">
        <f t="shared" si="150"/>
        <v>0</v>
      </c>
      <c r="AD257" s="319">
        <f t="shared" si="151"/>
        <v>0</v>
      </c>
      <c r="AE257" s="319">
        <f t="shared" si="152"/>
        <v>0</v>
      </c>
      <c r="AF257" s="319">
        <f t="shared" si="153"/>
        <v>0</v>
      </c>
      <c r="AG257" s="319">
        <f t="shared" si="154"/>
        <v>0</v>
      </c>
      <c r="AH257" s="319">
        <f t="shared" si="155"/>
        <v>0</v>
      </c>
      <c r="AI257" s="319">
        <f t="shared" si="156"/>
        <v>0</v>
      </c>
      <c r="AJ257" s="319">
        <f t="shared" si="157"/>
        <v>0</v>
      </c>
      <c r="AK257" s="319">
        <f t="shared" si="158"/>
        <v>0</v>
      </c>
      <c r="AL257" s="319">
        <f t="shared" si="159"/>
        <v>0</v>
      </c>
      <c r="AM257" s="319">
        <f t="shared" si="160"/>
        <v>0</v>
      </c>
      <c r="AN257" s="319"/>
      <c r="AP257" s="266" t="s">
        <v>92</v>
      </c>
      <c r="AQ257" s="326">
        <v>6.6667000000000004E-2</v>
      </c>
      <c r="AR257" s="326">
        <v>0</v>
      </c>
      <c r="AS257" s="326">
        <v>0</v>
      </c>
      <c r="AT257" s="326">
        <v>0</v>
      </c>
      <c r="AU257" s="326">
        <v>0</v>
      </c>
      <c r="AV257" s="326">
        <v>0</v>
      </c>
      <c r="AW257" s="326">
        <v>0</v>
      </c>
      <c r="AX257" s="326">
        <v>0</v>
      </c>
      <c r="AY257" s="326">
        <v>0</v>
      </c>
      <c r="AZ257" s="326">
        <v>0</v>
      </c>
      <c r="BA257" s="326">
        <v>0</v>
      </c>
      <c r="BB257" s="326">
        <v>0</v>
      </c>
      <c r="BC257" s="326">
        <v>0</v>
      </c>
      <c r="BD257" s="326">
        <v>0</v>
      </c>
      <c r="BE257" s="326">
        <v>0</v>
      </c>
      <c r="BF257" s="326">
        <v>0</v>
      </c>
      <c r="BG257" s="326">
        <v>0</v>
      </c>
      <c r="BH257" s="326">
        <v>0</v>
      </c>
      <c r="BI257" s="326">
        <v>0</v>
      </c>
      <c r="BJ257" s="326">
        <v>0</v>
      </c>
      <c r="BK257" s="326">
        <v>0</v>
      </c>
      <c r="BL257" s="326">
        <v>0</v>
      </c>
      <c r="BM257" s="326">
        <v>0</v>
      </c>
      <c r="BN257" s="326">
        <v>0</v>
      </c>
      <c r="BO257" s="326">
        <v>0</v>
      </c>
      <c r="BP257" s="326">
        <v>0</v>
      </c>
      <c r="BQ257" s="326">
        <v>0</v>
      </c>
      <c r="BR257" s="326">
        <v>0</v>
      </c>
      <c r="BS257" s="326">
        <v>0</v>
      </c>
      <c r="BT257" s="326">
        <v>0</v>
      </c>
      <c r="BU257" s="326">
        <v>0</v>
      </c>
      <c r="BV257" s="326">
        <v>0</v>
      </c>
      <c r="BW257" s="326">
        <v>0</v>
      </c>
      <c r="BX257" s="326">
        <v>0</v>
      </c>
      <c r="BY257" s="326">
        <v>0</v>
      </c>
    </row>
    <row r="258" spans="2:83">
      <c r="B258" s="324" t="s">
        <v>93</v>
      </c>
      <c r="D258" s="320">
        <f t="shared" si="161"/>
        <v>815.28991441746791</v>
      </c>
      <c r="E258" s="319">
        <f t="shared" si="126"/>
        <v>0</v>
      </c>
      <c r="F258" s="319">
        <f t="shared" si="127"/>
        <v>815.28991441746791</v>
      </c>
      <c r="G258" s="319">
        <f t="shared" si="128"/>
        <v>0</v>
      </c>
      <c r="H258" s="319">
        <f t="shared" si="129"/>
        <v>0</v>
      </c>
      <c r="I258" s="319">
        <f t="shared" si="130"/>
        <v>0</v>
      </c>
      <c r="J258" s="319">
        <f t="shared" si="131"/>
        <v>0</v>
      </c>
      <c r="K258" s="319">
        <f t="shared" si="132"/>
        <v>0</v>
      </c>
      <c r="L258" s="319">
        <f t="shared" si="133"/>
        <v>0</v>
      </c>
      <c r="M258" s="319">
        <f t="shared" si="134"/>
        <v>0</v>
      </c>
      <c r="N258" s="319">
        <f t="shared" si="135"/>
        <v>0</v>
      </c>
      <c r="O258" s="319">
        <f t="shared" si="136"/>
        <v>0</v>
      </c>
      <c r="P258" s="319">
        <f t="shared" si="137"/>
        <v>0</v>
      </c>
      <c r="Q258" s="319">
        <f t="shared" si="138"/>
        <v>0</v>
      </c>
      <c r="R258" s="319">
        <f t="shared" si="139"/>
        <v>0</v>
      </c>
      <c r="S258" s="319">
        <f t="shared" si="140"/>
        <v>0</v>
      </c>
      <c r="T258" s="319">
        <f t="shared" si="141"/>
        <v>0</v>
      </c>
      <c r="U258" s="319">
        <f t="shared" si="142"/>
        <v>0</v>
      </c>
      <c r="V258" s="319">
        <f t="shared" si="143"/>
        <v>0</v>
      </c>
      <c r="W258" s="319">
        <f t="shared" si="144"/>
        <v>0</v>
      </c>
      <c r="X258" s="319">
        <f t="shared" si="145"/>
        <v>0</v>
      </c>
      <c r="Y258" s="319">
        <f t="shared" si="146"/>
        <v>0</v>
      </c>
      <c r="Z258" s="319">
        <f t="shared" si="147"/>
        <v>0</v>
      </c>
      <c r="AA258" s="319">
        <f t="shared" si="148"/>
        <v>0</v>
      </c>
      <c r="AB258" s="319">
        <f t="shared" si="149"/>
        <v>0</v>
      </c>
      <c r="AC258" s="319">
        <f t="shared" si="150"/>
        <v>0</v>
      </c>
      <c r="AD258" s="319">
        <f t="shared" si="151"/>
        <v>0</v>
      </c>
      <c r="AE258" s="319">
        <f t="shared" si="152"/>
        <v>0</v>
      </c>
      <c r="AF258" s="319">
        <f t="shared" si="153"/>
        <v>0</v>
      </c>
      <c r="AG258" s="319">
        <f t="shared" si="154"/>
        <v>0</v>
      </c>
      <c r="AH258" s="319">
        <f t="shared" si="155"/>
        <v>0</v>
      </c>
      <c r="AI258" s="319">
        <f t="shared" si="156"/>
        <v>0</v>
      </c>
      <c r="AJ258" s="319">
        <f t="shared" si="157"/>
        <v>0</v>
      </c>
      <c r="AK258" s="319">
        <f t="shared" si="158"/>
        <v>0</v>
      </c>
      <c r="AL258" s="319">
        <f t="shared" si="159"/>
        <v>0</v>
      </c>
      <c r="AM258" s="319">
        <f t="shared" si="160"/>
        <v>0</v>
      </c>
      <c r="AN258" s="319"/>
      <c r="AP258" s="266" t="s">
        <v>93</v>
      </c>
      <c r="AQ258" s="326">
        <v>6.6667000000000004E-2</v>
      </c>
      <c r="AR258" s="326">
        <v>6.6667000000000004E-2</v>
      </c>
      <c r="AS258" s="326">
        <v>0</v>
      </c>
      <c r="AT258" s="326">
        <v>0</v>
      </c>
      <c r="AU258" s="326">
        <v>0</v>
      </c>
      <c r="AV258" s="326">
        <v>0</v>
      </c>
      <c r="AW258" s="326">
        <v>0</v>
      </c>
      <c r="AX258" s="326">
        <v>0</v>
      </c>
      <c r="AY258" s="326">
        <v>0</v>
      </c>
      <c r="AZ258" s="326">
        <v>0</v>
      </c>
      <c r="BA258" s="326">
        <v>0</v>
      </c>
      <c r="BB258" s="326">
        <v>0</v>
      </c>
      <c r="BC258" s="326">
        <v>0</v>
      </c>
      <c r="BD258" s="326">
        <v>0</v>
      </c>
      <c r="BE258" s="326">
        <v>0</v>
      </c>
      <c r="BF258" s="326">
        <v>0</v>
      </c>
      <c r="BG258" s="326">
        <v>0</v>
      </c>
      <c r="BH258" s="326">
        <v>0</v>
      </c>
      <c r="BI258" s="326">
        <v>0</v>
      </c>
      <c r="BJ258" s="326">
        <v>0</v>
      </c>
      <c r="BK258" s="326">
        <v>0</v>
      </c>
      <c r="BL258" s="326">
        <v>0</v>
      </c>
      <c r="BM258" s="326">
        <v>0</v>
      </c>
      <c r="BN258" s="326">
        <v>0</v>
      </c>
      <c r="BO258" s="326">
        <v>0</v>
      </c>
      <c r="BP258" s="326">
        <v>0</v>
      </c>
      <c r="BQ258" s="326">
        <v>0</v>
      </c>
      <c r="BR258" s="326">
        <v>0</v>
      </c>
      <c r="BS258" s="326">
        <v>0</v>
      </c>
      <c r="BT258" s="326">
        <v>0</v>
      </c>
      <c r="BU258" s="326">
        <v>0</v>
      </c>
      <c r="BV258" s="326">
        <v>0</v>
      </c>
      <c r="BW258" s="326">
        <v>0</v>
      </c>
      <c r="BX258" s="326">
        <v>0</v>
      </c>
      <c r="BY258" s="326">
        <v>0</v>
      </c>
    </row>
    <row r="259" spans="2:83">
      <c r="B259" s="324" t="s">
        <v>94</v>
      </c>
      <c r="D259" s="320">
        <f t="shared" si="161"/>
        <v>815.28991441746791</v>
      </c>
      <c r="E259" s="319">
        <f t="shared" si="126"/>
        <v>0</v>
      </c>
      <c r="F259" s="319">
        <f t="shared" si="127"/>
        <v>815.28991441746791</v>
      </c>
      <c r="G259" s="319">
        <f t="shared" si="128"/>
        <v>0</v>
      </c>
      <c r="H259" s="319">
        <f t="shared" si="129"/>
        <v>0</v>
      </c>
      <c r="I259" s="319">
        <f t="shared" si="130"/>
        <v>0</v>
      </c>
      <c r="J259" s="319">
        <f t="shared" si="131"/>
        <v>0</v>
      </c>
      <c r="K259" s="319">
        <f t="shared" si="132"/>
        <v>0</v>
      </c>
      <c r="L259" s="319">
        <f t="shared" si="133"/>
        <v>0</v>
      </c>
      <c r="M259" s="319">
        <f t="shared" si="134"/>
        <v>0</v>
      </c>
      <c r="N259" s="319">
        <f t="shared" si="135"/>
        <v>0</v>
      </c>
      <c r="O259" s="319">
        <f t="shared" si="136"/>
        <v>0</v>
      </c>
      <c r="P259" s="319">
        <f t="shared" si="137"/>
        <v>0</v>
      </c>
      <c r="Q259" s="319">
        <f t="shared" si="138"/>
        <v>0</v>
      </c>
      <c r="R259" s="319">
        <f t="shared" si="139"/>
        <v>0</v>
      </c>
      <c r="S259" s="319">
        <f t="shared" si="140"/>
        <v>0</v>
      </c>
      <c r="T259" s="319">
        <f t="shared" si="141"/>
        <v>0</v>
      </c>
      <c r="U259" s="319">
        <f t="shared" si="142"/>
        <v>0</v>
      </c>
      <c r="V259" s="319">
        <f t="shared" si="143"/>
        <v>0</v>
      </c>
      <c r="W259" s="319">
        <f t="shared" si="144"/>
        <v>0</v>
      </c>
      <c r="X259" s="319">
        <f t="shared" si="145"/>
        <v>0</v>
      </c>
      <c r="Y259" s="319">
        <f t="shared" si="146"/>
        <v>0</v>
      </c>
      <c r="Z259" s="319">
        <f t="shared" si="147"/>
        <v>0</v>
      </c>
      <c r="AA259" s="319">
        <f t="shared" si="148"/>
        <v>0</v>
      </c>
      <c r="AB259" s="319">
        <f t="shared" si="149"/>
        <v>0</v>
      </c>
      <c r="AC259" s="319">
        <f t="shared" si="150"/>
        <v>0</v>
      </c>
      <c r="AD259" s="319">
        <f t="shared" si="151"/>
        <v>0</v>
      </c>
      <c r="AE259" s="319">
        <f t="shared" si="152"/>
        <v>0</v>
      </c>
      <c r="AF259" s="319">
        <f t="shared" si="153"/>
        <v>0</v>
      </c>
      <c r="AG259" s="319">
        <f t="shared" si="154"/>
        <v>0</v>
      </c>
      <c r="AH259" s="319">
        <f t="shared" si="155"/>
        <v>0</v>
      </c>
      <c r="AI259" s="319">
        <f t="shared" si="156"/>
        <v>0</v>
      </c>
      <c r="AJ259" s="319">
        <f t="shared" si="157"/>
        <v>0</v>
      </c>
      <c r="AK259" s="319">
        <f t="shared" si="158"/>
        <v>0</v>
      </c>
      <c r="AL259" s="319">
        <f t="shared" si="159"/>
        <v>0</v>
      </c>
      <c r="AM259" s="319">
        <f t="shared" si="160"/>
        <v>0</v>
      </c>
      <c r="AN259" s="319"/>
      <c r="AP259" s="266" t="s">
        <v>94</v>
      </c>
      <c r="AQ259" s="326">
        <v>6.6667000000000004E-2</v>
      </c>
      <c r="AR259" s="326">
        <v>6.6667000000000004E-2</v>
      </c>
      <c r="AS259" s="326">
        <v>6.6667000000000004E-2</v>
      </c>
      <c r="AT259" s="326">
        <v>0</v>
      </c>
      <c r="AU259" s="326">
        <v>0</v>
      </c>
      <c r="AV259" s="326">
        <v>0</v>
      </c>
      <c r="AW259" s="326">
        <v>0</v>
      </c>
      <c r="AX259" s="326">
        <v>0</v>
      </c>
      <c r="AY259" s="326">
        <v>0</v>
      </c>
      <c r="AZ259" s="326">
        <v>0</v>
      </c>
      <c r="BA259" s="326">
        <v>0</v>
      </c>
      <c r="BB259" s="326">
        <v>0</v>
      </c>
      <c r="BC259" s="326">
        <v>0</v>
      </c>
      <c r="BD259" s="326">
        <v>0</v>
      </c>
      <c r="BE259" s="326">
        <v>0</v>
      </c>
      <c r="BF259" s="326">
        <v>0</v>
      </c>
      <c r="BG259" s="326">
        <v>0</v>
      </c>
      <c r="BH259" s="326">
        <v>0</v>
      </c>
      <c r="BI259" s="326">
        <v>0</v>
      </c>
      <c r="BJ259" s="326">
        <v>0</v>
      </c>
      <c r="BK259" s="326">
        <v>0</v>
      </c>
      <c r="BL259" s="326">
        <v>0</v>
      </c>
      <c r="BM259" s="326">
        <v>0</v>
      </c>
      <c r="BN259" s="326">
        <v>0</v>
      </c>
      <c r="BO259" s="326">
        <v>0</v>
      </c>
      <c r="BP259" s="326">
        <v>0</v>
      </c>
      <c r="BQ259" s="326">
        <v>0</v>
      </c>
      <c r="BR259" s="326">
        <v>0</v>
      </c>
      <c r="BS259" s="326">
        <v>0</v>
      </c>
      <c r="BT259" s="326">
        <v>0</v>
      </c>
      <c r="BU259" s="326">
        <v>0</v>
      </c>
      <c r="BV259" s="326">
        <v>0</v>
      </c>
      <c r="BW259" s="326">
        <v>0</v>
      </c>
      <c r="BX259" s="326">
        <v>0</v>
      </c>
      <c r="BY259" s="326">
        <v>0</v>
      </c>
    </row>
    <row r="260" spans="2:83">
      <c r="B260" s="324" t="s">
        <v>95</v>
      </c>
      <c r="D260" s="320">
        <f t="shared" si="161"/>
        <v>815.28991441746791</v>
      </c>
      <c r="E260" s="319">
        <f t="shared" si="126"/>
        <v>0</v>
      </c>
      <c r="F260" s="319">
        <f t="shared" si="127"/>
        <v>815.28991441746791</v>
      </c>
      <c r="G260" s="319">
        <f t="shared" si="128"/>
        <v>0</v>
      </c>
      <c r="H260" s="319">
        <f t="shared" si="129"/>
        <v>0</v>
      </c>
      <c r="I260" s="319">
        <f t="shared" si="130"/>
        <v>0</v>
      </c>
      <c r="J260" s="319">
        <f t="shared" si="131"/>
        <v>0</v>
      </c>
      <c r="K260" s="319">
        <f t="shared" si="132"/>
        <v>0</v>
      </c>
      <c r="L260" s="319">
        <f t="shared" si="133"/>
        <v>0</v>
      </c>
      <c r="M260" s="319">
        <f t="shared" si="134"/>
        <v>0</v>
      </c>
      <c r="N260" s="319">
        <f t="shared" si="135"/>
        <v>0</v>
      </c>
      <c r="O260" s="319">
        <f t="shared" si="136"/>
        <v>0</v>
      </c>
      <c r="P260" s="319">
        <f t="shared" si="137"/>
        <v>0</v>
      </c>
      <c r="Q260" s="319">
        <f t="shared" si="138"/>
        <v>0</v>
      </c>
      <c r="R260" s="319">
        <f t="shared" si="139"/>
        <v>0</v>
      </c>
      <c r="S260" s="319">
        <f t="shared" si="140"/>
        <v>0</v>
      </c>
      <c r="T260" s="319">
        <f t="shared" si="141"/>
        <v>0</v>
      </c>
      <c r="U260" s="319">
        <f t="shared" si="142"/>
        <v>0</v>
      </c>
      <c r="V260" s="319">
        <f t="shared" si="143"/>
        <v>0</v>
      </c>
      <c r="W260" s="319">
        <f t="shared" si="144"/>
        <v>0</v>
      </c>
      <c r="X260" s="319">
        <f t="shared" si="145"/>
        <v>0</v>
      </c>
      <c r="Y260" s="319">
        <f t="shared" si="146"/>
        <v>0</v>
      </c>
      <c r="Z260" s="319">
        <f t="shared" si="147"/>
        <v>0</v>
      </c>
      <c r="AA260" s="319">
        <f t="shared" si="148"/>
        <v>0</v>
      </c>
      <c r="AB260" s="319">
        <f t="shared" si="149"/>
        <v>0</v>
      </c>
      <c r="AC260" s="319">
        <f t="shared" si="150"/>
        <v>0</v>
      </c>
      <c r="AD260" s="319">
        <f t="shared" si="151"/>
        <v>0</v>
      </c>
      <c r="AE260" s="319">
        <f t="shared" si="152"/>
        <v>0</v>
      </c>
      <c r="AF260" s="319">
        <f t="shared" si="153"/>
        <v>0</v>
      </c>
      <c r="AG260" s="319">
        <f t="shared" si="154"/>
        <v>0</v>
      </c>
      <c r="AH260" s="319">
        <f t="shared" si="155"/>
        <v>0</v>
      </c>
      <c r="AI260" s="319">
        <f t="shared" si="156"/>
        <v>0</v>
      </c>
      <c r="AJ260" s="319">
        <f t="shared" si="157"/>
        <v>0</v>
      </c>
      <c r="AK260" s="319">
        <f t="shared" si="158"/>
        <v>0</v>
      </c>
      <c r="AL260" s="319">
        <f t="shared" si="159"/>
        <v>0</v>
      </c>
      <c r="AM260" s="319">
        <f t="shared" si="160"/>
        <v>0</v>
      </c>
      <c r="AN260" s="319"/>
      <c r="AP260" s="266" t="s">
        <v>95</v>
      </c>
      <c r="AQ260" s="326">
        <v>6.6667000000000004E-2</v>
      </c>
      <c r="AR260" s="326">
        <v>6.6667000000000004E-2</v>
      </c>
      <c r="AS260" s="326">
        <v>6.6667000000000004E-2</v>
      </c>
      <c r="AT260" s="326">
        <v>6.6667000000000004E-2</v>
      </c>
      <c r="AU260" s="326">
        <v>0</v>
      </c>
      <c r="AV260" s="326">
        <v>0</v>
      </c>
      <c r="AW260" s="326">
        <v>0</v>
      </c>
      <c r="AX260" s="326">
        <v>0</v>
      </c>
      <c r="AY260" s="326">
        <v>0</v>
      </c>
      <c r="AZ260" s="326">
        <v>0</v>
      </c>
      <c r="BA260" s="326">
        <v>0</v>
      </c>
      <c r="BB260" s="326">
        <v>0</v>
      </c>
      <c r="BC260" s="326">
        <v>0</v>
      </c>
      <c r="BD260" s="326">
        <v>0</v>
      </c>
      <c r="BE260" s="326">
        <v>0</v>
      </c>
      <c r="BF260" s="326">
        <v>0</v>
      </c>
      <c r="BG260" s="326">
        <v>0</v>
      </c>
      <c r="BH260" s="326">
        <v>0</v>
      </c>
      <c r="BI260" s="326">
        <v>0</v>
      </c>
      <c r="BJ260" s="326">
        <v>0</v>
      </c>
      <c r="BK260" s="326">
        <v>0</v>
      </c>
      <c r="BL260" s="326">
        <v>0</v>
      </c>
      <c r="BM260" s="326">
        <v>0</v>
      </c>
      <c r="BN260" s="326">
        <v>0</v>
      </c>
      <c r="BO260" s="326">
        <v>0</v>
      </c>
      <c r="BP260" s="326">
        <v>0</v>
      </c>
      <c r="BQ260" s="326">
        <v>0</v>
      </c>
      <c r="BR260" s="326">
        <v>0</v>
      </c>
      <c r="BS260" s="326">
        <v>0</v>
      </c>
      <c r="BT260" s="326">
        <v>0</v>
      </c>
      <c r="BU260" s="326">
        <v>0</v>
      </c>
      <c r="BV260" s="326">
        <v>0</v>
      </c>
      <c r="BW260" s="326">
        <v>0</v>
      </c>
      <c r="BX260" s="326">
        <v>0</v>
      </c>
      <c r="BY260" s="326">
        <v>0</v>
      </c>
    </row>
    <row r="261" spans="2:83">
      <c r="B261" s="324" t="s">
        <v>96</v>
      </c>
      <c r="D261" s="320">
        <f t="shared" si="161"/>
        <v>815.28991441746791</v>
      </c>
      <c r="E261" s="319">
        <f t="shared" si="126"/>
        <v>0</v>
      </c>
      <c r="F261" s="319">
        <f t="shared" si="127"/>
        <v>815.28991441746791</v>
      </c>
      <c r="G261" s="319">
        <f t="shared" si="128"/>
        <v>0</v>
      </c>
      <c r="H261" s="319">
        <f t="shared" si="129"/>
        <v>0</v>
      </c>
      <c r="I261" s="319">
        <f t="shared" si="130"/>
        <v>0</v>
      </c>
      <c r="J261" s="319">
        <f t="shared" si="131"/>
        <v>0</v>
      </c>
      <c r="K261" s="319">
        <f t="shared" si="132"/>
        <v>0</v>
      </c>
      <c r="L261" s="319">
        <f t="shared" si="133"/>
        <v>0</v>
      </c>
      <c r="M261" s="319">
        <f t="shared" si="134"/>
        <v>0</v>
      </c>
      <c r="N261" s="319">
        <f t="shared" si="135"/>
        <v>0</v>
      </c>
      <c r="O261" s="319">
        <f t="shared" si="136"/>
        <v>0</v>
      </c>
      <c r="P261" s="319">
        <f t="shared" si="137"/>
        <v>0</v>
      </c>
      <c r="Q261" s="319">
        <f t="shared" si="138"/>
        <v>0</v>
      </c>
      <c r="R261" s="319">
        <f t="shared" si="139"/>
        <v>0</v>
      </c>
      <c r="S261" s="319">
        <f t="shared" si="140"/>
        <v>0</v>
      </c>
      <c r="T261" s="319">
        <f t="shared" si="141"/>
        <v>0</v>
      </c>
      <c r="U261" s="319">
        <f t="shared" si="142"/>
        <v>0</v>
      </c>
      <c r="V261" s="319">
        <f t="shared" si="143"/>
        <v>0</v>
      </c>
      <c r="W261" s="319">
        <f t="shared" si="144"/>
        <v>0</v>
      </c>
      <c r="X261" s="319">
        <f t="shared" si="145"/>
        <v>0</v>
      </c>
      <c r="Y261" s="319">
        <f t="shared" si="146"/>
        <v>0</v>
      </c>
      <c r="Z261" s="319">
        <f t="shared" si="147"/>
        <v>0</v>
      </c>
      <c r="AA261" s="319">
        <f t="shared" si="148"/>
        <v>0</v>
      </c>
      <c r="AB261" s="319">
        <f t="shared" si="149"/>
        <v>0</v>
      </c>
      <c r="AC261" s="319">
        <f t="shared" si="150"/>
        <v>0</v>
      </c>
      <c r="AD261" s="319">
        <f t="shared" si="151"/>
        <v>0</v>
      </c>
      <c r="AE261" s="319">
        <f t="shared" si="152"/>
        <v>0</v>
      </c>
      <c r="AF261" s="319">
        <f t="shared" si="153"/>
        <v>0</v>
      </c>
      <c r="AG261" s="319">
        <f t="shared" si="154"/>
        <v>0</v>
      </c>
      <c r="AH261" s="319">
        <f t="shared" si="155"/>
        <v>0</v>
      </c>
      <c r="AI261" s="319">
        <f t="shared" si="156"/>
        <v>0</v>
      </c>
      <c r="AJ261" s="319">
        <f t="shared" si="157"/>
        <v>0</v>
      </c>
      <c r="AK261" s="319">
        <f t="shared" si="158"/>
        <v>0</v>
      </c>
      <c r="AL261" s="319">
        <f t="shared" si="159"/>
        <v>0</v>
      </c>
      <c r="AM261" s="319">
        <f t="shared" si="160"/>
        <v>0</v>
      </c>
      <c r="AN261" s="319"/>
      <c r="AP261" s="266" t="s">
        <v>96</v>
      </c>
      <c r="AQ261" s="326">
        <v>6.6667000000000004E-2</v>
      </c>
      <c r="AR261" s="326">
        <v>6.6667000000000004E-2</v>
      </c>
      <c r="AS261" s="326">
        <v>6.6667000000000004E-2</v>
      </c>
      <c r="AT261" s="326">
        <v>6.6667000000000004E-2</v>
      </c>
      <c r="AU261" s="326">
        <v>6.6667000000000004E-2</v>
      </c>
      <c r="AV261" s="326">
        <v>0</v>
      </c>
      <c r="AW261" s="326">
        <v>0</v>
      </c>
      <c r="AX261" s="326">
        <v>0</v>
      </c>
      <c r="AY261" s="326">
        <v>0</v>
      </c>
      <c r="AZ261" s="326">
        <v>0</v>
      </c>
      <c r="BA261" s="326">
        <v>0</v>
      </c>
      <c r="BB261" s="326">
        <v>0</v>
      </c>
      <c r="BC261" s="326">
        <v>0</v>
      </c>
      <c r="BD261" s="326">
        <v>0</v>
      </c>
      <c r="BE261" s="326">
        <v>0</v>
      </c>
      <c r="BF261" s="326">
        <v>0</v>
      </c>
      <c r="BG261" s="326">
        <v>0</v>
      </c>
      <c r="BH261" s="326">
        <v>0</v>
      </c>
      <c r="BI261" s="326">
        <v>0</v>
      </c>
      <c r="BJ261" s="326">
        <v>0</v>
      </c>
      <c r="BK261" s="326">
        <v>0</v>
      </c>
      <c r="BL261" s="326">
        <v>0</v>
      </c>
      <c r="BM261" s="326">
        <v>0</v>
      </c>
      <c r="BN261" s="326">
        <v>0</v>
      </c>
      <c r="BO261" s="326">
        <v>0</v>
      </c>
      <c r="BP261" s="326">
        <v>0</v>
      </c>
      <c r="BQ261" s="326">
        <v>0</v>
      </c>
      <c r="BR261" s="326">
        <v>0</v>
      </c>
      <c r="BS261" s="326">
        <v>0</v>
      </c>
      <c r="BT261" s="326">
        <v>0</v>
      </c>
      <c r="BU261" s="326">
        <v>0</v>
      </c>
      <c r="BV261" s="326">
        <v>0</v>
      </c>
      <c r="BW261" s="326">
        <v>0</v>
      </c>
      <c r="BX261" s="326">
        <v>0</v>
      </c>
      <c r="BY261" s="326">
        <v>0</v>
      </c>
    </row>
    <row r="262" spans="2:83">
      <c r="B262" s="324" t="s">
        <v>97</v>
      </c>
      <c r="D262" s="320">
        <f t="shared" si="161"/>
        <v>815.28991441746791</v>
      </c>
      <c r="E262" s="319">
        <f t="shared" si="126"/>
        <v>0</v>
      </c>
      <c r="F262" s="319">
        <f t="shared" si="127"/>
        <v>815.28991441746791</v>
      </c>
      <c r="G262" s="319">
        <f t="shared" si="128"/>
        <v>0</v>
      </c>
      <c r="H262" s="319">
        <f t="shared" si="129"/>
        <v>0</v>
      </c>
      <c r="I262" s="319">
        <f t="shared" si="130"/>
        <v>0</v>
      </c>
      <c r="J262" s="319">
        <f t="shared" si="131"/>
        <v>0</v>
      </c>
      <c r="K262" s="319">
        <f t="shared" si="132"/>
        <v>0</v>
      </c>
      <c r="L262" s="319">
        <f t="shared" si="133"/>
        <v>0</v>
      </c>
      <c r="M262" s="319">
        <f t="shared" si="134"/>
        <v>0</v>
      </c>
      <c r="N262" s="319">
        <f t="shared" si="135"/>
        <v>0</v>
      </c>
      <c r="O262" s="319">
        <f t="shared" si="136"/>
        <v>0</v>
      </c>
      <c r="P262" s="319">
        <f t="shared" si="137"/>
        <v>0</v>
      </c>
      <c r="Q262" s="319">
        <f t="shared" si="138"/>
        <v>0</v>
      </c>
      <c r="R262" s="319">
        <f t="shared" si="139"/>
        <v>0</v>
      </c>
      <c r="S262" s="319">
        <f t="shared" si="140"/>
        <v>0</v>
      </c>
      <c r="T262" s="319">
        <f t="shared" si="141"/>
        <v>0</v>
      </c>
      <c r="U262" s="319">
        <f t="shared" si="142"/>
        <v>0</v>
      </c>
      <c r="V262" s="319">
        <f t="shared" si="143"/>
        <v>0</v>
      </c>
      <c r="W262" s="319">
        <f t="shared" si="144"/>
        <v>0</v>
      </c>
      <c r="X262" s="319">
        <f t="shared" si="145"/>
        <v>0</v>
      </c>
      <c r="Y262" s="319">
        <f t="shared" si="146"/>
        <v>0</v>
      </c>
      <c r="Z262" s="319">
        <f t="shared" si="147"/>
        <v>0</v>
      </c>
      <c r="AA262" s="319">
        <f t="shared" si="148"/>
        <v>0</v>
      </c>
      <c r="AB262" s="319">
        <f t="shared" si="149"/>
        <v>0</v>
      </c>
      <c r="AC262" s="319">
        <f t="shared" si="150"/>
        <v>0</v>
      </c>
      <c r="AD262" s="319">
        <f t="shared" si="151"/>
        <v>0</v>
      </c>
      <c r="AE262" s="319">
        <f t="shared" si="152"/>
        <v>0</v>
      </c>
      <c r="AF262" s="319">
        <f t="shared" si="153"/>
        <v>0</v>
      </c>
      <c r="AG262" s="319">
        <f t="shared" si="154"/>
        <v>0</v>
      </c>
      <c r="AH262" s="319">
        <f t="shared" si="155"/>
        <v>0</v>
      </c>
      <c r="AI262" s="319">
        <f t="shared" si="156"/>
        <v>0</v>
      </c>
      <c r="AJ262" s="319">
        <f t="shared" si="157"/>
        <v>0</v>
      </c>
      <c r="AK262" s="319">
        <f t="shared" si="158"/>
        <v>0</v>
      </c>
      <c r="AL262" s="319">
        <f t="shared" si="159"/>
        <v>0</v>
      </c>
      <c r="AM262" s="319">
        <f t="shared" si="160"/>
        <v>0</v>
      </c>
      <c r="AN262" s="319"/>
      <c r="AP262" s="266" t="s">
        <v>97</v>
      </c>
      <c r="AQ262" s="326">
        <v>6.6667000000000004E-2</v>
      </c>
      <c r="AR262" s="326">
        <v>6.6667000000000004E-2</v>
      </c>
      <c r="AS262" s="326">
        <v>6.6667000000000004E-2</v>
      </c>
      <c r="AT262" s="326">
        <v>6.6667000000000004E-2</v>
      </c>
      <c r="AU262" s="326">
        <v>6.6667000000000004E-2</v>
      </c>
      <c r="AV262" s="326">
        <v>6.6667000000000004E-2</v>
      </c>
      <c r="AW262" s="326">
        <v>0</v>
      </c>
      <c r="AX262" s="326">
        <v>0</v>
      </c>
      <c r="AY262" s="326">
        <v>0</v>
      </c>
      <c r="AZ262" s="326">
        <v>0</v>
      </c>
      <c r="BA262" s="326">
        <v>0</v>
      </c>
      <c r="BB262" s="326">
        <v>0</v>
      </c>
      <c r="BC262" s="326">
        <v>0</v>
      </c>
      <c r="BD262" s="326">
        <v>0</v>
      </c>
      <c r="BE262" s="326">
        <v>0</v>
      </c>
      <c r="BF262" s="326">
        <v>0</v>
      </c>
      <c r="BG262" s="326">
        <v>0</v>
      </c>
      <c r="BH262" s="326">
        <v>0</v>
      </c>
      <c r="BI262" s="326">
        <v>0</v>
      </c>
      <c r="BJ262" s="326">
        <v>0</v>
      </c>
      <c r="BK262" s="326">
        <v>0</v>
      </c>
      <c r="BL262" s="326">
        <v>0</v>
      </c>
      <c r="BM262" s="326">
        <v>0</v>
      </c>
      <c r="BN262" s="326">
        <v>0</v>
      </c>
      <c r="BO262" s="326">
        <v>0</v>
      </c>
      <c r="BP262" s="326">
        <v>0</v>
      </c>
      <c r="BQ262" s="326">
        <v>0</v>
      </c>
      <c r="BR262" s="326">
        <v>0</v>
      </c>
      <c r="BS262" s="326">
        <v>0</v>
      </c>
      <c r="BT262" s="326">
        <v>0</v>
      </c>
      <c r="BU262" s="326">
        <v>0</v>
      </c>
      <c r="BV262" s="326">
        <v>0</v>
      </c>
      <c r="BW262" s="326">
        <v>0</v>
      </c>
      <c r="BX262" s="326">
        <v>0</v>
      </c>
      <c r="BY262" s="326">
        <v>0</v>
      </c>
    </row>
    <row r="263" spans="2:83">
      <c r="B263" s="324" t="s">
        <v>98</v>
      </c>
      <c r="D263" s="320">
        <f t="shared" si="161"/>
        <v>815.28991441746791</v>
      </c>
      <c r="E263" s="319">
        <f t="shared" si="126"/>
        <v>0</v>
      </c>
      <c r="F263" s="319">
        <f t="shared" si="127"/>
        <v>815.28991441746791</v>
      </c>
      <c r="G263" s="319">
        <f t="shared" si="128"/>
        <v>0</v>
      </c>
      <c r="H263" s="319">
        <f t="shared" si="129"/>
        <v>0</v>
      </c>
      <c r="I263" s="319">
        <f t="shared" si="130"/>
        <v>0</v>
      </c>
      <c r="J263" s="319">
        <f t="shared" si="131"/>
        <v>0</v>
      </c>
      <c r="K263" s="319">
        <f t="shared" si="132"/>
        <v>0</v>
      </c>
      <c r="L263" s="319">
        <f t="shared" si="133"/>
        <v>0</v>
      </c>
      <c r="M263" s="319">
        <f t="shared" si="134"/>
        <v>0</v>
      </c>
      <c r="N263" s="319">
        <f t="shared" si="135"/>
        <v>0</v>
      </c>
      <c r="O263" s="319">
        <f t="shared" si="136"/>
        <v>0</v>
      </c>
      <c r="P263" s="319">
        <f t="shared" si="137"/>
        <v>0</v>
      </c>
      <c r="Q263" s="319">
        <f t="shared" si="138"/>
        <v>0</v>
      </c>
      <c r="R263" s="319">
        <f t="shared" si="139"/>
        <v>0</v>
      </c>
      <c r="S263" s="319">
        <f t="shared" si="140"/>
        <v>0</v>
      </c>
      <c r="T263" s="319">
        <f t="shared" si="141"/>
        <v>0</v>
      </c>
      <c r="U263" s="319">
        <f t="shared" si="142"/>
        <v>0</v>
      </c>
      <c r="V263" s="319">
        <f t="shared" si="143"/>
        <v>0</v>
      </c>
      <c r="W263" s="319">
        <f t="shared" si="144"/>
        <v>0</v>
      </c>
      <c r="X263" s="319">
        <f t="shared" si="145"/>
        <v>0</v>
      </c>
      <c r="Y263" s="319">
        <f t="shared" si="146"/>
        <v>0</v>
      </c>
      <c r="Z263" s="319">
        <f t="shared" si="147"/>
        <v>0</v>
      </c>
      <c r="AA263" s="319">
        <f t="shared" si="148"/>
        <v>0</v>
      </c>
      <c r="AB263" s="319">
        <f t="shared" si="149"/>
        <v>0</v>
      </c>
      <c r="AC263" s="319">
        <f t="shared" si="150"/>
        <v>0</v>
      </c>
      <c r="AD263" s="319">
        <f t="shared" si="151"/>
        <v>0</v>
      </c>
      <c r="AE263" s="319">
        <f t="shared" si="152"/>
        <v>0</v>
      </c>
      <c r="AF263" s="319">
        <f t="shared" si="153"/>
        <v>0</v>
      </c>
      <c r="AG263" s="319">
        <f t="shared" si="154"/>
        <v>0</v>
      </c>
      <c r="AH263" s="319">
        <f t="shared" si="155"/>
        <v>0</v>
      </c>
      <c r="AI263" s="319">
        <f t="shared" si="156"/>
        <v>0</v>
      </c>
      <c r="AJ263" s="319">
        <f t="shared" si="157"/>
        <v>0</v>
      </c>
      <c r="AK263" s="319">
        <f t="shared" si="158"/>
        <v>0</v>
      </c>
      <c r="AL263" s="319">
        <f t="shared" si="159"/>
        <v>0</v>
      </c>
      <c r="AM263" s="319">
        <f t="shared" si="160"/>
        <v>0</v>
      </c>
      <c r="AN263" s="319"/>
      <c r="AP263" s="266" t="s">
        <v>98</v>
      </c>
      <c r="AQ263" s="326">
        <v>6.6667000000000004E-2</v>
      </c>
      <c r="AR263" s="326">
        <v>6.6667000000000004E-2</v>
      </c>
      <c r="AS263" s="326">
        <v>6.6667000000000004E-2</v>
      </c>
      <c r="AT263" s="326">
        <v>6.6667000000000004E-2</v>
      </c>
      <c r="AU263" s="326">
        <v>6.6667000000000004E-2</v>
      </c>
      <c r="AV263" s="326">
        <v>6.6667000000000004E-2</v>
      </c>
      <c r="AW263" s="326">
        <v>6.6667000000000004E-2</v>
      </c>
      <c r="AX263" s="326">
        <v>0</v>
      </c>
      <c r="AY263" s="326">
        <v>0</v>
      </c>
      <c r="AZ263" s="326">
        <v>0</v>
      </c>
      <c r="BA263" s="326">
        <v>0</v>
      </c>
      <c r="BB263" s="326">
        <v>0</v>
      </c>
      <c r="BC263" s="326">
        <v>0</v>
      </c>
      <c r="BD263" s="326">
        <v>0</v>
      </c>
      <c r="BE263" s="326">
        <v>0</v>
      </c>
      <c r="BF263" s="326">
        <v>0</v>
      </c>
      <c r="BG263" s="326">
        <v>0</v>
      </c>
      <c r="BH263" s="326">
        <v>0</v>
      </c>
      <c r="BI263" s="326">
        <v>0</v>
      </c>
      <c r="BJ263" s="326">
        <v>0</v>
      </c>
      <c r="BK263" s="326">
        <v>0</v>
      </c>
      <c r="BL263" s="326">
        <v>0</v>
      </c>
      <c r="BM263" s="326">
        <v>0</v>
      </c>
      <c r="BN263" s="326">
        <v>0</v>
      </c>
      <c r="BO263" s="326">
        <v>0</v>
      </c>
      <c r="BP263" s="326">
        <v>0</v>
      </c>
      <c r="BQ263" s="326">
        <v>0</v>
      </c>
      <c r="BR263" s="326">
        <v>0</v>
      </c>
      <c r="BS263" s="326">
        <v>0</v>
      </c>
      <c r="BT263" s="326">
        <v>0</v>
      </c>
      <c r="BU263" s="326">
        <v>0</v>
      </c>
      <c r="BV263" s="326">
        <v>0</v>
      </c>
      <c r="BW263" s="326">
        <v>0</v>
      </c>
      <c r="BX263" s="326">
        <v>0</v>
      </c>
      <c r="BY263" s="326">
        <v>0</v>
      </c>
    </row>
    <row r="264" spans="2:83">
      <c r="B264" s="324" t="s">
        <v>99</v>
      </c>
      <c r="D264" s="320">
        <f t="shared" si="161"/>
        <v>815.28991441746791</v>
      </c>
      <c r="E264" s="319">
        <f t="shared" si="126"/>
        <v>0</v>
      </c>
      <c r="F264" s="319">
        <f t="shared" si="127"/>
        <v>815.28991441746791</v>
      </c>
      <c r="G264" s="319">
        <f t="shared" si="128"/>
        <v>0</v>
      </c>
      <c r="H264" s="319">
        <f t="shared" si="129"/>
        <v>0</v>
      </c>
      <c r="I264" s="319">
        <f t="shared" si="130"/>
        <v>0</v>
      </c>
      <c r="J264" s="319">
        <f t="shared" si="131"/>
        <v>0</v>
      </c>
      <c r="K264" s="319">
        <f t="shared" si="132"/>
        <v>0</v>
      </c>
      <c r="L264" s="319">
        <f t="shared" si="133"/>
        <v>0</v>
      </c>
      <c r="M264" s="319">
        <f t="shared" si="134"/>
        <v>0</v>
      </c>
      <c r="N264" s="319">
        <f t="shared" si="135"/>
        <v>0</v>
      </c>
      <c r="O264" s="319">
        <f t="shared" si="136"/>
        <v>0</v>
      </c>
      <c r="P264" s="319">
        <f t="shared" si="137"/>
        <v>0</v>
      </c>
      <c r="Q264" s="319">
        <f t="shared" si="138"/>
        <v>0</v>
      </c>
      <c r="R264" s="319">
        <f t="shared" si="139"/>
        <v>0</v>
      </c>
      <c r="S264" s="319">
        <f t="shared" si="140"/>
        <v>0</v>
      </c>
      <c r="T264" s="319">
        <f t="shared" si="141"/>
        <v>0</v>
      </c>
      <c r="U264" s="319">
        <f t="shared" si="142"/>
        <v>0</v>
      </c>
      <c r="V264" s="319">
        <f t="shared" si="143"/>
        <v>0</v>
      </c>
      <c r="W264" s="319">
        <f t="shared" si="144"/>
        <v>0</v>
      </c>
      <c r="X264" s="319">
        <f t="shared" si="145"/>
        <v>0</v>
      </c>
      <c r="Y264" s="319">
        <f t="shared" si="146"/>
        <v>0</v>
      </c>
      <c r="Z264" s="319">
        <f t="shared" si="147"/>
        <v>0</v>
      </c>
      <c r="AA264" s="319">
        <f t="shared" si="148"/>
        <v>0</v>
      </c>
      <c r="AB264" s="319">
        <f t="shared" si="149"/>
        <v>0</v>
      </c>
      <c r="AC264" s="319">
        <f t="shared" si="150"/>
        <v>0</v>
      </c>
      <c r="AD264" s="319">
        <f t="shared" si="151"/>
        <v>0</v>
      </c>
      <c r="AE264" s="319">
        <f t="shared" si="152"/>
        <v>0</v>
      </c>
      <c r="AF264" s="319">
        <f t="shared" si="153"/>
        <v>0</v>
      </c>
      <c r="AG264" s="319">
        <f t="shared" si="154"/>
        <v>0</v>
      </c>
      <c r="AH264" s="319">
        <f t="shared" si="155"/>
        <v>0</v>
      </c>
      <c r="AI264" s="319">
        <f t="shared" si="156"/>
        <v>0</v>
      </c>
      <c r="AJ264" s="319">
        <f t="shared" si="157"/>
        <v>0</v>
      </c>
      <c r="AK264" s="319">
        <f t="shared" si="158"/>
        <v>0</v>
      </c>
      <c r="AL264" s="319">
        <f t="shared" si="159"/>
        <v>0</v>
      </c>
      <c r="AM264" s="319">
        <f t="shared" si="160"/>
        <v>0</v>
      </c>
      <c r="AN264" s="319"/>
      <c r="AP264" s="266" t="s">
        <v>99</v>
      </c>
      <c r="AQ264" s="326">
        <v>6.6667000000000004E-2</v>
      </c>
      <c r="AR264" s="326">
        <v>6.6667000000000004E-2</v>
      </c>
      <c r="AS264" s="326">
        <v>6.6667000000000004E-2</v>
      </c>
      <c r="AT264" s="326">
        <v>6.6667000000000004E-2</v>
      </c>
      <c r="AU264" s="326">
        <v>6.6667000000000004E-2</v>
      </c>
      <c r="AV264" s="326">
        <v>6.6667000000000004E-2</v>
      </c>
      <c r="AW264" s="326">
        <v>6.6667000000000004E-2</v>
      </c>
      <c r="AX264" s="326">
        <v>6.6667000000000004E-2</v>
      </c>
      <c r="AY264" s="326">
        <v>0</v>
      </c>
      <c r="AZ264" s="326">
        <v>0</v>
      </c>
      <c r="BA264" s="326">
        <v>0</v>
      </c>
      <c r="BB264" s="326">
        <v>0</v>
      </c>
      <c r="BC264" s="326">
        <v>0</v>
      </c>
      <c r="BD264" s="326">
        <v>0</v>
      </c>
      <c r="BE264" s="326">
        <v>0</v>
      </c>
      <c r="BF264" s="326">
        <v>0</v>
      </c>
      <c r="BG264" s="326">
        <v>0</v>
      </c>
      <c r="BH264" s="326">
        <v>0</v>
      </c>
      <c r="BI264" s="326">
        <v>0</v>
      </c>
      <c r="BJ264" s="326">
        <v>0</v>
      </c>
      <c r="BK264" s="326">
        <v>0</v>
      </c>
      <c r="BL264" s="326">
        <v>0</v>
      </c>
      <c r="BM264" s="326">
        <v>0</v>
      </c>
      <c r="BN264" s="326">
        <v>0</v>
      </c>
      <c r="BO264" s="326">
        <v>0</v>
      </c>
      <c r="BP264" s="326">
        <v>0</v>
      </c>
      <c r="BQ264" s="326">
        <v>0</v>
      </c>
      <c r="BR264" s="326">
        <v>0</v>
      </c>
      <c r="BS264" s="326">
        <v>0</v>
      </c>
      <c r="BT264" s="326">
        <v>0</v>
      </c>
      <c r="BU264" s="326">
        <v>0</v>
      </c>
      <c r="BV264" s="326">
        <v>0</v>
      </c>
      <c r="BW264" s="326">
        <v>0</v>
      </c>
      <c r="BX264" s="326">
        <v>0</v>
      </c>
      <c r="BY264" s="326">
        <v>0</v>
      </c>
    </row>
    <row r="265" spans="2:83">
      <c r="B265" s="324" t="s">
        <v>100</v>
      </c>
      <c r="D265" s="320">
        <f t="shared" si="161"/>
        <v>815.28991441746791</v>
      </c>
      <c r="E265" s="319">
        <f t="shared" si="126"/>
        <v>0</v>
      </c>
      <c r="F265" s="319">
        <f t="shared" si="127"/>
        <v>815.28991441746791</v>
      </c>
      <c r="G265" s="319">
        <f t="shared" si="128"/>
        <v>0</v>
      </c>
      <c r="H265" s="319">
        <f t="shared" si="129"/>
        <v>0</v>
      </c>
      <c r="I265" s="319">
        <f t="shared" si="130"/>
        <v>0</v>
      </c>
      <c r="J265" s="319">
        <f t="shared" si="131"/>
        <v>0</v>
      </c>
      <c r="K265" s="319">
        <f t="shared" si="132"/>
        <v>0</v>
      </c>
      <c r="L265" s="319">
        <f t="shared" si="133"/>
        <v>0</v>
      </c>
      <c r="M265" s="319">
        <f t="shared" si="134"/>
        <v>0</v>
      </c>
      <c r="N265" s="319">
        <f t="shared" si="135"/>
        <v>0</v>
      </c>
      <c r="O265" s="319">
        <f t="shared" si="136"/>
        <v>0</v>
      </c>
      <c r="P265" s="319">
        <f t="shared" si="137"/>
        <v>0</v>
      </c>
      <c r="Q265" s="319">
        <f t="shared" si="138"/>
        <v>0</v>
      </c>
      <c r="R265" s="319">
        <f t="shared" si="139"/>
        <v>0</v>
      </c>
      <c r="S265" s="319">
        <f t="shared" si="140"/>
        <v>0</v>
      </c>
      <c r="T265" s="319">
        <f t="shared" si="141"/>
        <v>0</v>
      </c>
      <c r="U265" s="319">
        <f t="shared" si="142"/>
        <v>0</v>
      </c>
      <c r="V265" s="319">
        <f t="shared" si="143"/>
        <v>0</v>
      </c>
      <c r="W265" s="319">
        <f t="shared" si="144"/>
        <v>0</v>
      </c>
      <c r="X265" s="319">
        <f t="shared" si="145"/>
        <v>0</v>
      </c>
      <c r="Y265" s="319">
        <f t="shared" si="146"/>
        <v>0</v>
      </c>
      <c r="Z265" s="319">
        <f t="shared" si="147"/>
        <v>0</v>
      </c>
      <c r="AA265" s="319">
        <f t="shared" si="148"/>
        <v>0</v>
      </c>
      <c r="AB265" s="319">
        <f t="shared" si="149"/>
        <v>0</v>
      </c>
      <c r="AC265" s="319">
        <f t="shared" si="150"/>
        <v>0</v>
      </c>
      <c r="AD265" s="319">
        <f t="shared" si="151"/>
        <v>0</v>
      </c>
      <c r="AE265" s="319">
        <f t="shared" si="152"/>
        <v>0</v>
      </c>
      <c r="AF265" s="319">
        <f t="shared" si="153"/>
        <v>0</v>
      </c>
      <c r="AG265" s="319">
        <f t="shared" si="154"/>
        <v>0</v>
      </c>
      <c r="AH265" s="319">
        <f t="shared" si="155"/>
        <v>0</v>
      </c>
      <c r="AI265" s="319">
        <f t="shared" si="156"/>
        <v>0</v>
      </c>
      <c r="AJ265" s="319">
        <f t="shared" si="157"/>
        <v>0</v>
      </c>
      <c r="AK265" s="319">
        <f t="shared" si="158"/>
        <v>0</v>
      </c>
      <c r="AL265" s="319">
        <f t="shared" si="159"/>
        <v>0</v>
      </c>
      <c r="AM265" s="319">
        <f t="shared" si="160"/>
        <v>0</v>
      </c>
      <c r="AN265" s="319"/>
      <c r="AP265" s="266" t="s">
        <v>100</v>
      </c>
      <c r="AQ265" s="326">
        <v>6.6667000000000004E-2</v>
      </c>
      <c r="AR265" s="326">
        <v>6.6667000000000004E-2</v>
      </c>
      <c r="AS265" s="326">
        <v>6.6667000000000004E-2</v>
      </c>
      <c r="AT265" s="326">
        <v>6.6667000000000004E-2</v>
      </c>
      <c r="AU265" s="326">
        <v>6.6667000000000004E-2</v>
      </c>
      <c r="AV265" s="326">
        <v>6.6667000000000004E-2</v>
      </c>
      <c r="AW265" s="326">
        <v>6.6667000000000004E-2</v>
      </c>
      <c r="AX265" s="326">
        <v>6.6667000000000004E-2</v>
      </c>
      <c r="AY265" s="326">
        <v>6.6667000000000004E-2</v>
      </c>
      <c r="AZ265" s="326">
        <v>0</v>
      </c>
      <c r="BA265" s="326">
        <v>0</v>
      </c>
      <c r="BB265" s="326">
        <v>0</v>
      </c>
      <c r="BC265" s="326">
        <v>0</v>
      </c>
      <c r="BD265" s="326">
        <v>0</v>
      </c>
      <c r="BE265" s="326">
        <v>0</v>
      </c>
      <c r="BF265" s="326">
        <v>0</v>
      </c>
      <c r="BG265" s="326">
        <v>0</v>
      </c>
      <c r="BH265" s="326">
        <v>0</v>
      </c>
      <c r="BI265" s="326">
        <v>0</v>
      </c>
      <c r="BJ265" s="326">
        <v>0</v>
      </c>
      <c r="BK265" s="326">
        <v>0</v>
      </c>
      <c r="BL265" s="326">
        <v>0</v>
      </c>
      <c r="BM265" s="326">
        <v>0</v>
      </c>
      <c r="BN265" s="326">
        <v>0</v>
      </c>
      <c r="BO265" s="326">
        <v>0</v>
      </c>
      <c r="BP265" s="326">
        <v>0</v>
      </c>
      <c r="BQ265" s="326">
        <v>0</v>
      </c>
      <c r="BR265" s="326">
        <v>0</v>
      </c>
      <c r="BS265" s="326">
        <v>0</v>
      </c>
      <c r="BT265" s="326">
        <v>0</v>
      </c>
      <c r="BU265" s="326">
        <v>0</v>
      </c>
      <c r="BV265" s="326">
        <v>0</v>
      </c>
      <c r="BW265" s="326">
        <v>0</v>
      </c>
      <c r="BX265" s="326">
        <v>0</v>
      </c>
      <c r="BY265" s="326">
        <v>0</v>
      </c>
    </row>
    <row r="266" spans="2:83">
      <c r="B266" s="324" t="s">
        <v>101</v>
      </c>
      <c r="D266" s="320">
        <f t="shared" si="161"/>
        <v>815.28991441746791</v>
      </c>
      <c r="E266" s="319">
        <f t="shared" si="126"/>
        <v>0</v>
      </c>
      <c r="F266" s="319">
        <f t="shared" si="127"/>
        <v>815.28991441746791</v>
      </c>
      <c r="G266" s="319">
        <f t="shared" si="128"/>
        <v>0</v>
      </c>
      <c r="H266" s="319">
        <f t="shared" si="129"/>
        <v>0</v>
      </c>
      <c r="I266" s="319">
        <f t="shared" si="130"/>
        <v>0</v>
      </c>
      <c r="J266" s="319">
        <f t="shared" si="131"/>
        <v>0</v>
      </c>
      <c r="K266" s="319">
        <f t="shared" si="132"/>
        <v>0</v>
      </c>
      <c r="L266" s="319">
        <f t="shared" si="133"/>
        <v>0</v>
      </c>
      <c r="M266" s="319">
        <f t="shared" si="134"/>
        <v>0</v>
      </c>
      <c r="N266" s="319">
        <f t="shared" si="135"/>
        <v>0</v>
      </c>
      <c r="O266" s="319">
        <f t="shared" si="136"/>
        <v>0</v>
      </c>
      <c r="P266" s="319">
        <f t="shared" si="137"/>
        <v>0</v>
      </c>
      <c r="Q266" s="319">
        <f t="shared" si="138"/>
        <v>0</v>
      </c>
      <c r="R266" s="319">
        <f t="shared" si="139"/>
        <v>0</v>
      </c>
      <c r="S266" s="319">
        <f t="shared" si="140"/>
        <v>0</v>
      </c>
      <c r="T266" s="319">
        <f t="shared" si="141"/>
        <v>0</v>
      </c>
      <c r="U266" s="319">
        <f t="shared" si="142"/>
        <v>0</v>
      </c>
      <c r="V266" s="319">
        <f t="shared" si="143"/>
        <v>0</v>
      </c>
      <c r="W266" s="319">
        <f t="shared" si="144"/>
        <v>0</v>
      </c>
      <c r="X266" s="319">
        <f t="shared" si="145"/>
        <v>0</v>
      </c>
      <c r="Y266" s="319">
        <f t="shared" si="146"/>
        <v>0</v>
      </c>
      <c r="Z266" s="319">
        <f t="shared" si="147"/>
        <v>0</v>
      </c>
      <c r="AA266" s="319">
        <f t="shared" si="148"/>
        <v>0</v>
      </c>
      <c r="AB266" s="319">
        <f t="shared" si="149"/>
        <v>0</v>
      </c>
      <c r="AC266" s="319">
        <f t="shared" si="150"/>
        <v>0</v>
      </c>
      <c r="AD266" s="319">
        <f t="shared" si="151"/>
        <v>0</v>
      </c>
      <c r="AE266" s="319">
        <f t="shared" si="152"/>
        <v>0</v>
      </c>
      <c r="AF266" s="319">
        <f t="shared" si="153"/>
        <v>0</v>
      </c>
      <c r="AG266" s="319">
        <f t="shared" si="154"/>
        <v>0</v>
      </c>
      <c r="AH266" s="319">
        <f t="shared" si="155"/>
        <v>0</v>
      </c>
      <c r="AI266" s="319">
        <f t="shared" si="156"/>
        <v>0</v>
      </c>
      <c r="AJ266" s="319">
        <f t="shared" si="157"/>
        <v>0</v>
      </c>
      <c r="AK266" s="319">
        <f t="shared" si="158"/>
        <v>0</v>
      </c>
      <c r="AL266" s="319">
        <f t="shared" si="159"/>
        <v>0</v>
      </c>
      <c r="AM266" s="319">
        <f t="shared" si="160"/>
        <v>0</v>
      </c>
      <c r="AN266" s="319"/>
      <c r="AP266" s="266" t="s">
        <v>101</v>
      </c>
      <c r="AQ266" s="326">
        <v>6.6667000000000004E-2</v>
      </c>
      <c r="AR266" s="326">
        <v>6.6667000000000004E-2</v>
      </c>
      <c r="AS266" s="326">
        <v>6.6667000000000004E-2</v>
      </c>
      <c r="AT266" s="326">
        <v>6.6667000000000004E-2</v>
      </c>
      <c r="AU266" s="326">
        <v>6.6667000000000004E-2</v>
      </c>
      <c r="AV266" s="326">
        <v>6.6667000000000004E-2</v>
      </c>
      <c r="AW266" s="326">
        <v>6.6667000000000004E-2</v>
      </c>
      <c r="AX266" s="326">
        <v>6.6667000000000004E-2</v>
      </c>
      <c r="AY266" s="326">
        <v>6.6667000000000004E-2</v>
      </c>
      <c r="AZ266" s="326">
        <v>6.6667000000000004E-2</v>
      </c>
      <c r="BA266" s="326">
        <v>0</v>
      </c>
      <c r="BB266" s="326">
        <v>0</v>
      </c>
      <c r="BC266" s="326">
        <v>0</v>
      </c>
      <c r="BD266" s="326">
        <v>0</v>
      </c>
      <c r="BE266" s="326">
        <v>0</v>
      </c>
      <c r="BF266" s="326">
        <v>0</v>
      </c>
      <c r="BG266" s="326">
        <v>0</v>
      </c>
      <c r="BH266" s="326">
        <v>0</v>
      </c>
      <c r="BI266" s="326">
        <v>0</v>
      </c>
      <c r="BJ266" s="326">
        <v>0</v>
      </c>
      <c r="BK266" s="326">
        <v>0</v>
      </c>
      <c r="BL266" s="326">
        <v>0</v>
      </c>
      <c r="BM266" s="326">
        <v>0</v>
      </c>
      <c r="BN266" s="326">
        <v>0</v>
      </c>
      <c r="BO266" s="326">
        <v>0</v>
      </c>
      <c r="BP266" s="326">
        <v>0</v>
      </c>
      <c r="BQ266" s="326">
        <v>0</v>
      </c>
      <c r="BR266" s="326">
        <v>0</v>
      </c>
      <c r="BS266" s="326">
        <v>0</v>
      </c>
      <c r="BT266" s="326">
        <v>0</v>
      </c>
      <c r="BU266" s="326">
        <v>0</v>
      </c>
      <c r="BV266" s="326">
        <v>0</v>
      </c>
      <c r="BW266" s="326">
        <v>0</v>
      </c>
      <c r="BX266" s="326">
        <v>0</v>
      </c>
      <c r="BY266" s="326">
        <v>0</v>
      </c>
    </row>
    <row r="267" spans="2:83">
      <c r="B267" s="324" t="s">
        <v>102</v>
      </c>
      <c r="D267" s="320">
        <f t="shared" si="161"/>
        <v>815.28991441746791</v>
      </c>
      <c r="E267" s="319">
        <f t="shared" si="126"/>
        <v>0</v>
      </c>
      <c r="F267" s="319">
        <f t="shared" si="127"/>
        <v>815.28991441746791</v>
      </c>
      <c r="G267" s="319">
        <f t="shared" si="128"/>
        <v>0</v>
      </c>
      <c r="H267" s="319">
        <f t="shared" si="129"/>
        <v>0</v>
      </c>
      <c r="I267" s="319">
        <f t="shared" si="130"/>
        <v>0</v>
      </c>
      <c r="J267" s="319">
        <f t="shared" si="131"/>
        <v>0</v>
      </c>
      <c r="K267" s="319">
        <f t="shared" si="132"/>
        <v>0</v>
      </c>
      <c r="L267" s="319">
        <f t="shared" si="133"/>
        <v>0</v>
      </c>
      <c r="M267" s="319">
        <f t="shared" si="134"/>
        <v>0</v>
      </c>
      <c r="N267" s="319">
        <f t="shared" si="135"/>
        <v>0</v>
      </c>
      <c r="O267" s="319">
        <f t="shared" si="136"/>
        <v>0</v>
      </c>
      <c r="P267" s="319">
        <f t="shared" si="137"/>
        <v>0</v>
      </c>
      <c r="Q267" s="319">
        <f t="shared" si="138"/>
        <v>0</v>
      </c>
      <c r="R267" s="319">
        <f t="shared" si="139"/>
        <v>0</v>
      </c>
      <c r="S267" s="319">
        <f t="shared" si="140"/>
        <v>0</v>
      </c>
      <c r="T267" s="319">
        <f t="shared" si="141"/>
        <v>0</v>
      </c>
      <c r="U267" s="319">
        <f t="shared" si="142"/>
        <v>0</v>
      </c>
      <c r="V267" s="319">
        <f t="shared" si="143"/>
        <v>0</v>
      </c>
      <c r="W267" s="319">
        <f t="shared" si="144"/>
        <v>0</v>
      </c>
      <c r="X267" s="319">
        <f t="shared" si="145"/>
        <v>0</v>
      </c>
      <c r="Y267" s="319">
        <f t="shared" si="146"/>
        <v>0</v>
      </c>
      <c r="Z267" s="319">
        <f t="shared" si="147"/>
        <v>0</v>
      </c>
      <c r="AA267" s="319">
        <f t="shared" si="148"/>
        <v>0</v>
      </c>
      <c r="AB267" s="319">
        <f t="shared" si="149"/>
        <v>0</v>
      </c>
      <c r="AC267" s="319">
        <f t="shared" si="150"/>
        <v>0</v>
      </c>
      <c r="AD267" s="319">
        <f t="shared" si="151"/>
        <v>0</v>
      </c>
      <c r="AE267" s="319">
        <f t="shared" si="152"/>
        <v>0</v>
      </c>
      <c r="AF267" s="319">
        <f t="shared" si="153"/>
        <v>0</v>
      </c>
      <c r="AG267" s="319">
        <f t="shared" si="154"/>
        <v>0</v>
      </c>
      <c r="AH267" s="319">
        <f t="shared" si="155"/>
        <v>0</v>
      </c>
      <c r="AI267" s="319">
        <f t="shared" si="156"/>
        <v>0</v>
      </c>
      <c r="AJ267" s="319">
        <f t="shared" si="157"/>
        <v>0</v>
      </c>
      <c r="AK267" s="319">
        <f t="shared" si="158"/>
        <v>0</v>
      </c>
      <c r="AL267" s="319">
        <f t="shared" si="159"/>
        <v>0</v>
      </c>
      <c r="AM267" s="319">
        <f t="shared" si="160"/>
        <v>0</v>
      </c>
      <c r="AN267" s="319"/>
      <c r="AP267" s="266" t="s">
        <v>102</v>
      </c>
      <c r="AQ267" s="326">
        <v>6.6667000000000004E-2</v>
      </c>
      <c r="AR267" s="326">
        <v>6.6667000000000004E-2</v>
      </c>
      <c r="AS267" s="326">
        <v>6.6667000000000004E-2</v>
      </c>
      <c r="AT267" s="326">
        <v>6.6667000000000004E-2</v>
      </c>
      <c r="AU267" s="326">
        <v>6.6667000000000004E-2</v>
      </c>
      <c r="AV267" s="326">
        <v>6.6667000000000004E-2</v>
      </c>
      <c r="AW267" s="326">
        <v>6.6667000000000004E-2</v>
      </c>
      <c r="AX267" s="326">
        <v>6.6667000000000004E-2</v>
      </c>
      <c r="AY267" s="326">
        <v>6.6667000000000004E-2</v>
      </c>
      <c r="AZ267" s="326">
        <v>6.6667000000000004E-2</v>
      </c>
      <c r="BA267" s="326">
        <v>6.6667000000000004E-2</v>
      </c>
      <c r="BB267" s="326">
        <v>0</v>
      </c>
      <c r="BC267" s="326">
        <v>0</v>
      </c>
      <c r="BD267" s="326">
        <v>0</v>
      </c>
      <c r="BE267" s="326">
        <v>0</v>
      </c>
      <c r="BF267" s="326">
        <v>0</v>
      </c>
      <c r="BG267" s="326">
        <v>0</v>
      </c>
      <c r="BH267" s="326">
        <v>0</v>
      </c>
      <c r="BI267" s="326">
        <v>0</v>
      </c>
      <c r="BJ267" s="326">
        <v>0</v>
      </c>
      <c r="BK267" s="326">
        <v>0</v>
      </c>
      <c r="BL267" s="326">
        <v>0</v>
      </c>
      <c r="BM267" s="326">
        <v>0</v>
      </c>
      <c r="BN267" s="326">
        <v>0</v>
      </c>
      <c r="BO267" s="326">
        <v>0</v>
      </c>
      <c r="BP267" s="326">
        <v>0</v>
      </c>
      <c r="BQ267" s="326">
        <v>0</v>
      </c>
      <c r="BR267" s="326">
        <v>0</v>
      </c>
      <c r="BS267" s="326">
        <v>0</v>
      </c>
      <c r="BT267" s="326">
        <v>0</v>
      </c>
      <c r="BU267" s="326">
        <v>0</v>
      </c>
      <c r="BV267" s="326">
        <v>0</v>
      </c>
      <c r="BW267" s="326">
        <v>0</v>
      </c>
      <c r="BX267" s="326">
        <v>0</v>
      </c>
      <c r="BY267" s="326">
        <v>0</v>
      </c>
    </row>
    <row r="268" spans="2:83">
      <c r="B268" s="324" t="s">
        <v>103</v>
      </c>
      <c r="D268" s="320">
        <f t="shared" si="161"/>
        <v>815.28991441746791</v>
      </c>
      <c r="E268" s="319">
        <f t="shared" si="126"/>
        <v>0</v>
      </c>
      <c r="F268" s="319">
        <f t="shared" si="127"/>
        <v>815.28991441746791</v>
      </c>
      <c r="G268" s="319">
        <f t="shared" si="128"/>
        <v>0</v>
      </c>
      <c r="H268" s="319">
        <f t="shared" si="129"/>
        <v>0</v>
      </c>
      <c r="I268" s="319">
        <f t="shared" si="130"/>
        <v>0</v>
      </c>
      <c r="J268" s="319">
        <f t="shared" si="131"/>
        <v>0</v>
      </c>
      <c r="K268" s="319">
        <f t="shared" si="132"/>
        <v>0</v>
      </c>
      <c r="L268" s="319">
        <f t="shared" si="133"/>
        <v>0</v>
      </c>
      <c r="M268" s="319">
        <f t="shared" si="134"/>
        <v>0</v>
      </c>
      <c r="N268" s="319">
        <f t="shared" si="135"/>
        <v>0</v>
      </c>
      <c r="O268" s="319">
        <f t="shared" si="136"/>
        <v>0</v>
      </c>
      <c r="P268" s="319">
        <f t="shared" si="137"/>
        <v>0</v>
      </c>
      <c r="Q268" s="319">
        <f t="shared" si="138"/>
        <v>0</v>
      </c>
      <c r="R268" s="319">
        <f t="shared" si="139"/>
        <v>0</v>
      </c>
      <c r="S268" s="319">
        <f t="shared" si="140"/>
        <v>0</v>
      </c>
      <c r="T268" s="319">
        <f t="shared" si="141"/>
        <v>0</v>
      </c>
      <c r="U268" s="319">
        <f t="shared" si="142"/>
        <v>0</v>
      </c>
      <c r="V268" s="319">
        <f t="shared" si="143"/>
        <v>0</v>
      </c>
      <c r="W268" s="319">
        <f t="shared" si="144"/>
        <v>0</v>
      </c>
      <c r="X268" s="319">
        <f t="shared" si="145"/>
        <v>0</v>
      </c>
      <c r="Y268" s="319">
        <f t="shared" si="146"/>
        <v>0</v>
      </c>
      <c r="Z268" s="319">
        <f t="shared" si="147"/>
        <v>0</v>
      </c>
      <c r="AA268" s="319">
        <f t="shared" si="148"/>
        <v>0</v>
      </c>
      <c r="AB268" s="319">
        <f t="shared" si="149"/>
        <v>0</v>
      </c>
      <c r="AC268" s="319">
        <f t="shared" si="150"/>
        <v>0</v>
      </c>
      <c r="AD268" s="319">
        <f t="shared" si="151"/>
        <v>0</v>
      </c>
      <c r="AE268" s="319">
        <f t="shared" si="152"/>
        <v>0</v>
      </c>
      <c r="AF268" s="319">
        <f t="shared" si="153"/>
        <v>0</v>
      </c>
      <c r="AG268" s="319">
        <f t="shared" si="154"/>
        <v>0</v>
      </c>
      <c r="AH268" s="319">
        <f t="shared" si="155"/>
        <v>0</v>
      </c>
      <c r="AI268" s="319">
        <f t="shared" si="156"/>
        <v>0</v>
      </c>
      <c r="AJ268" s="319">
        <f t="shared" si="157"/>
        <v>0</v>
      </c>
      <c r="AK268" s="319">
        <f t="shared" si="158"/>
        <v>0</v>
      </c>
      <c r="AL268" s="319">
        <f t="shared" si="159"/>
        <v>0</v>
      </c>
      <c r="AM268" s="319">
        <f t="shared" si="160"/>
        <v>0</v>
      </c>
      <c r="AN268" s="319"/>
      <c r="AP268" s="266" t="s">
        <v>103</v>
      </c>
      <c r="AQ268" s="326">
        <v>6.6667000000000004E-2</v>
      </c>
      <c r="AR268" s="326">
        <v>6.6667000000000004E-2</v>
      </c>
      <c r="AS268" s="326">
        <v>6.6667000000000004E-2</v>
      </c>
      <c r="AT268" s="326">
        <v>6.6667000000000004E-2</v>
      </c>
      <c r="AU268" s="326">
        <v>6.6667000000000004E-2</v>
      </c>
      <c r="AV268" s="326">
        <v>6.6667000000000004E-2</v>
      </c>
      <c r="AW268" s="326">
        <v>6.6667000000000004E-2</v>
      </c>
      <c r="AX268" s="326">
        <v>6.6667000000000004E-2</v>
      </c>
      <c r="AY268" s="326">
        <v>6.6667000000000004E-2</v>
      </c>
      <c r="AZ268" s="326">
        <v>6.6667000000000004E-2</v>
      </c>
      <c r="BA268" s="326">
        <v>6.6667000000000004E-2</v>
      </c>
      <c r="BB268" s="326">
        <v>6.6667000000000004E-2</v>
      </c>
      <c r="BC268" s="326">
        <v>0</v>
      </c>
      <c r="BD268" s="326">
        <v>0</v>
      </c>
      <c r="BE268" s="326">
        <v>0</v>
      </c>
      <c r="BF268" s="326">
        <v>0</v>
      </c>
      <c r="BG268" s="326">
        <v>0</v>
      </c>
      <c r="BH268" s="326">
        <v>0</v>
      </c>
      <c r="BI268" s="326">
        <v>0</v>
      </c>
      <c r="BJ268" s="326">
        <v>0</v>
      </c>
      <c r="BK268" s="326">
        <v>0</v>
      </c>
      <c r="BL268" s="326">
        <v>0</v>
      </c>
      <c r="BM268" s="326">
        <v>0</v>
      </c>
      <c r="BN268" s="326">
        <v>0</v>
      </c>
      <c r="BO268" s="326">
        <v>0</v>
      </c>
      <c r="BP268" s="326">
        <v>0</v>
      </c>
      <c r="BQ268" s="326">
        <v>0</v>
      </c>
      <c r="BR268" s="326">
        <v>0</v>
      </c>
      <c r="BS268" s="326">
        <v>0</v>
      </c>
      <c r="BT268" s="326">
        <v>0</v>
      </c>
      <c r="BU268" s="326">
        <v>0</v>
      </c>
      <c r="BV268" s="326">
        <v>0</v>
      </c>
      <c r="BW268" s="326">
        <v>0</v>
      </c>
      <c r="BX268" s="326">
        <v>0</v>
      </c>
      <c r="BY268" s="326">
        <v>0</v>
      </c>
    </row>
    <row r="269" spans="2:83">
      <c r="B269" s="324" t="s">
        <v>104</v>
      </c>
      <c r="D269" s="320">
        <f t="shared" si="161"/>
        <v>815.28991441746791</v>
      </c>
      <c r="E269" s="319">
        <f t="shared" si="126"/>
        <v>0</v>
      </c>
      <c r="F269" s="319">
        <f t="shared" si="127"/>
        <v>815.28991441746791</v>
      </c>
      <c r="G269" s="319">
        <f t="shared" si="128"/>
        <v>0</v>
      </c>
      <c r="H269" s="319">
        <f t="shared" si="129"/>
        <v>0</v>
      </c>
      <c r="I269" s="319">
        <f t="shared" si="130"/>
        <v>0</v>
      </c>
      <c r="J269" s="319">
        <f t="shared" si="131"/>
        <v>0</v>
      </c>
      <c r="K269" s="319">
        <f t="shared" si="132"/>
        <v>0</v>
      </c>
      <c r="L269" s="319">
        <f t="shared" si="133"/>
        <v>0</v>
      </c>
      <c r="M269" s="319">
        <f t="shared" si="134"/>
        <v>0</v>
      </c>
      <c r="N269" s="319">
        <f t="shared" si="135"/>
        <v>0</v>
      </c>
      <c r="O269" s="319">
        <f t="shared" si="136"/>
        <v>0</v>
      </c>
      <c r="P269" s="319">
        <f t="shared" si="137"/>
        <v>0</v>
      </c>
      <c r="Q269" s="319">
        <f t="shared" si="138"/>
        <v>0</v>
      </c>
      <c r="R269" s="319">
        <f t="shared" si="139"/>
        <v>0</v>
      </c>
      <c r="S269" s="319">
        <f t="shared" si="140"/>
        <v>0</v>
      </c>
      <c r="T269" s="319">
        <f t="shared" si="141"/>
        <v>0</v>
      </c>
      <c r="U269" s="319">
        <f t="shared" si="142"/>
        <v>0</v>
      </c>
      <c r="V269" s="319">
        <f t="shared" si="143"/>
        <v>0</v>
      </c>
      <c r="W269" s="319">
        <f t="shared" si="144"/>
        <v>0</v>
      </c>
      <c r="X269" s="319">
        <f t="shared" si="145"/>
        <v>0</v>
      </c>
      <c r="Y269" s="319">
        <f t="shared" si="146"/>
        <v>0</v>
      </c>
      <c r="Z269" s="319">
        <f t="shared" si="147"/>
        <v>0</v>
      </c>
      <c r="AA269" s="319">
        <f t="shared" si="148"/>
        <v>0</v>
      </c>
      <c r="AB269" s="319">
        <f t="shared" si="149"/>
        <v>0</v>
      </c>
      <c r="AC269" s="319">
        <f t="shared" si="150"/>
        <v>0</v>
      </c>
      <c r="AD269" s="319">
        <f t="shared" si="151"/>
        <v>0</v>
      </c>
      <c r="AE269" s="319">
        <f t="shared" si="152"/>
        <v>0</v>
      </c>
      <c r="AF269" s="319">
        <f t="shared" si="153"/>
        <v>0</v>
      </c>
      <c r="AG269" s="319">
        <f t="shared" si="154"/>
        <v>0</v>
      </c>
      <c r="AH269" s="319">
        <f t="shared" si="155"/>
        <v>0</v>
      </c>
      <c r="AI269" s="319">
        <f t="shared" si="156"/>
        <v>0</v>
      </c>
      <c r="AJ269" s="319">
        <f t="shared" si="157"/>
        <v>0</v>
      </c>
      <c r="AK269" s="319">
        <f t="shared" si="158"/>
        <v>0</v>
      </c>
      <c r="AL269" s="319">
        <f t="shared" si="159"/>
        <v>0</v>
      </c>
      <c r="AM269" s="319">
        <f t="shared" si="160"/>
        <v>0</v>
      </c>
      <c r="AN269" s="319"/>
      <c r="AP269" s="266" t="s">
        <v>104</v>
      </c>
      <c r="AQ269" s="326">
        <v>6.6667000000000004E-2</v>
      </c>
      <c r="AR269" s="326">
        <v>6.6667000000000004E-2</v>
      </c>
      <c r="AS269" s="326">
        <v>6.6667000000000004E-2</v>
      </c>
      <c r="AT269" s="326">
        <v>6.6667000000000004E-2</v>
      </c>
      <c r="AU269" s="326">
        <v>6.6667000000000004E-2</v>
      </c>
      <c r="AV269" s="326">
        <v>6.6667000000000004E-2</v>
      </c>
      <c r="AW269" s="326">
        <v>6.6667000000000004E-2</v>
      </c>
      <c r="AX269" s="326">
        <v>6.6667000000000004E-2</v>
      </c>
      <c r="AY269" s="326">
        <v>6.6667000000000004E-2</v>
      </c>
      <c r="AZ269" s="326">
        <v>6.6667000000000004E-2</v>
      </c>
      <c r="BA269" s="326">
        <v>6.6667000000000004E-2</v>
      </c>
      <c r="BB269" s="326">
        <v>6.6667000000000004E-2</v>
      </c>
      <c r="BC269" s="326">
        <v>6.6667000000000004E-2</v>
      </c>
      <c r="BD269" s="326">
        <v>0</v>
      </c>
      <c r="BE269" s="326">
        <v>0</v>
      </c>
      <c r="BF269" s="326">
        <v>0</v>
      </c>
      <c r="BG269" s="326">
        <v>0</v>
      </c>
      <c r="BH269" s="326">
        <v>0</v>
      </c>
      <c r="BI269" s="326">
        <v>0</v>
      </c>
      <c r="BJ269" s="326">
        <v>0</v>
      </c>
      <c r="BK269" s="326">
        <v>0</v>
      </c>
      <c r="BL269" s="326">
        <v>0</v>
      </c>
      <c r="BM269" s="326">
        <v>0</v>
      </c>
      <c r="BN269" s="326">
        <v>0</v>
      </c>
      <c r="BO269" s="326">
        <v>0</v>
      </c>
      <c r="BP269" s="326">
        <v>0</v>
      </c>
      <c r="BQ269" s="326">
        <v>0</v>
      </c>
      <c r="BR269" s="326">
        <v>0</v>
      </c>
      <c r="BS269" s="326">
        <v>0</v>
      </c>
      <c r="BT269" s="326">
        <v>0</v>
      </c>
      <c r="BU269" s="326">
        <v>0</v>
      </c>
      <c r="BV269" s="326">
        <v>0</v>
      </c>
      <c r="BW269" s="326">
        <v>0</v>
      </c>
      <c r="BX269" s="326">
        <v>0</v>
      </c>
      <c r="BY269" s="326">
        <v>0</v>
      </c>
    </row>
    <row r="270" spans="2:83">
      <c r="B270" s="324" t="s">
        <v>105</v>
      </c>
      <c r="D270" s="320">
        <f t="shared" si="161"/>
        <v>815.28991441746791</v>
      </c>
      <c r="E270" s="319">
        <f t="shared" si="126"/>
        <v>0</v>
      </c>
      <c r="F270" s="319">
        <f t="shared" si="127"/>
        <v>815.28991441746791</v>
      </c>
      <c r="G270" s="319">
        <f t="shared" si="128"/>
        <v>0</v>
      </c>
      <c r="H270" s="319">
        <f t="shared" si="129"/>
        <v>0</v>
      </c>
      <c r="I270" s="319">
        <f t="shared" si="130"/>
        <v>0</v>
      </c>
      <c r="J270" s="319">
        <f t="shared" si="131"/>
        <v>0</v>
      </c>
      <c r="K270" s="319">
        <f t="shared" si="132"/>
        <v>0</v>
      </c>
      <c r="L270" s="319">
        <f t="shared" si="133"/>
        <v>0</v>
      </c>
      <c r="M270" s="319">
        <f t="shared" si="134"/>
        <v>0</v>
      </c>
      <c r="N270" s="319">
        <f t="shared" si="135"/>
        <v>0</v>
      </c>
      <c r="O270" s="319">
        <f t="shared" si="136"/>
        <v>0</v>
      </c>
      <c r="P270" s="319">
        <f t="shared" si="137"/>
        <v>0</v>
      </c>
      <c r="Q270" s="319">
        <f t="shared" si="138"/>
        <v>0</v>
      </c>
      <c r="R270" s="319">
        <f t="shared" si="139"/>
        <v>0</v>
      </c>
      <c r="S270" s="319">
        <f t="shared" si="140"/>
        <v>0</v>
      </c>
      <c r="T270" s="319">
        <f t="shared" si="141"/>
        <v>0</v>
      </c>
      <c r="U270" s="319">
        <f t="shared" si="142"/>
        <v>0</v>
      </c>
      <c r="V270" s="319">
        <f t="shared" si="143"/>
        <v>0</v>
      </c>
      <c r="W270" s="319">
        <f t="shared" si="144"/>
        <v>0</v>
      </c>
      <c r="X270" s="319">
        <f t="shared" si="145"/>
        <v>0</v>
      </c>
      <c r="Y270" s="319">
        <f t="shared" si="146"/>
        <v>0</v>
      </c>
      <c r="Z270" s="319">
        <f t="shared" si="147"/>
        <v>0</v>
      </c>
      <c r="AA270" s="319">
        <f t="shared" si="148"/>
        <v>0</v>
      </c>
      <c r="AB270" s="319">
        <f t="shared" si="149"/>
        <v>0</v>
      </c>
      <c r="AC270" s="319">
        <f t="shared" si="150"/>
        <v>0</v>
      </c>
      <c r="AD270" s="319">
        <f t="shared" si="151"/>
        <v>0</v>
      </c>
      <c r="AE270" s="319">
        <f t="shared" si="152"/>
        <v>0</v>
      </c>
      <c r="AF270" s="319">
        <f t="shared" si="153"/>
        <v>0</v>
      </c>
      <c r="AG270" s="319">
        <f t="shared" si="154"/>
        <v>0</v>
      </c>
      <c r="AH270" s="319">
        <f t="shared" si="155"/>
        <v>0</v>
      </c>
      <c r="AI270" s="319">
        <f t="shared" si="156"/>
        <v>0</v>
      </c>
      <c r="AJ270" s="319">
        <f t="shared" si="157"/>
        <v>0</v>
      </c>
      <c r="AK270" s="319">
        <f t="shared" si="158"/>
        <v>0</v>
      </c>
      <c r="AL270" s="319">
        <f t="shared" si="159"/>
        <v>0</v>
      </c>
      <c r="AM270" s="319">
        <f t="shared" si="160"/>
        <v>0</v>
      </c>
      <c r="AN270" s="319"/>
      <c r="AP270" s="266" t="s">
        <v>105</v>
      </c>
      <c r="AQ270" s="326">
        <v>6.6667000000000004E-2</v>
      </c>
      <c r="AR270" s="326">
        <v>6.6667000000000004E-2</v>
      </c>
      <c r="AS270" s="326">
        <v>6.6667000000000004E-2</v>
      </c>
      <c r="AT270" s="326">
        <v>6.6667000000000004E-2</v>
      </c>
      <c r="AU270" s="326">
        <v>6.6667000000000004E-2</v>
      </c>
      <c r="AV270" s="326">
        <v>6.6667000000000004E-2</v>
      </c>
      <c r="AW270" s="326">
        <v>6.6667000000000004E-2</v>
      </c>
      <c r="AX270" s="326">
        <v>6.6667000000000004E-2</v>
      </c>
      <c r="AY270" s="326">
        <v>6.6667000000000004E-2</v>
      </c>
      <c r="AZ270" s="326">
        <v>6.6667000000000004E-2</v>
      </c>
      <c r="BA270" s="326">
        <v>6.6667000000000004E-2</v>
      </c>
      <c r="BB270" s="326">
        <v>6.6667000000000004E-2</v>
      </c>
      <c r="BC270" s="326">
        <v>6.6667000000000004E-2</v>
      </c>
      <c r="BD270" s="326">
        <v>6.6667000000000004E-2</v>
      </c>
      <c r="BE270" s="326">
        <v>0</v>
      </c>
      <c r="BF270" s="326">
        <v>0</v>
      </c>
      <c r="BG270" s="326">
        <v>0</v>
      </c>
      <c r="BH270" s="326">
        <v>0</v>
      </c>
      <c r="BI270" s="326">
        <v>0</v>
      </c>
      <c r="BJ270" s="326">
        <v>0</v>
      </c>
      <c r="BK270" s="326">
        <v>0</v>
      </c>
      <c r="BL270" s="326">
        <v>0</v>
      </c>
      <c r="BM270" s="326">
        <v>0</v>
      </c>
      <c r="BN270" s="326">
        <v>0</v>
      </c>
      <c r="BO270" s="326">
        <v>0</v>
      </c>
      <c r="BP270" s="326">
        <v>0</v>
      </c>
      <c r="BQ270" s="326">
        <v>0</v>
      </c>
      <c r="BR270" s="326">
        <v>0</v>
      </c>
      <c r="BS270" s="326">
        <v>0</v>
      </c>
      <c r="BT270" s="326">
        <v>0</v>
      </c>
      <c r="BU270" s="326">
        <v>0</v>
      </c>
      <c r="BV270" s="326">
        <v>0</v>
      </c>
      <c r="BW270" s="326">
        <v>0</v>
      </c>
      <c r="BX270" s="326">
        <v>0</v>
      </c>
      <c r="BY270" s="326">
        <v>0</v>
      </c>
    </row>
    <row r="271" spans="2:83">
      <c r="B271" s="324" t="s">
        <v>106</v>
      </c>
      <c r="D271" s="320">
        <f t="shared" si="161"/>
        <v>815.28991441746791</v>
      </c>
      <c r="E271" s="319">
        <f t="shared" si="126"/>
        <v>0</v>
      </c>
      <c r="F271" s="319">
        <f t="shared" si="127"/>
        <v>815.28991441746791</v>
      </c>
      <c r="G271" s="319">
        <f t="shared" si="128"/>
        <v>0</v>
      </c>
      <c r="H271" s="319">
        <f t="shared" si="129"/>
        <v>0</v>
      </c>
      <c r="I271" s="319">
        <f t="shared" si="130"/>
        <v>0</v>
      </c>
      <c r="J271" s="319">
        <f t="shared" si="131"/>
        <v>0</v>
      </c>
      <c r="K271" s="319">
        <f t="shared" si="132"/>
        <v>0</v>
      </c>
      <c r="L271" s="319">
        <f t="shared" si="133"/>
        <v>0</v>
      </c>
      <c r="M271" s="319">
        <f t="shared" si="134"/>
        <v>0</v>
      </c>
      <c r="N271" s="319">
        <f t="shared" si="135"/>
        <v>0</v>
      </c>
      <c r="O271" s="319">
        <f t="shared" si="136"/>
        <v>0</v>
      </c>
      <c r="P271" s="319">
        <f t="shared" si="137"/>
        <v>0</v>
      </c>
      <c r="Q271" s="319">
        <f t="shared" si="138"/>
        <v>0</v>
      </c>
      <c r="R271" s="319">
        <f t="shared" si="139"/>
        <v>0</v>
      </c>
      <c r="S271" s="319">
        <f t="shared" si="140"/>
        <v>0</v>
      </c>
      <c r="T271" s="319">
        <f t="shared" si="141"/>
        <v>0</v>
      </c>
      <c r="U271" s="319">
        <f t="shared" si="142"/>
        <v>0</v>
      </c>
      <c r="V271" s="319">
        <f t="shared" si="143"/>
        <v>0</v>
      </c>
      <c r="W271" s="319">
        <f t="shared" si="144"/>
        <v>0</v>
      </c>
      <c r="X271" s="319">
        <f t="shared" si="145"/>
        <v>0</v>
      </c>
      <c r="Y271" s="319">
        <f t="shared" si="146"/>
        <v>0</v>
      </c>
      <c r="Z271" s="319">
        <f t="shared" si="147"/>
        <v>0</v>
      </c>
      <c r="AA271" s="319">
        <f t="shared" si="148"/>
        <v>0</v>
      </c>
      <c r="AB271" s="319">
        <f t="shared" si="149"/>
        <v>0</v>
      </c>
      <c r="AC271" s="319">
        <f t="shared" si="150"/>
        <v>0</v>
      </c>
      <c r="AD271" s="319">
        <f t="shared" si="151"/>
        <v>0</v>
      </c>
      <c r="AE271" s="319">
        <f t="shared" si="152"/>
        <v>0</v>
      </c>
      <c r="AF271" s="319">
        <f t="shared" si="153"/>
        <v>0</v>
      </c>
      <c r="AG271" s="319">
        <f t="shared" si="154"/>
        <v>0</v>
      </c>
      <c r="AH271" s="319">
        <f t="shared" si="155"/>
        <v>0</v>
      </c>
      <c r="AI271" s="319">
        <f t="shared" si="156"/>
        <v>0</v>
      </c>
      <c r="AJ271" s="319">
        <f t="shared" si="157"/>
        <v>0</v>
      </c>
      <c r="AK271" s="319">
        <f t="shared" si="158"/>
        <v>0</v>
      </c>
      <c r="AL271" s="319">
        <f t="shared" si="159"/>
        <v>0</v>
      </c>
      <c r="AM271" s="319">
        <f t="shared" si="160"/>
        <v>0</v>
      </c>
      <c r="AN271" s="319"/>
      <c r="AP271" s="266" t="s">
        <v>106</v>
      </c>
      <c r="AQ271" s="326">
        <v>6.6667000000000004E-2</v>
      </c>
      <c r="AR271" s="326">
        <v>6.6667000000000004E-2</v>
      </c>
      <c r="AS271" s="326">
        <v>6.6667000000000004E-2</v>
      </c>
      <c r="AT271" s="326">
        <v>6.6667000000000004E-2</v>
      </c>
      <c r="AU271" s="326">
        <v>6.6667000000000004E-2</v>
      </c>
      <c r="AV271" s="326">
        <v>6.6667000000000004E-2</v>
      </c>
      <c r="AW271" s="326">
        <v>6.6667000000000004E-2</v>
      </c>
      <c r="AX271" s="326">
        <v>6.6667000000000004E-2</v>
      </c>
      <c r="AY271" s="326">
        <v>6.6667000000000004E-2</v>
      </c>
      <c r="AZ271" s="326">
        <v>6.6667000000000004E-2</v>
      </c>
      <c r="BA271" s="326">
        <v>6.6667000000000004E-2</v>
      </c>
      <c r="BB271" s="326">
        <v>6.6667000000000004E-2</v>
      </c>
      <c r="BC271" s="326">
        <v>6.6667000000000004E-2</v>
      </c>
      <c r="BD271" s="326">
        <v>6.6667000000000004E-2</v>
      </c>
      <c r="BE271" s="326">
        <v>6.6667000000000004E-2</v>
      </c>
      <c r="BF271" s="326">
        <v>0</v>
      </c>
      <c r="BG271" s="326">
        <v>0</v>
      </c>
      <c r="BH271" s="326">
        <v>0</v>
      </c>
      <c r="BI271" s="326">
        <v>0</v>
      </c>
      <c r="BJ271" s="326">
        <v>0</v>
      </c>
      <c r="BK271" s="326">
        <v>0</v>
      </c>
      <c r="BL271" s="326">
        <v>0</v>
      </c>
      <c r="BM271" s="326">
        <v>0</v>
      </c>
      <c r="BN271" s="326">
        <v>0</v>
      </c>
      <c r="BO271" s="326">
        <v>0</v>
      </c>
      <c r="BP271" s="326">
        <v>0</v>
      </c>
      <c r="BQ271" s="326">
        <v>0</v>
      </c>
      <c r="BR271" s="326">
        <v>0</v>
      </c>
      <c r="BS271" s="326">
        <v>0</v>
      </c>
      <c r="BT271" s="326">
        <v>0</v>
      </c>
      <c r="BU271" s="326">
        <v>0</v>
      </c>
      <c r="BV271" s="326">
        <v>0</v>
      </c>
      <c r="BW271" s="326">
        <v>0</v>
      </c>
      <c r="BX271" s="326">
        <v>0</v>
      </c>
      <c r="BY271" s="326">
        <v>0</v>
      </c>
      <c r="CE271" s="326"/>
    </row>
    <row r="272" spans="2:83" ht="10.15" customHeight="1">
      <c r="B272" s="324" t="s">
        <v>107</v>
      </c>
      <c r="D272" s="320">
        <f t="shared" si="161"/>
        <v>815.28991441746791</v>
      </c>
      <c r="E272" s="319">
        <f t="shared" si="126"/>
        <v>0</v>
      </c>
      <c r="F272" s="319">
        <f t="shared" si="127"/>
        <v>815.28991441746791</v>
      </c>
      <c r="G272" s="319">
        <f t="shared" si="128"/>
        <v>0</v>
      </c>
      <c r="H272" s="319">
        <f t="shared" si="129"/>
        <v>0</v>
      </c>
      <c r="I272" s="319">
        <f t="shared" si="130"/>
        <v>0</v>
      </c>
      <c r="J272" s="319">
        <f t="shared" si="131"/>
        <v>0</v>
      </c>
      <c r="K272" s="319">
        <f t="shared" si="132"/>
        <v>0</v>
      </c>
      <c r="L272" s="319">
        <f t="shared" si="133"/>
        <v>0</v>
      </c>
      <c r="M272" s="319">
        <f t="shared" si="134"/>
        <v>0</v>
      </c>
      <c r="N272" s="319">
        <f t="shared" si="135"/>
        <v>0</v>
      </c>
      <c r="O272" s="319">
        <f t="shared" si="136"/>
        <v>0</v>
      </c>
      <c r="P272" s="319">
        <f t="shared" si="137"/>
        <v>0</v>
      </c>
      <c r="Q272" s="319">
        <f t="shared" si="138"/>
        <v>0</v>
      </c>
      <c r="R272" s="319">
        <f t="shared" si="139"/>
        <v>0</v>
      </c>
      <c r="S272" s="319">
        <f t="shared" si="140"/>
        <v>0</v>
      </c>
      <c r="T272" s="319">
        <f t="shared" si="141"/>
        <v>0</v>
      </c>
      <c r="U272" s="319">
        <f t="shared" si="142"/>
        <v>0</v>
      </c>
      <c r="V272" s="319">
        <f t="shared" si="143"/>
        <v>0</v>
      </c>
      <c r="W272" s="319">
        <f t="shared" si="144"/>
        <v>0</v>
      </c>
      <c r="X272" s="319">
        <f t="shared" si="145"/>
        <v>0</v>
      </c>
      <c r="Y272" s="319">
        <f t="shared" si="146"/>
        <v>0</v>
      </c>
      <c r="Z272" s="319">
        <f t="shared" si="147"/>
        <v>0</v>
      </c>
      <c r="AA272" s="319">
        <f t="shared" si="148"/>
        <v>0</v>
      </c>
      <c r="AB272" s="319">
        <f t="shared" si="149"/>
        <v>0</v>
      </c>
      <c r="AC272" s="319">
        <f t="shared" si="150"/>
        <v>0</v>
      </c>
      <c r="AD272" s="319">
        <f t="shared" si="151"/>
        <v>0</v>
      </c>
      <c r="AE272" s="319">
        <f t="shared" si="152"/>
        <v>0</v>
      </c>
      <c r="AF272" s="319">
        <f t="shared" si="153"/>
        <v>0</v>
      </c>
      <c r="AG272" s="319">
        <f t="shared" si="154"/>
        <v>0</v>
      </c>
      <c r="AH272" s="319">
        <f t="shared" si="155"/>
        <v>0</v>
      </c>
      <c r="AI272" s="319">
        <f t="shared" si="156"/>
        <v>0</v>
      </c>
      <c r="AJ272" s="319">
        <f t="shared" si="157"/>
        <v>0</v>
      </c>
      <c r="AK272" s="319">
        <f t="shared" si="158"/>
        <v>0</v>
      </c>
      <c r="AL272" s="319">
        <f t="shared" si="159"/>
        <v>0</v>
      </c>
      <c r="AM272" s="319">
        <f t="shared" si="160"/>
        <v>0</v>
      </c>
      <c r="AN272" s="319"/>
      <c r="AP272" s="266" t="s">
        <v>107</v>
      </c>
      <c r="AQ272" s="326">
        <v>0</v>
      </c>
      <c r="AR272" s="326">
        <v>6.6667000000000004E-2</v>
      </c>
      <c r="AS272" s="326">
        <v>6.6667000000000004E-2</v>
      </c>
      <c r="AT272" s="326">
        <v>6.6667000000000004E-2</v>
      </c>
      <c r="AU272" s="326">
        <v>6.6667000000000004E-2</v>
      </c>
      <c r="AV272" s="326">
        <v>6.6667000000000004E-2</v>
      </c>
      <c r="AW272" s="326">
        <v>6.6667000000000004E-2</v>
      </c>
      <c r="AX272" s="326">
        <v>6.6667000000000004E-2</v>
      </c>
      <c r="AY272" s="326">
        <v>6.6667000000000004E-2</v>
      </c>
      <c r="AZ272" s="326">
        <v>6.6667000000000004E-2</v>
      </c>
      <c r="BA272" s="326">
        <v>6.6667000000000004E-2</v>
      </c>
      <c r="BB272" s="326">
        <v>6.6667000000000004E-2</v>
      </c>
      <c r="BC272" s="326">
        <v>6.6667000000000004E-2</v>
      </c>
      <c r="BD272" s="326">
        <v>6.6667000000000004E-2</v>
      </c>
      <c r="BE272" s="326">
        <v>6.6667000000000004E-2</v>
      </c>
      <c r="BF272" s="326">
        <v>6.6667000000000004E-2</v>
      </c>
      <c r="BG272" s="326">
        <v>0</v>
      </c>
      <c r="BH272" s="326">
        <v>0</v>
      </c>
      <c r="BI272" s="326">
        <v>0</v>
      </c>
      <c r="BJ272" s="326">
        <v>0</v>
      </c>
      <c r="BK272" s="326">
        <v>0</v>
      </c>
      <c r="BL272" s="326">
        <v>0</v>
      </c>
      <c r="BM272" s="326">
        <v>0</v>
      </c>
      <c r="BN272" s="326">
        <v>0</v>
      </c>
      <c r="BO272" s="326">
        <v>0</v>
      </c>
      <c r="BP272" s="326">
        <v>0</v>
      </c>
      <c r="BQ272" s="326">
        <v>0</v>
      </c>
      <c r="BR272" s="326">
        <v>0</v>
      </c>
      <c r="BS272" s="326">
        <v>0</v>
      </c>
      <c r="BT272" s="326">
        <v>0</v>
      </c>
      <c r="BU272" s="326">
        <v>0</v>
      </c>
      <c r="BV272" s="326">
        <v>0</v>
      </c>
      <c r="BW272" s="326">
        <v>0</v>
      </c>
      <c r="BX272" s="326">
        <v>0</v>
      </c>
      <c r="BY272" s="326">
        <v>0</v>
      </c>
    </row>
    <row r="273" spans="2:77" ht="10.15" customHeight="1">
      <c r="B273" s="324" t="s">
        <v>108</v>
      </c>
      <c r="D273" s="320">
        <f t="shared" si="161"/>
        <v>0</v>
      </c>
      <c r="E273" s="319">
        <f t="shared" si="126"/>
        <v>0</v>
      </c>
      <c r="F273" s="319">
        <f t="shared" si="127"/>
        <v>0</v>
      </c>
      <c r="G273" s="319">
        <f t="shared" si="128"/>
        <v>0</v>
      </c>
      <c r="H273" s="319">
        <f t="shared" si="129"/>
        <v>0</v>
      </c>
      <c r="I273" s="319">
        <f t="shared" si="130"/>
        <v>0</v>
      </c>
      <c r="J273" s="319">
        <f t="shared" si="131"/>
        <v>0</v>
      </c>
      <c r="K273" s="319">
        <f t="shared" si="132"/>
        <v>0</v>
      </c>
      <c r="L273" s="319">
        <f t="shared" si="133"/>
        <v>0</v>
      </c>
      <c r="M273" s="319">
        <f t="shared" si="134"/>
        <v>0</v>
      </c>
      <c r="N273" s="319">
        <f t="shared" si="135"/>
        <v>0</v>
      </c>
      <c r="O273" s="319">
        <f t="shared" si="136"/>
        <v>0</v>
      </c>
      <c r="P273" s="319">
        <f t="shared" si="137"/>
        <v>0</v>
      </c>
      <c r="Q273" s="319">
        <f t="shared" si="138"/>
        <v>0</v>
      </c>
      <c r="R273" s="319">
        <f t="shared" si="139"/>
        <v>0</v>
      </c>
      <c r="S273" s="319">
        <f t="shared" si="140"/>
        <v>0</v>
      </c>
      <c r="T273" s="319">
        <f t="shared" si="141"/>
        <v>0</v>
      </c>
      <c r="U273" s="319">
        <f t="shared" si="142"/>
        <v>0</v>
      </c>
      <c r="V273" s="319">
        <f t="shared" si="143"/>
        <v>0</v>
      </c>
      <c r="W273" s="319">
        <f t="shared" si="144"/>
        <v>0</v>
      </c>
      <c r="X273" s="319">
        <f t="shared" si="145"/>
        <v>0</v>
      </c>
      <c r="Y273" s="319">
        <f t="shared" si="146"/>
        <v>0</v>
      </c>
      <c r="Z273" s="319">
        <f t="shared" si="147"/>
        <v>0</v>
      </c>
      <c r="AA273" s="319">
        <f t="shared" si="148"/>
        <v>0</v>
      </c>
      <c r="AB273" s="319">
        <f t="shared" si="149"/>
        <v>0</v>
      </c>
      <c r="AC273" s="319">
        <f t="shared" si="150"/>
        <v>0</v>
      </c>
      <c r="AD273" s="319">
        <f t="shared" si="151"/>
        <v>0</v>
      </c>
      <c r="AE273" s="319">
        <f t="shared" si="152"/>
        <v>0</v>
      </c>
      <c r="AF273" s="319">
        <f t="shared" si="153"/>
        <v>0</v>
      </c>
      <c r="AG273" s="319">
        <f t="shared" si="154"/>
        <v>0</v>
      </c>
      <c r="AH273" s="319">
        <f t="shared" si="155"/>
        <v>0</v>
      </c>
      <c r="AI273" s="319">
        <f t="shared" si="156"/>
        <v>0</v>
      </c>
      <c r="AJ273" s="319">
        <f t="shared" si="157"/>
        <v>0</v>
      </c>
      <c r="AK273" s="319">
        <f t="shared" si="158"/>
        <v>0</v>
      </c>
      <c r="AL273" s="319">
        <f t="shared" si="159"/>
        <v>0</v>
      </c>
      <c r="AM273" s="319">
        <f t="shared" si="160"/>
        <v>0</v>
      </c>
      <c r="AN273" s="319"/>
      <c r="AP273" s="266" t="s">
        <v>108</v>
      </c>
      <c r="AQ273" s="326">
        <v>0</v>
      </c>
      <c r="AR273" s="326">
        <v>0</v>
      </c>
      <c r="AS273" s="326">
        <v>6.6667000000000004E-2</v>
      </c>
      <c r="AT273" s="326">
        <v>6.6667000000000004E-2</v>
      </c>
      <c r="AU273" s="326">
        <v>6.6667000000000004E-2</v>
      </c>
      <c r="AV273" s="326">
        <v>6.6667000000000004E-2</v>
      </c>
      <c r="AW273" s="326">
        <v>6.6667000000000004E-2</v>
      </c>
      <c r="AX273" s="326">
        <v>6.6667000000000004E-2</v>
      </c>
      <c r="AY273" s="326">
        <v>6.6667000000000004E-2</v>
      </c>
      <c r="AZ273" s="326">
        <v>6.6667000000000004E-2</v>
      </c>
      <c r="BA273" s="326">
        <v>6.6667000000000004E-2</v>
      </c>
      <c r="BB273" s="326">
        <v>6.6667000000000004E-2</v>
      </c>
      <c r="BC273" s="326">
        <v>6.6667000000000004E-2</v>
      </c>
      <c r="BD273" s="326">
        <v>6.6667000000000004E-2</v>
      </c>
      <c r="BE273" s="326">
        <v>6.6667000000000004E-2</v>
      </c>
      <c r="BF273" s="326">
        <v>6.6667000000000004E-2</v>
      </c>
      <c r="BG273" s="326">
        <v>6.6667000000000004E-2</v>
      </c>
      <c r="BH273" s="326">
        <v>0</v>
      </c>
      <c r="BI273" s="326">
        <v>0</v>
      </c>
      <c r="BJ273" s="326">
        <v>0</v>
      </c>
      <c r="BK273" s="326">
        <v>0</v>
      </c>
      <c r="BL273" s="326">
        <v>0</v>
      </c>
      <c r="BM273" s="326">
        <v>0</v>
      </c>
      <c r="BN273" s="326">
        <v>0</v>
      </c>
      <c r="BO273" s="326">
        <v>0</v>
      </c>
      <c r="BP273" s="326">
        <v>0</v>
      </c>
      <c r="BQ273" s="326">
        <v>0</v>
      </c>
      <c r="BR273" s="326">
        <v>0</v>
      </c>
      <c r="BS273" s="326">
        <v>0</v>
      </c>
      <c r="BT273" s="326">
        <v>0</v>
      </c>
      <c r="BU273" s="326">
        <v>0</v>
      </c>
      <c r="BV273" s="326">
        <v>0</v>
      </c>
      <c r="BW273" s="326">
        <v>0</v>
      </c>
      <c r="BX273" s="326">
        <v>0</v>
      </c>
      <c r="BY273" s="326">
        <v>0</v>
      </c>
    </row>
    <row r="274" spans="2:77" ht="10.15" customHeight="1">
      <c r="B274" s="324" t="s">
        <v>109</v>
      </c>
      <c r="D274" s="320">
        <f t="shared" si="161"/>
        <v>0</v>
      </c>
      <c r="E274" s="319">
        <f t="shared" si="126"/>
        <v>0</v>
      </c>
      <c r="F274" s="319">
        <f t="shared" si="127"/>
        <v>0</v>
      </c>
      <c r="G274" s="319">
        <f t="shared" si="128"/>
        <v>0</v>
      </c>
      <c r="H274" s="319">
        <f t="shared" si="129"/>
        <v>0</v>
      </c>
      <c r="I274" s="319">
        <f t="shared" si="130"/>
        <v>0</v>
      </c>
      <c r="J274" s="319">
        <f t="shared" si="131"/>
        <v>0</v>
      </c>
      <c r="K274" s="319">
        <f t="shared" si="132"/>
        <v>0</v>
      </c>
      <c r="L274" s="319">
        <f t="shared" si="133"/>
        <v>0</v>
      </c>
      <c r="M274" s="319">
        <f t="shared" si="134"/>
        <v>0</v>
      </c>
      <c r="N274" s="319">
        <f t="shared" si="135"/>
        <v>0</v>
      </c>
      <c r="O274" s="319">
        <f t="shared" si="136"/>
        <v>0</v>
      </c>
      <c r="P274" s="319">
        <f t="shared" si="137"/>
        <v>0</v>
      </c>
      <c r="Q274" s="319">
        <f t="shared" si="138"/>
        <v>0</v>
      </c>
      <c r="R274" s="319">
        <f t="shared" si="139"/>
        <v>0</v>
      </c>
      <c r="S274" s="319">
        <f t="shared" si="140"/>
        <v>0</v>
      </c>
      <c r="T274" s="319">
        <f t="shared" si="141"/>
        <v>0</v>
      </c>
      <c r="U274" s="319">
        <f t="shared" si="142"/>
        <v>0</v>
      </c>
      <c r="V274" s="319">
        <f t="shared" si="143"/>
        <v>0</v>
      </c>
      <c r="W274" s="319">
        <f t="shared" si="144"/>
        <v>0</v>
      </c>
      <c r="X274" s="319">
        <f t="shared" si="145"/>
        <v>0</v>
      </c>
      <c r="Y274" s="319">
        <f t="shared" si="146"/>
        <v>0</v>
      </c>
      <c r="Z274" s="319">
        <f t="shared" si="147"/>
        <v>0</v>
      </c>
      <c r="AA274" s="319">
        <f t="shared" si="148"/>
        <v>0</v>
      </c>
      <c r="AB274" s="319">
        <f t="shared" si="149"/>
        <v>0</v>
      </c>
      <c r="AC274" s="319">
        <f t="shared" si="150"/>
        <v>0</v>
      </c>
      <c r="AD274" s="319">
        <f t="shared" si="151"/>
        <v>0</v>
      </c>
      <c r="AE274" s="319">
        <f t="shared" si="152"/>
        <v>0</v>
      </c>
      <c r="AF274" s="319">
        <f t="shared" si="153"/>
        <v>0</v>
      </c>
      <c r="AG274" s="319">
        <f t="shared" si="154"/>
        <v>0</v>
      </c>
      <c r="AH274" s="319">
        <f t="shared" si="155"/>
        <v>0</v>
      </c>
      <c r="AI274" s="319">
        <f t="shared" si="156"/>
        <v>0</v>
      </c>
      <c r="AJ274" s="319">
        <f t="shared" si="157"/>
        <v>0</v>
      </c>
      <c r="AK274" s="319">
        <f t="shared" si="158"/>
        <v>0</v>
      </c>
      <c r="AL274" s="319">
        <f t="shared" si="159"/>
        <v>0</v>
      </c>
      <c r="AM274" s="319">
        <f t="shared" si="160"/>
        <v>0</v>
      </c>
      <c r="AN274" s="319"/>
      <c r="AP274" s="266" t="s">
        <v>109</v>
      </c>
      <c r="AQ274" s="326">
        <v>0</v>
      </c>
      <c r="AR274" s="326">
        <v>0</v>
      </c>
      <c r="AS274" s="326">
        <v>0</v>
      </c>
      <c r="AT274" s="326">
        <v>6.6667000000000004E-2</v>
      </c>
      <c r="AU274" s="326">
        <v>6.6667000000000004E-2</v>
      </c>
      <c r="AV274" s="326">
        <v>6.6667000000000004E-2</v>
      </c>
      <c r="AW274" s="326">
        <v>6.6667000000000004E-2</v>
      </c>
      <c r="AX274" s="326">
        <v>6.6667000000000004E-2</v>
      </c>
      <c r="AY274" s="326">
        <v>6.6667000000000004E-2</v>
      </c>
      <c r="AZ274" s="326">
        <v>6.6667000000000004E-2</v>
      </c>
      <c r="BA274" s="326">
        <v>6.6667000000000004E-2</v>
      </c>
      <c r="BB274" s="326">
        <v>6.6667000000000004E-2</v>
      </c>
      <c r="BC274" s="326">
        <v>6.6667000000000004E-2</v>
      </c>
      <c r="BD274" s="326">
        <v>6.6667000000000004E-2</v>
      </c>
      <c r="BE274" s="326">
        <v>6.6667000000000004E-2</v>
      </c>
      <c r="BF274" s="326">
        <v>6.6667000000000004E-2</v>
      </c>
      <c r="BG274" s="326">
        <v>6.6667000000000004E-2</v>
      </c>
      <c r="BH274" s="326">
        <v>6.6667000000000004E-2</v>
      </c>
      <c r="BI274" s="326">
        <v>0</v>
      </c>
      <c r="BJ274" s="326">
        <v>0</v>
      </c>
      <c r="BK274" s="326">
        <v>0</v>
      </c>
      <c r="BL274" s="326">
        <v>0</v>
      </c>
      <c r="BM274" s="326">
        <v>0</v>
      </c>
      <c r="BN274" s="326">
        <v>0</v>
      </c>
      <c r="BO274" s="326">
        <v>0</v>
      </c>
      <c r="BP274" s="326">
        <v>0</v>
      </c>
      <c r="BQ274" s="326">
        <v>0</v>
      </c>
      <c r="BR274" s="326">
        <v>0</v>
      </c>
      <c r="BS274" s="326">
        <v>0</v>
      </c>
      <c r="BT274" s="326">
        <v>0</v>
      </c>
      <c r="BU274" s="326">
        <v>0</v>
      </c>
      <c r="BV274" s="326">
        <v>0</v>
      </c>
      <c r="BW274" s="326">
        <v>0</v>
      </c>
      <c r="BX274" s="326">
        <v>0</v>
      </c>
      <c r="BY274" s="326">
        <v>0</v>
      </c>
    </row>
    <row r="275" spans="2:77" ht="10.15" customHeight="1">
      <c r="B275" s="324" t="s">
        <v>110</v>
      </c>
      <c r="D275" s="320">
        <f t="shared" si="161"/>
        <v>0</v>
      </c>
      <c r="E275" s="319">
        <f t="shared" si="126"/>
        <v>0</v>
      </c>
      <c r="F275" s="319">
        <f t="shared" si="127"/>
        <v>0</v>
      </c>
      <c r="G275" s="319">
        <f t="shared" si="128"/>
        <v>0</v>
      </c>
      <c r="H275" s="319">
        <f t="shared" si="129"/>
        <v>0</v>
      </c>
      <c r="I275" s="319">
        <f t="shared" si="130"/>
        <v>0</v>
      </c>
      <c r="J275" s="319">
        <f t="shared" si="131"/>
        <v>0</v>
      </c>
      <c r="K275" s="319">
        <f t="shared" si="132"/>
        <v>0</v>
      </c>
      <c r="L275" s="319">
        <f t="shared" si="133"/>
        <v>0</v>
      </c>
      <c r="M275" s="319">
        <f t="shared" si="134"/>
        <v>0</v>
      </c>
      <c r="N275" s="319">
        <f t="shared" si="135"/>
        <v>0</v>
      </c>
      <c r="O275" s="319">
        <f t="shared" si="136"/>
        <v>0</v>
      </c>
      <c r="P275" s="319">
        <f t="shared" si="137"/>
        <v>0</v>
      </c>
      <c r="Q275" s="319">
        <f t="shared" si="138"/>
        <v>0</v>
      </c>
      <c r="R275" s="319">
        <f t="shared" si="139"/>
        <v>0</v>
      </c>
      <c r="S275" s="319">
        <f t="shared" si="140"/>
        <v>0</v>
      </c>
      <c r="T275" s="319">
        <f t="shared" si="141"/>
        <v>0</v>
      </c>
      <c r="U275" s="319">
        <f t="shared" si="142"/>
        <v>0</v>
      </c>
      <c r="V275" s="319">
        <f t="shared" si="143"/>
        <v>0</v>
      </c>
      <c r="W275" s="319">
        <f t="shared" si="144"/>
        <v>0</v>
      </c>
      <c r="X275" s="319">
        <f t="shared" si="145"/>
        <v>0</v>
      </c>
      <c r="Y275" s="319">
        <f t="shared" si="146"/>
        <v>0</v>
      </c>
      <c r="Z275" s="319">
        <f t="shared" si="147"/>
        <v>0</v>
      </c>
      <c r="AA275" s="319">
        <f t="shared" si="148"/>
        <v>0</v>
      </c>
      <c r="AB275" s="319">
        <f t="shared" si="149"/>
        <v>0</v>
      </c>
      <c r="AC275" s="319">
        <f t="shared" si="150"/>
        <v>0</v>
      </c>
      <c r="AD275" s="319">
        <f t="shared" si="151"/>
        <v>0</v>
      </c>
      <c r="AE275" s="319">
        <f t="shared" si="152"/>
        <v>0</v>
      </c>
      <c r="AF275" s="319">
        <f t="shared" si="153"/>
        <v>0</v>
      </c>
      <c r="AG275" s="319">
        <f t="shared" si="154"/>
        <v>0</v>
      </c>
      <c r="AH275" s="319">
        <f t="shared" si="155"/>
        <v>0</v>
      </c>
      <c r="AI275" s="319">
        <f t="shared" si="156"/>
        <v>0</v>
      </c>
      <c r="AJ275" s="319">
        <f t="shared" si="157"/>
        <v>0</v>
      </c>
      <c r="AK275" s="319">
        <f t="shared" si="158"/>
        <v>0</v>
      </c>
      <c r="AL275" s="319">
        <f t="shared" si="159"/>
        <v>0</v>
      </c>
      <c r="AM275" s="319">
        <f t="shared" si="160"/>
        <v>0</v>
      </c>
      <c r="AN275" s="319"/>
      <c r="AP275" s="266" t="s">
        <v>110</v>
      </c>
      <c r="AQ275" s="326">
        <v>0</v>
      </c>
      <c r="AR275" s="326">
        <v>0</v>
      </c>
      <c r="AS275" s="326">
        <v>0</v>
      </c>
      <c r="AT275" s="326">
        <v>0</v>
      </c>
      <c r="AU275" s="326">
        <v>6.6667000000000004E-2</v>
      </c>
      <c r="AV275" s="326">
        <v>6.6667000000000004E-2</v>
      </c>
      <c r="AW275" s="326">
        <v>6.6667000000000004E-2</v>
      </c>
      <c r="AX275" s="326">
        <v>6.6667000000000004E-2</v>
      </c>
      <c r="AY275" s="326">
        <v>6.6667000000000004E-2</v>
      </c>
      <c r="AZ275" s="326">
        <v>6.6667000000000004E-2</v>
      </c>
      <c r="BA275" s="326">
        <v>6.6667000000000004E-2</v>
      </c>
      <c r="BB275" s="326">
        <v>6.6667000000000004E-2</v>
      </c>
      <c r="BC275" s="326">
        <v>6.6667000000000004E-2</v>
      </c>
      <c r="BD275" s="326">
        <v>6.6667000000000004E-2</v>
      </c>
      <c r="BE275" s="326">
        <v>6.6667000000000004E-2</v>
      </c>
      <c r="BF275" s="326">
        <v>6.6667000000000004E-2</v>
      </c>
      <c r="BG275" s="326">
        <v>6.6667000000000004E-2</v>
      </c>
      <c r="BH275" s="326">
        <v>6.6667000000000004E-2</v>
      </c>
      <c r="BI275" s="326">
        <v>6.6667000000000004E-2</v>
      </c>
      <c r="BJ275" s="326">
        <v>0</v>
      </c>
      <c r="BK275" s="326">
        <v>0</v>
      </c>
      <c r="BL275" s="326">
        <v>0</v>
      </c>
      <c r="BM275" s="326">
        <v>0</v>
      </c>
      <c r="BN275" s="326">
        <v>0</v>
      </c>
      <c r="BO275" s="326">
        <v>0</v>
      </c>
      <c r="BP275" s="326">
        <v>0</v>
      </c>
      <c r="BQ275" s="326">
        <v>0</v>
      </c>
      <c r="BR275" s="326">
        <v>0</v>
      </c>
      <c r="BS275" s="326">
        <v>0</v>
      </c>
      <c r="BT275" s="326">
        <v>0</v>
      </c>
      <c r="BU275" s="326">
        <v>0</v>
      </c>
      <c r="BV275" s="326">
        <v>0</v>
      </c>
      <c r="BW275" s="326">
        <v>0</v>
      </c>
      <c r="BX275" s="326">
        <v>0</v>
      </c>
      <c r="BY275" s="326">
        <v>0</v>
      </c>
    </row>
    <row r="276" spans="2:77" ht="10.15" customHeight="1">
      <c r="B276" s="324" t="s">
        <v>111</v>
      </c>
      <c r="D276" s="320">
        <f t="shared" si="161"/>
        <v>0</v>
      </c>
      <c r="E276" s="319">
        <f t="shared" si="126"/>
        <v>0</v>
      </c>
      <c r="F276" s="319">
        <f t="shared" si="127"/>
        <v>0</v>
      </c>
      <c r="G276" s="319">
        <f t="shared" si="128"/>
        <v>0</v>
      </c>
      <c r="H276" s="319">
        <f t="shared" si="129"/>
        <v>0</v>
      </c>
      <c r="I276" s="319">
        <f t="shared" si="130"/>
        <v>0</v>
      </c>
      <c r="J276" s="319">
        <f t="shared" si="131"/>
        <v>0</v>
      </c>
      <c r="K276" s="319">
        <f t="shared" si="132"/>
        <v>0</v>
      </c>
      <c r="L276" s="319">
        <f t="shared" si="133"/>
        <v>0</v>
      </c>
      <c r="M276" s="319">
        <f t="shared" si="134"/>
        <v>0</v>
      </c>
      <c r="N276" s="319">
        <f t="shared" si="135"/>
        <v>0</v>
      </c>
      <c r="O276" s="319">
        <f t="shared" si="136"/>
        <v>0</v>
      </c>
      <c r="P276" s="319">
        <f t="shared" si="137"/>
        <v>0</v>
      </c>
      <c r="Q276" s="319">
        <f t="shared" si="138"/>
        <v>0</v>
      </c>
      <c r="R276" s="319">
        <f t="shared" si="139"/>
        <v>0</v>
      </c>
      <c r="S276" s="319">
        <f t="shared" si="140"/>
        <v>0</v>
      </c>
      <c r="T276" s="319">
        <f t="shared" si="141"/>
        <v>0</v>
      </c>
      <c r="U276" s="319">
        <f t="shared" si="142"/>
        <v>0</v>
      </c>
      <c r="V276" s="319">
        <f t="shared" si="143"/>
        <v>0</v>
      </c>
      <c r="W276" s="319">
        <f t="shared" si="144"/>
        <v>0</v>
      </c>
      <c r="X276" s="319">
        <f t="shared" si="145"/>
        <v>0</v>
      </c>
      <c r="Y276" s="319">
        <f t="shared" si="146"/>
        <v>0</v>
      </c>
      <c r="Z276" s="319">
        <f t="shared" si="147"/>
        <v>0</v>
      </c>
      <c r="AA276" s="319">
        <f t="shared" si="148"/>
        <v>0</v>
      </c>
      <c r="AB276" s="319">
        <f t="shared" si="149"/>
        <v>0</v>
      </c>
      <c r="AC276" s="319">
        <f t="shared" si="150"/>
        <v>0</v>
      </c>
      <c r="AD276" s="319">
        <f t="shared" si="151"/>
        <v>0</v>
      </c>
      <c r="AE276" s="319">
        <f t="shared" si="152"/>
        <v>0</v>
      </c>
      <c r="AF276" s="319">
        <f t="shared" si="153"/>
        <v>0</v>
      </c>
      <c r="AG276" s="319">
        <f t="shared" si="154"/>
        <v>0</v>
      </c>
      <c r="AH276" s="319">
        <f t="shared" si="155"/>
        <v>0</v>
      </c>
      <c r="AI276" s="319">
        <f t="shared" si="156"/>
        <v>0</v>
      </c>
      <c r="AJ276" s="319">
        <f t="shared" si="157"/>
        <v>0</v>
      </c>
      <c r="AK276" s="319">
        <f t="shared" si="158"/>
        <v>0</v>
      </c>
      <c r="AL276" s="319">
        <f t="shared" si="159"/>
        <v>0</v>
      </c>
      <c r="AM276" s="319">
        <f t="shared" si="160"/>
        <v>0</v>
      </c>
      <c r="AN276" s="319"/>
      <c r="AP276" s="266" t="s">
        <v>111</v>
      </c>
      <c r="AQ276" s="326">
        <v>0</v>
      </c>
      <c r="AR276" s="326">
        <v>0</v>
      </c>
      <c r="AS276" s="326">
        <v>0</v>
      </c>
      <c r="AT276" s="326">
        <v>0</v>
      </c>
      <c r="AU276" s="326">
        <v>0</v>
      </c>
      <c r="AV276" s="326">
        <v>6.6667000000000004E-2</v>
      </c>
      <c r="AW276" s="326">
        <v>6.6667000000000004E-2</v>
      </c>
      <c r="AX276" s="326">
        <v>6.6667000000000004E-2</v>
      </c>
      <c r="AY276" s="326">
        <v>6.6667000000000004E-2</v>
      </c>
      <c r="AZ276" s="326">
        <v>6.6667000000000004E-2</v>
      </c>
      <c r="BA276" s="326">
        <v>6.6667000000000004E-2</v>
      </c>
      <c r="BB276" s="326">
        <v>6.6667000000000004E-2</v>
      </c>
      <c r="BC276" s="326">
        <v>6.6667000000000004E-2</v>
      </c>
      <c r="BD276" s="326">
        <v>6.6667000000000004E-2</v>
      </c>
      <c r="BE276" s="326">
        <v>6.6667000000000004E-2</v>
      </c>
      <c r="BF276" s="326">
        <v>6.6667000000000004E-2</v>
      </c>
      <c r="BG276" s="326">
        <v>6.6667000000000004E-2</v>
      </c>
      <c r="BH276" s="326">
        <v>6.6667000000000004E-2</v>
      </c>
      <c r="BI276" s="326">
        <v>6.6667000000000004E-2</v>
      </c>
      <c r="BJ276" s="326">
        <v>6.6667000000000004E-2</v>
      </c>
      <c r="BK276" s="326">
        <v>0</v>
      </c>
      <c r="BL276" s="326">
        <v>0</v>
      </c>
      <c r="BM276" s="326">
        <v>0</v>
      </c>
      <c r="BN276" s="326">
        <v>0</v>
      </c>
      <c r="BO276" s="326">
        <v>0</v>
      </c>
      <c r="BP276" s="326">
        <v>0</v>
      </c>
      <c r="BQ276" s="326">
        <v>0</v>
      </c>
      <c r="BR276" s="326">
        <v>0</v>
      </c>
      <c r="BS276" s="326">
        <v>0</v>
      </c>
      <c r="BT276" s="326">
        <v>0</v>
      </c>
      <c r="BU276" s="326">
        <v>0</v>
      </c>
      <c r="BV276" s="326">
        <v>0</v>
      </c>
      <c r="BW276" s="326">
        <v>0</v>
      </c>
      <c r="BX276" s="326">
        <v>0</v>
      </c>
      <c r="BY276" s="326">
        <v>0</v>
      </c>
    </row>
    <row r="277" spans="2:77" ht="10.15" customHeight="1">
      <c r="B277" s="324" t="s">
        <v>112</v>
      </c>
      <c r="D277" s="320">
        <f t="shared" si="161"/>
        <v>0</v>
      </c>
      <c r="E277" s="319">
        <f t="shared" si="126"/>
        <v>0</v>
      </c>
      <c r="F277" s="319">
        <f t="shared" si="127"/>
        <v>0</v>
      </c>
      <c r="G277" s="319">
        <f t="shared" si="128"/>
        <v>0</v>
      </c>
      <c r="H277" s="319">
        <f t="shared" si="129"/>
        <v>0</v>
      </c>
      <c r="I277" s="319">
        <f t="shared" si="130"/>
        <v>0</v>
      </c>
      <c r="J277" s="319">
        <f t="shared" si="131"/>
        <v>0</v>
      </c>
      <c r="K277" s="319">
        <f t="shared" si="132"/>
        <v>0</v>
      </c>
      <c r="L277" s="319">
        <f t="shared" si="133"/>
        <v>0</v>
      </c>
      <c r="M277" s="319">
        <f t="shared" si="134"/>
        <v>0</v>
      </c>
      <c r="N277" s="319">
        <f t="shared" si="135"/>
        <v>0</v>
      </c>
      <c r="O277" s="319">
        <f t="shared" si="136"/>
        <v>0</v>
      </c>
      <c r="P277" s="319">
        <f t="shared" si="137"/>
        <v>0</v>
      </c>
      <c r="Q277" s="319">
        <f t="shared" si="138"/>
        <v>0</v>
      </c>
      <c r="R277" s="319">
        <f t="shared" si="139"/>
        <v>0</v>
      </c>
      <c r="S277" s="319">
        <f t="shared" si="140"/>
        <v>0</v>
      </c>
      <c r="T277" s="319">
        <f t="shared" si="141"/>
        <v>0</v>
      </c>
      <c r="U277" s="319">
        <f t="shared" si="142"/>
        <v>0</v>
      </c>
      <c r="V277" s="319">
        <f t="shared" si="143"/>
        <v>0</v>
      </c>
      <c r="W277" s="319">
        <f t="shared" si="144"/>
        <v>0</v>
      </c>
      <c r="X277" s="319">
        <f t="shared" si="145"/>
        <v>0</v>
      </c>
      <c r="Y277" s="319">
        <f t="shared" si="146"/>
        <v>0</v>
      </c>
      <c r="Z277" s="319">
        <f t="shared" si="147"/>
        <v>0</v>
      </c>
      <c r="AA277" s="319">
        <f t="shared" si="148"/>
        <v>0</v>
      </c>
      <c r="AB277" s="319">
        <f t="shared" si="149"/>
        <v>0</v>
      </c>
      <c r="AC277" s="319">
        <f t="shared" si="150"/>
        <v>0</v>
      </c>
      <c r="AD277" s="319">
        <f t="shared" si="151"/>
        <v>0</v>
      </c>
      <c r="AE277" s="319">
        <f t="shared" si="152"/>
        <v>0</v>
      </c>
      <c r="AF277" s="319">
        <f t="shared" si="153"/>
        <v>0</v>
      </c>
      <c r="AG277" s="319">
        <f t="shared" si="154"/>
        <v>0</v>
      </c>
      <c r="AH277" s="319">
        <f t="shared" si="155"/>
        <v>0</v>
      </c>
      <c r="AI277" s="319">
        <f t="shared" si="156"/>
        <v>0</v>
      </c>
      <c r="AJ277" s="319">
        <f t="shared" si="157"/>
        <v>0</v>
      </c>
      <c r="AK277" s="319">
        <f t="shared" si="158"/>
        <v>0</v>
      </c>
      <c r="AL277" s="319">
        <f t="shared" si="159"/>
        <v>0</v>
      </c>
      <c r="AM277" s="319">
        <f t="shared" si="160"/>
        <v>0</v>
      </c>
      <c r="AN277" s="319"/>
      <c r="AP277" s="266" t="s">
        <v>112</v>
      </c>
      <c r="AQ277" s="326">
        <v>0</v>
      </c>
      <c r="AR277" s="326">
        <v>0</v>
      </c>
      <c r="AS277" s="326">
        <v>0</v>
      </c>
      <c r="AT277" s="326">
        <v>0</v>
      </c>
      <c r="AU277" s="326">
        <v>0</v>
      </c>
      <c r="AV277" s="326">
        <v>0</v>
      </c>
      <c r="AW277" s="326">
        <v>6.6667000000000004E-2</v>
      </c>
      <c r="AX277" s="326">
        <v>6.6667000000000004E-2</v>
      </c>
      <c r="AY277" s="326">
        <v>6.6667000000000004E-2</v>
      </c>
      <c r="AZ277" s="326">
        <v>6.6667000000000004E-2</v>
      </c>
      <c r="BA277" s="326">
        <v>6.6667000000000004E-2</v>
      </c>
      <c r="BB277" s="326">
        <v>6.6667000000000004E-2</v>
      </c>
      <c r="BC277" s="326">
        <v>6.6667000000000004E-2</v>
      </c>
      <c r="BD277" s="326">
        <v>6.6667000000000004E-2</v>
      </c>
      <c r="BE277" s="326">
        <v>6.6667000000000004E-2</v>
      </c>
      <c r="BF277" s="326">
        <v>6.6667000000000004E-2</v>
      </c>
      <c r="BG277" s="326">
        <v>6.6667000000000004E-2</v>
      </c>
      <c r="BH277" s="326">
        <v>6.6667000000000004E-2</v>
      </c>
      <c r="BI277" s="326">
        <v>6.6667000000000004E-2</v>
      </c>
      <c r="BJ277" s="326">
        <v>6.6667000000000004E-2</v>
      </c>
      <c r="BK277" s="326">
        <v>6.6667000000000004E-2</v>
      </c>
      <c r="BL277" s="326">
        <v>0</v>
      </c>
      <c r="BM277" s="326">
        <v>0</v>
      </c>
      <c r="BN277" s="326">
        <v>0</v>
      </c>
      <c r="BO277" s="326">
        <v>0</v>
      </c>
      <c r="BP277" s="326">
        <v>0</v>
      </c>
      <c r="BQ277" s="326">
        <v>0</v>
      </c>
      <c r="BR277" s="326">
        <v>0</v>
      </c>
      <c r="BS277" s="326">
        <v>0</v>
      </c>
      <c r="BT277" s="326">
        <v>0</v>
      </c>
      <c r="BU277" s="326">
        <v>0</v>
      </c>
      <c r="BV277" s="326">
        <v>0</v>
      </c>
      <c r="BW277" s="326">
        <v>0</v>
      </c>
      <c r="BX277" s="326">
        <v>0</v>
      </c>
      <c r="BY277" s="326">
        <v>0</v>
      </c>
    </row>
    <row r="278" spans="2:77" ht="10.15" customHeight="1">
      <c r="B278" s="324" t="s">
        <v>113</v>
      </c>
      <c r="D278" s="320">
        <f t="shared" si="161"/>
        <v>0</v>
      </c>
      <c r="E278" s="319">
        <f t="shared" si="126"/>
        <v>0</v>
      </c>
      <c r="F278" s="319">
        <f t="shared" si="127"/>
        <v>0</v>
      </c>
      <c r="G278" s="319">
        <f t="shared" si="128"/>
        <v>0</v>
      </c>
      <c r="H278" s="319">
        <f t="shared" si="129"/>
        <v>0</v>
      </c>
      <c r="I278" s="319">
        <f t="shared" si="130"/>
        <v>0</v>
      </c>
      <c r="J278" s="319">
        <f t="shared" si="131"/>
        <v>0</v>
      </c>
      <c r="K278" s="319">
        <f t="shared" si="132"/>
        <v>0</v>
      </c>
      <c r="L278" s="319">
        <f t="shared" si="133"/>
        <v>0</v>
      </c>
      <c r="M278" s="319">
        <f t="shared" si="134"/>
        <v>0</v>
      </c>
      <c r="N278" s="319">
        <f t="shared" si="135"/>
        <v>0</v>
      </c>
      <c r="O278" s="319">
        <f t="shared" si="136"/>
        <v>0</v>
      </c>
      <c r="P278" s="319">
        <f t="shared" si="137"/>
        <v>0</v>
      </c>
      <c r="Q278" s="319">
        <f t="shared" si="138"/>
        <v>0</v>
      </c>
      <c r="R278" s="319">
        <f t="shared" si="139"/>
        <v>0</v>
      </c>
      <c r="S278" s="319">
        <f t="shared" si="140"/>
        <v>0</v>
      </c>
      <c r="T278" s="319">
        <f t="shared" si="141"/>
        <v>0</v>
      </c>
      <c r="U278" s="319">
        <f t="shared" si="142"/>
        <v>0</v>
      </c>
      <c r="V278" s="319">
        <f t="shared" si="143"/>
        <v>0</v>
      </c>
      <c r="W278" s="319">
        <f t="shared" si="144"/>
        <v>0</v>
      </c>
      <c r="X278" s="319">
        <f t="shared" si="145"/>
        <v>0</v>
      </c>
      <c r="Y278" s="319">
        <f t="shared" si="146"/>
        <v>0</v>
      </c>
      <c r="Z278" s="319">
        <f t="shared" si="147"/>
        <v>0</v>
      </c>
      <c r="AA278" s="319">
        <f t="shared" si="148"/>
        <v>0</v>
      </c>
      <c r="AB278" s="319">
        <f t="shared" si="149"/>
        <v>0</v>
      </c>
      <c r="AC278" s="319">
        <f t="shared" si="150"/>
        <v>0</v>
      </c>
      <c r="AD278" s="319">
        <f t="shared" si="151"/>
        <v>0</v>
      </c>
      <c r="AE278" s="319">
        <f t="shared" si="152"/>
        <v>0</v>
      </c>
      <c r="AF278" s="319">
        <f t="shared" si="153"/>
        <v>0</v>
      </c>
      <c r="AG278" s="319">
        <f t="shared" si="154"/>
        <v>0</v>
      </c>
      <c r="AH278" s="319">
        <f t="shared" si="155"/>
        <v>0</v>
      </c>
      <c r="AI278" s="319">
        <f t="shared" si="156"/>
        <v>0</v>
      </c>
      <c r="AJ278" s="319">
        <f t="shared" si="157"/>
        <v>0</v>
      </c>
      <c r="AK278" s="319">
        <f t="shared" si="158"/>
        <v>0</v>
      </c>
      <c r="AL278" s="319">
        <f t="shared" si="159"/>
        <v>0</v>
      </c>
      <c r="AM278" s="319">
        <f t="shared" si="160"/>
        <v>0</v>
      </c>
      <c r="AN278" s="319"/>
      <c r="AP278" s="266" t="s">
        <v>113</v>
      </c>
      <c r="AQ278" s="326">
        <v>0</v>
      </c>
      <c r="AR278" s="326">
        <v>0</v>
      </c>
      <c r="AS278" s="326">
        <v>0</v>
      </c>
      <c r="AT278" s="326">
        <v>0</v>
      </c>
      <c r="AU278" s="326">
        <v>0</v>
      </c>
      <c r="AV278" s="326">
        <v>0</v>
      </c>
      <c r="AW278" s="326">
        <v>0</v>
      </c>
      <c r="AX278" s="326">
        <v>6.6667000000000004E-2</v>
      </c>
      <c r="AY278" s="326">
        <v>6.6667000000000004E-2</v>
      </c>
      <c r="AZ278" s="326">
        <v>6.6667000000000004E-2</v>
      </c>
      <c r="BA278" s="326">
        <v>6.6667000000000004E-2</v>
      </c>
      <c r="BB278" s="326">
        <v>6.6667000000000004E-2</v>
      </c>
      <c r="BC278" s="326">
        <v>6.6667000000000004E-2</v>
      </c>
      <c r="BD278" s="326">
        <v>6.6667000000000004E-2</v>
      </c>
      <c r="BE278" s="326">
        <v>6.6667000000000004E-2</v>
      </c>
      <c r="BF278" s="326">
        <v>6.6667000000000004E-2</v>
      </c>
      <c r="BG278" s="326">
        <v>6.6667000000000004E-2</v>
      </c>
      <c r="BH278" s="326">
        <v>6.6667000000000004E-2</v>
      </c>
      <c r="BI278" s="326">
        <v>6.6667000000000004E-2</v>
      </c>
      <c r="BJ278" s="326">
        <v>6.6667000000000004E-2</v>
      </c>
      <c r="BK278" s="326">
        <v>6.6667000000000004E-2</v>
      </c>
      <c r="BL278" s="326">
        <v>6.6667000000000004E-2</v>
      </c>
      <c r="BM278" s="326">
        <v>0</v>
      </c>
      <c r="BN278" s="326">
        <v>0</v>
      </c>
      <c r="BO278" s="326">
        <v>0</v>
      </c>
      <c r="BP278" s="326">
        <v>0</v>
      </c>
      <c r="BQ278" s="326">
        <v>0</v>
      </c>
      <c r="BR278" s="326">
        <v>0</v>
      </c>
      <c r="BS278" s="326">
        <v>0</v>
      </c>
      <c r="BT278" s="326">
        <v>0</v>
      </c>
      <c r="BU278" s="326">
        <v>0</v>
      </c>
      <c r="BV278" s="326">
        <v>0</v>
      </c>
      <c r="BW278" s="326">
        <v>0</v>
      </c>
      <c r="BX278" s="326">
        <v>0</v>
      </c>
      <c r="BY278" s="326">
        <v>0</v>
      </c>
    </row>
    <row r="279" spans="2:77" ht="10.15" customHeight="1">
      <c r="B279" s="324" t="s">
        <v>114</v>
      </c>
      <c r="D279" s="320">
        <f t="shared" si="161"/>
        <v>0</v>
      </c>
      <c r="E279" s="319">
        <f t="shared" si="126"/>
        <v>0</v>
      </c>
      <c r="F279" s="319">
        <f t="shared" si="127"/>
        <v>0</v>
      </c>
      <c r="G279" s="319">
        <f t="shared" si="128"/>
        <v>0</v>
      </c>
      <c r="H279" s="319">
        <f t="shared" si="129"/>
        <v>0</v>
      </c>
      <c r="I279" s="319">
        <f t="shared" si="130"/>
        <v>0</v>
      </c>
      <c r="J279" s="319">
        <f t="shared" si="131"/>
        <v>0</v>
      </c>
      <c r="K279" s="319">
        <f t="shared" si="132"/>
        <v>0</v>
      </c>
      <c r="L279" s="319">
        <f t="shared" si="133"/>
        <v>0</v>
      </c>
      <c r="M279" s="319">
        <f t="shared" si="134"/>
        <v>0</v>
      </c>
      <c r="N279" s="319">
        <f t="shared" si="135"/>
        <v>0</v>
      </c>
      <c r="O279" s="319">
        <f t="shared" si="136"/>
        <v>0</v>
      </c>
      <c r="P279" s="319">
        <f t="shared" si="137"/>
        <v>0</v>
      </c>
      <c r="Q279" s="319">
        <f t="shared" si="138"/>
        <v>0</v>
      </c>
      <c r="R279" s="319">
        <f t="shared" si="139"/>
        <v>0</v>
      </c>
      <c r="S279" s="319">
        <f t="shared" si="140"/>
        <v>0</v>
      </c>
      <c r="T279" s="319">
        <f t="shared" si="141"/>
        <v>0</v>
      </c>
      <c r="U279" s="319">
        <f t="shared" si="142"/>
        <v>0</v>
      </c>
      <c r="V279" s="319">
        <f t="shared" si="143"/>
        <v>0</v>
      </c>
      <c r="W279" s="319">
        <f t="shared" si="144"/>
        <v>0</v>
      </c>
      <c r="X279" s="319">
        <f t="shared" si="145"/>
        <v>0</v>
      </c>
      <c r="Y279" s="319">
        <f t="shared" si="146"/>
        <v>0</v>
      </c>
      <c r="Z279" s="319">
        <f t="shared" si="147"/>
        <v>0</v>
      </c>
      <c r="AA279" s="319">
        <f t="shared" si="148"/>
        <v>0</v>
      </c>
      <c r="AB279" s="319">
        <f t="shared" si="149"/>
        <v>0</v>
      </c>
      <c r="AC279" s="319">
        <f t="shared" si="150"/>
        <v>0</v>
      </c>
      <c r="AD279" s="319">
        <f t="shared" si="151"/>
        <v>0</v>
      </c>
      <c r="AE279" s="319">
        <f t="shared" si="152"/>
        <v>0</v>
      </c>
      <c r="AF279" s="319">
        <f t="shared" si="153"/>
        <v>0</v>
      </c>
      <c r="AG279" s="319">
        <f t="shared" si="154"/>
        <v>0</v>
      </c>
      <c r="AH279" s="319">
        <f t="shared" si="155"/>
        <v>0</v>
      </c>
      <c r="AI279" s="319">
        <f t="shared" si="156"/>
        <v>0</v>
      </c>
      <c r="AJ279" s="319">
        <f t="shared" si="157"/>
        <v>0</v>
      </c>
      <c r="AK279" s="319">
        <f t="shared" si="158"/>
        <v>0</v>
      </c>
      <c r="AL279" s="319">
        <f t="shared" si="159"/>
        <v>0</v>
      </c>
      <c r="AM279" s="319">
        <f t="shared" si="160"/>
        <v>0</v>
      </c>
      <c r="AN279" s="319"/>
      <c r="AP279" s="266" t="s">
        <v>114</v>
      </c>
      <c r="AQ279" s="326">
        <v>0</v>
      </c>
      <c r="AR279" s="326">
        <v>0</v>
      </c>
      <c r="AS279" s="326">
        <v>0</v>
      </c>
      <c r="AT279" s="326">
        <v>0</v>
      </c>
      <c r="AU279" s="326">
        <v>0</v>
      </c>
      <c r="AV279" s="326">
        <v>0</v>
      </c>
      <c r="AW279" s="326">
        <v>0</v>
      </c>
      <c r="AX279" s="326">
        <v>0</v>
      </c>
      <c r="AY279" s="326">
        <v>6.6667000000000004E-2</v>
      </c>
      <c r="AZ279" s="326">
        <v>6.6667000000000004E-2</v>
      </c>
      <c r="BA279" s="326">
        <v>6.6667000000000004E-2</v>
      </c>
      <c r="BB279" s="326">
        <v>6.6667000000000004E-2</v>
      </c>
      <c r="BC279" s="326">
        <v>6.6667000000000004E-2</v>
      </c>
      <c r="BD279" s="326">
        <v>6.6667000000000004E-2</v>
      </c>
      <c r="BE279" s="326">
        <v>6.6667000000000004E-2</v>
      </c>
      <c r="BF279" s="326">
        <v>6.6667000000000004E-2</v>
      </c>
      <c r="BG279" s="326">
        <v>6.6667000000000004E-2</v>
      </c>
      <c r="BH279" s="326">
        <v>6.6667000000000004E-2</v>
      </c>
      <c r="BI279" s="326">
        <v>6.6667000000000004E-2</v>
      </c>
      <c r="BJ279" s="326">
        <v>6.6667000000000004E-2</v>
      </c>
      <c r="BK279" s="326">
        <v>6.6667000000000004E-2</v>
      </c>
      <c r="BL279" s="326">
        <v>6.6667000000000004E-2</v>
      </c>
      <c r="BM279" s="326">
        <v>6.6667000000000004E-2</v>
      </c>
      <c r="BN279" s="326">
        <v>0</v>
      </c>
      <c r="BO279" s="326">
        <v>0</v>
      </c>
      <c r="BP279" s="326">
        <v>0</v>
      </c>
      <c r="BQ279" s="326">
        <v>0</v>
      </c>
      <c r="BR279" s="326">
        <v>0</v>
      </c>
      <c r="BS279" s="326">
        <v>0</v>
      </c>
      <c r="BT279" s="326">
        <v>0</v>
      </c>
      <c r="BU279" s="326">
        <v>0</v>
      </c>
      <c r="BV279" s="326">
        <v>0</v>
      </c>
      <c r="BW279" s="326">
        <v>0</v>
      </c>
      <c r="BX279" s="326">
        <v>0</v>
      </c>
      <c r="BY279" s="326">
        <v>0</v>
      </c>
    </row>
    <row r="280" spans="2:77" ht="10.15" customHeight="1">
      <c r="B280" s="324" t="s">
        <v>115</v>
      </c>
      <c r="D280" s="320">
        <f t="shared" si="161"/>
        <v>0</v>
      </c>
      <c r="E280" s="319">
        <f t="shared" si="126"/>
        <v>0</v>
      </c>
      <c r="F280" s="319">
        <f t="shared" si="127"/>
        <v>0</v>
      </c>
      <c r="G280" s="319">
        <f t="shared" si="128"/>
        <v>0</v>
      </c>
      <c r="H280" s="319">
        <f t="shared" si="129"/>
        <v>0</v>
      </c>
      <c r="I280" s="319">
        <f t="shared" si="130"/>
        <v>0</v>
      </c>
      <c r="J280" s="319">
        <f t="shared" si="131"/>
        <v>0</v>
      </c>
      <c r="K280" s="319">
        <f t="shared" si="132"/>
        <v>0</v>
      </c>
      <c r="L280" s="319">
        <f t="shared" si="133"/>
        <v>0</v>
      </c>
      <c r="M280" s="319">
        <f t="shared" si="134"/>
        <v>0</v>
      </c>
      <c r="N280" s="319">
        <f t="shared" si="135"/>
        <v>0</v>
      </c>
      <c r="O280" s="319">
        <f t="shared" si="136"/>
        <v>0</v>
      </c>
      <c r="P280" s="319">
        <f t="shared" si="137"/>
        <v>0</v>
      </c>
      <c r="Q280" s="319">
        <f t="shared" si="138"/>
        <v>0</v>
      </c>
      <c r="R280" s="319">
        <f t="shared" si="139"/>
        <v>0</v>
      </c>
      <c r="S280" s="319">
        <f t="shared" si="140"/>
        <v>0</v>
      </c>
      <c r="T280" s="319">
        <f t="shared" si="141"/>
        <v>0</v>
      </c>
      <c r="U280" s="319">
        <f t="shared" si="142"/>
        <v>0</v>
      </c>
      <c r="V280" s="319">
        <f t="shared" si="143"/>
        <v>0</v>
      </c>
      <c r="W280" s="319">
        <f t="shared" si="144"/>
        <v>0</v>
      </c>
      <c r="X280" s="319">
        <f t="shared" si="145"/>
        <v>0</v>
      </c>
      <c r="Y280" s="319">
        <f t="shared" si="146"/>
        <v>0</v>
      </c>
      <c r="Z280" s="319">
        <f t="shared" si="147"/>
        <v>0</v>
      </c>
      <c r="AA280" s="319">
        <f t="shared" si="148"/>
        <v>0</v>
      </c>
      <c r="AB280" s="319">
        <f t="shared" si="149"/>
        <v>0</v>
      </c>
      <c r="AC280" s="319">
        <f t="shared" si="150"/>
        <v>0</v>
      </c>
      <c r="AD280" s="319">
        <f t="shared" si="151"/>
        <v>0</v>
      </c>
      <c r="AE280" s="319">
        <f t="shared" si="152"/>
        <v>0</v>
      </c>
      <c r="AF280" s="319">
        <f t="shared" si="153"/>
        <v>0</v>
      </c>
      <c r="AG280" s="319">
        <f t="shared" si="154"/>
        <v>0</v>
      </c>
      <c r="AH280" s="319">
        <f t="shared" si="155"/>
        <v>0</v>
      </c>
      <c r="AI280" s="319">
        <f t="shared" si="156"/>
        <v>0</v>
      </c>
      <c r="AJ280" s="319">
        <f t="shared" si="157"/>
        <v>0</v>
      </c>
      <c r="AK280" s="319">
        <f t="shared" si="158"/>
        <v>0</v>
      </c>
      <c r="AL280" s="319">
        <f t="shared" si="159"/>
        <v>0</v>
      </c>
      <c r="AM280" s="319">
        <f t="shared" si="160"/>
        <v>0</v>
      </c>
      <c r="AN280" s="319"/>
      <c r="AP280" s="266" t="s">
        <v>115</v>
      </c>
      <c r="AQ280" s="326">
        <v>0</v>
      </c>
      <c r="AR280" s="326">
        <v>0</v>
      </c>
      <c r="AS280" s="326">
        <v>0</v>
      </c>
      <c r="AT280" s="326">
        <v>0</v>
      </c>
      <c r="AU280" s="326">
        <v>0</v>
      </c>
      <c r="AV280" s="326">
        <v>0</v>
      </c>
      <c r="AW280" s="326">
        <v>0</v>
      </c>
      <c r="AX280" s="326">
        <v>0</v>
      </c>
      <c r="AY280" s="326">
        <v>0</v>
      </c>
      <c r="AZ280" s="326">
        <v>6.6667000000000004E-2</v>
      </c>
      <c r="BA280" s="326">
        <v>6.6667000000000004E-2</v>
      </c>
      <c r="BB280" s="326">
        <v>6.6667000000000004E-2</v>
      </c>
      <c r="BC280" s="326">
        <v>6.6667000000000004E-2</v>
      </c>
      <c r="BD280" s="326">
        <v>6.6667000000000004E-2</v>
      </c>
      <c r="BE280" s="326">
        <v>6.6667000000000004E-2</v>
      </c>
      <c r="BF280" s="326">
        <v>6.6667000000000004E-2</v>
      </c>
      <c r="BG280" s="326">
        <v>6.6667000000000004E-2</v>
      </c>
      <c r="BH280" s="326">
        <v>6.6667000000000004E-2</v>
      </c>
      <c r="BI280" s="326">
        <v>6.6667000000000004E-2</v>
      </c>
      <c r="BJ280" s="326">
        <v>6.6667000000000004E-2</v>
      </c>
      <c r="BK280" s="326">
        <v>6.6667000000000004E-2</v>
      </c>
      <c r="BL280" s="326">
        <v>6.6667000000000004E-2</v>
      </c>
      <c r="BM280" s="326">
        <v>6.6667000000000004E-2</v>
      </c>
      <c r="BN280" s="326">
        <v>6.6667000000000004E-2</v>
      </c>
      <c r="BO280" s="326">
        <v>0</v>
      </c>
      <c r="BP280" s="326">
        <v>0</v>
      </c>
      <c r="BQ280" s="326">
        <v>0</v>
      </c>
      <c r="BR280" s="326">
        <v>0</v>
      </c>
      <c r="BS280" s="326">
        <v>0</v>
      </c>
      <c r="BT280" s="326">
        <v>0</v>
      </c>
      <c r="BU280" s="326">
        <v>0</v>
      </c>
      <c r="BV280" s="326">
        <v>0</v>
      </c>
      <c r="BW280" s="326">
        <v>0</v>
      </c>
      <c r="BX280" s="326">
        <v>0</v>
      </c>
      <c r="BY280" s="326">
        <v>0</v>
      </c>
    </row>
    <row r="281" spans="2:77" ht="10.15" customHeight="1">
      <c r="B281" s="324" t="s">
        <v>116</v>
      </c>
      <c r="D281" s="320">
        <f t="shared" si="161"/>
        <v>0</v>
      </c>
      <c r="E281" s="319">
        <f t="shared" si="126"/>
        <v>0</v>
      </c>
      <c r="F281" s="319">
        <f t="shared" si="127"/>
        <v>0</v>
      </c>
      <c r="G281" s="319">
        <f t="shared" si="128"/>
        <v>0</v>
      </c>
      <c r="H281" s="319">
        <f t="shared" si="129"/>
        <v>0</v>
      </c>
      <c r="I281" s="319">
        <f t="shared" si="130"/>
        <v>0</v>
      </c>
      <c r="J281" s="319">
        <f t="shared" si="131"/>
        <v>0</v>
      </c>
      <c r="K281" s="319">
        <f t="shared" si="132"/>
        <v>0</v>
      </c>
      <c r="L281" s="319">
        <f t="shared" si="133"/>
        <v>0</v>
      </c>
      <c r="M281" s="319">
        <f t="shared" si="134"/>
        <v>0</v>
      </c>
      <c r="N281" s="319">
        <f t="shared" si="135"/>
        <v>0</v>
      </c>
      <c r="O281" s="319">
        <f t="shared" si="136"/>
        <v>0</v>
      </c>
      <c r="P281" s="319">
        <f t="shared" si="137"/>
        <v>0</v>
      </c>
      <c r="Q281" s="319">
        <f t="shared" si="138"/>
        <v>0</v>
      </c>
      <c r="R281" s="319">
        <f t="shared" si="139"/>
        <v>0</v>
      </c>
      <c r="S281" s="319">
        <f t="shared" si="140"/>
        <v>0</v>
      </c>
      <c r="T281" s="319">
        <f t="shared" si="141"/>
        <v>0</v>
      </c>
      <c r="U281" s="319">
        <f t="shared" si="142"/>
        <v>0</v>
      </c>
      <c r="V281" s="319">
        <f t="shared" si="143"/>
        <v>0</v>
      </c>
      <c r="W281" s="319">
        <f t="shared" si="144"/>
        <v>0</v>
      </c>
      <c r="X281" s="319">
        <f t="shared" si="145"/>
        <v>0</v>
      </c>
      <c r="Y281" s="319">
        <f t="shared" si="146"/>
        <v>0</v>
      </c>
      <c r="Z281" s="319">
        <f t="shared" si="147"/>
        <v>0</v>
      </c>
      <c r="AA281" s="319">
        <f t="shared" si="148"/>
        <v>0</v>
      </c>
      <c r="AB281" s="319">
        <f t="shared" si="149"/>
        <v>0</v>
      </c>
      <c r="AC281" s="319">
        <f t="shared" si="150"/>
        <v>0</v>
      </c>
      <c r="AD281" s="319">
        <f t="shared" si="151"/>
        <v>0</v>
      </c>
      <c r="AE281" s="319">
        <f t="shared" si="152"/>
        <v>0</v>
      </c>
      <c r="AF281" s="319">
        <f t="shared" si="153"/>
        <v>0</v>
      </c>
      <c r="AG281" s="319">
        <f t="shared" si="154"/>
        <v>0</v>
      </c>
      <c r="AH281" s="319">
        <f t="shared" si="155"/>
        <v>0</v>
      </c>
      <c r="AI281" s="319">
        <f t="shared" si="156"/>
        <v>0</v>
      </c>
      <c r="AJ281" s="319">
        <f t="shared" si="157"/>
        <v>0</v>
      </c>
      <c r="AK281" s="319">
        <f t="shared" si="158"/>
        <v>0</v>
      </c>
      <c r="AL281" s="319">
        <f t="shared" si="159"/>
        <v>0</v>
      </c>
      <c r="AM281" s="319">
        <f t="shared" si="160"/>
        <v>0</v>
      </c>
      <c r="AN281" s="319"/>
      <c r="AP281" s="266" t="s">
        <v>116</v>
      </c>
      <c r="AQ281" s="326">
        <v>0</v>
      </c>
      <c r="AR281" s="326">
        <v>0</v>
      </c>
      <c r="AS281" s="326">
        <v>0</v>
      </c>
      <c r="AT281" s="326">
        <v>0</v>
      </c>
      <c r="AU281" s="326">
        <v>0</v>
      </c>
      <c r="AV281" s="326">
        <v>0</v>
      </c>
      <c r="AW281" s="326">
        <v>0</v>
      </c>
      <c r="AX281" s="326">
        <v>0</v>
      </c>
      <c r="AY281" s="326">
        <v>0</v>
      </c>
      <c r="AZ281" s="326">
        <v>0</v>
      </c>
      <c r="BA281" s="326">
        <v>6.6667000000000004E-2</v>
      </c>
      <c r="BB281" s="326">
        <v>6.6667000000000004E-2</v>
      </c>
      <c r="BC281" s="326">
        <v>6.6667000000000004E-2</v>
      </c>
      <c r="BD281" s="326">
        <v>6.6667000000000004E-2</v>
      </c>
      <c r="BE281" s="326">
        <v>6.6667000000000004E-2</v>
      </c>
      <c r="BF281" s="326">
        <v>6.6667000000000004E-2</v>
      </c>
      <c r="BG281" s="326">
        <v>6.6667000000000004E-2</v>
      </c>
      <c r="BH281" s="326">
        <v>6.6667000000000004E-2</v>
      </c>
      <c r="BI281" s="326">
        <v>6.6667000000000004E-2</v>
      </c>
      <c r="BJ281" s="326">
        <v>6.6667000000000004E-2</v>
      </c>
      <c r="BK281" s="326">
        <v>6.6667000000000004E-2</v>
      </c>
      <c r="BL281" s="326">
        <v>6.6667000000000004E-2</v>
      </c>
      <c r="BM281" s="326">
        <v>6.6667000000000004E-2</v>
      </c>
      <c r="BN281" s="326">
        <v>6.6667000000000004E-2</v>
      </c>
      <c r="BO281" s="326">
        <v>6.6667000000000004E-2</v>
      </c>
      <c r="BP281" s="326">
        <v>0</v>
      </c>
      <c r="BQ281" s="326">
        <v>0</v>
      </c>
      <c r="BR281" s="326">
        <v>0</v>
      </c>
      <c r="BS281" s="326">
        <v>0</v>
      </c>
      <c r="BT281" s="326">
        <v>0</v>
      </c>
      <c r="BU281" s="326">
        <v>0</v>
      </c>
      <c r="BV281" s="326">
        <v>0</v>
      </c>
      <c r="BW281" s="326">
        <v>0</v>
      </c>
      <c r="BX281" s="326">
        <v>0</v>
      </c>
      <c r="BY281" s="326">
        <v>0</v>
      </c>
    </row>
    <row r="282" spans="2:77" ht="10.15" customHeight="1">
      <c r="B282" s="324" t="s">
        <v>117</v>
      </c>
      <c r="D282" s="320">
        <f t="shared" si="161"/>
        <v>0</v>
      </c>
      <c r="E282" s="319">
        <f t="shared" si="126"/>
        <v>0</v>
      </c>
      <c r="F282" s="319">
        <f t="shared" si="127"/>
        <v>0</v>
      </c>
      <c r="G282" s="319">
        <f t="shared" si="128"/>
        <v>0</v>
      </c>
      <c r="H282" s="319">
        <f t="shared" si="129"/>
        <v>0</v>
      </c>
      <c r="I282" s="319">
        <f t="shared" si="130"/>
        <v>0</v>
      </c>
      <c r="J282" s="319">
        <f t="shared" si="131"/>
        <v>0</v>
      </c>
      <c r="K282" s="319">
        <f t="shared" si="132"/>
        <v>0</v>
      </c>
      <c r="L282" s="319">
        <f t="shared" si="133"/>
        <v>0</v>
      </c>
      <c r="M282" s="319">
        <f t="shared" si="134"/>
        <v>0</v>
      </c>
      <c r="N282" s="319">
        <f t="shared" si="135"/>
        <v>0</v>
      </c>
      <c r="O282" s="319">
        <f t="shared" si="136"/>
        <v>0</v>
      </c>
      <c r="P282" s="319">
        <f t="shared" si="137"/>
        <v>0</v>
      </c>
      <c r="Q282" s="319">
        <f t="shared" si="138"/>
        <v>0</v>
      </c>
      <c r="R282" s="319">
        <f t="shared" si="139"/>
        <v>0</v>
      </c>
      <c r="S282" s="319">
        <f t="shared" si="140"/>
        <v>0</v>
      </c>
      <c r="T282" s="319">
        <f t="shared" si="141"/>
        <v>0</v>
      </c>
      <c r="U282" s="319">
        <f t="shared" si="142"/>
        <v>0</v>
      </c>
      <c r="V282" s="319">
        <f t="shared" si="143"/>
        <v>0</v>
      </c>
      <c r="W282" s="319">
        <f t="shared" si="144"/>
        <v>0</v>
      </c>
      <c r="X282" s="319">
        <f t="shared" si="145"/>
        <v>0</v>
      </c>
      <c r="Y282" s="319">
        <f t="shared" si="146"/>
        <v>0</v>
      </c>
      <c r="Z282" s="319">
        <f t="shared" si="147"/>
        <v>0</v>
      </c>
      <c r="AA282" s="319">
        <f t="shared" si="148"/>
        <v>0</v>
      </c>
      <c r="AB282" s="319">
        <f t="shared" si="149"/>
        <v>0</v>
      </c>
      <c r="AC282" s="319">
        <f t="shared" si="150"/>
        <v>0</v>
      </c>
      <c r="AD282" s="319">
        <f t="shared" si="151"/>
        <v>0</v>
      </c>
      <c r="AE282" s="319">
        <f t="shared" si="152"/>
        <v>0</v>
      </c>
      <c r="AF282" s="319">
        <f t="shared" si="153"/>
        <v>0</v>
      </c>
      <c r="AG282" s="319">
        <f t="shared" si="154"/>
        <v>0</v>
      </c>
      <c r="AH282" s="319">
        <f t="shared" si="155"/>
        <v>0</v>
      </c>
      <c r="AI282" s="319">
        <f t="shared" si="156"/>
        <v>0</v>
      </c>
      <c r="AJ282" s="319">
        <f t="shared" si="157"/>
        <v>0</v>
      </c>
      <c r="AK282" s="319">
        <f t="shared" si="158"/>
        <v>0</v>
      </c>
      <c r="AL282" s="319">
        <f t="shared" si="159"/>
        <v>0</v>
      </c>
      <c r="AM282" s="319">
        <f t="shared" si="160"/>
        <v>0</v>
      </c>
      <c r="AN282" s="319"/>
      <c r="AP282" s="266" t="s">
        <v>117</v>
      </c>
      <c r="AQ282" s="326">
        <v>0</v>
      </c>
      <c r="AR282" s="326">
        <v>0</v>
      </c>
      <c r="AS282" s="326">
        <v>0</v>
      </c>
      <c r="AT282" s="326">
        <v>0</v>
      </c>
      <c r="AU282" s="326">
        <v>0</v>
      </c>
      <c r="AV282" s="326">
        <v>0</v>
      </c>
      <c r="AW282" s="326">
        <v>0</v>
      </c>
      <c r="AX282" s="326">
        <v>0</v>
      </c>
      <c r="AY282" s="326">
        <v>0</v>
      </c>
      <c r="AZ282" s="326">
        <v>0</v>
      </c>
      <c r="BA282" s="326">
        <v>0</v>
      </c>
      <c r="BB282" s="326">
        <v>6.6667000000000004E-2</v>
      </c>
      <c r="BC282" s="326">
        <v>6.6667000000000004E-2</v>
      </c>
      <c r="BD282" s="326">
        <v>6.6667000000000004E-2</v>
      </c>
      <c r="BE282" s="326">
        <v>6.6667000000000004E-2</v>
      </c>
      <c r="BF282" s="326">
        <v>6.6667000000000004E-2</v>
      </c>
      <c r="BG282" s="326">
        <v>6.6667000000000004E-2</v>
      </c>
      <c r="BH282" s="326">
        <v>6.6667000000000004E-2</v>
      </c>
      <c r="BI282" s="326">
        <v>6.6667000000000004E-2</v>
      </c>
      <c r="BJ282" s="326">
        <v>6.6667000000000004E-2</v>
      </c>
      <c r="BK282" s="326">
        <v>6.6667000000000004E-2</v>
      </c>
      <c r="BL282" s="326">
        <v>6.6667000000000004E-2</v>
      </c>
      <c r="BM282" s="326">
        <v>6.6667000000000004E-2</v>
      </c>
      <c r="BN282" s="326">
        <v>6.6667000000000004E-2</v>
      </c>
      <c r="BO282" s="326">
        <v>6.6667000000000004E-2</v>
      </c>
      <c r="BP282" s="326">
        <v>6.6667000000000004E-2</v>
      </c>
      <c r="BQ282" s="326">
        <v>0</v>
      </c>
      <c r="BR282" s="326">
        <v>0</v>
      </c>
      <c r="BS282" s="326">
        <v>0</v>
      </c>
      <c r="BT282" s="326">
        <v>0</v>
      </c>
      <c r="BU282" s="326">
        <v>0</v>
      </c>
      <c r="BV282" s="326">
        <v>0</v>
      </c>
      <c r="BW282" s="326">
        <v>0</v>
      </c>
      <c r="BX282" s="326">
        <v>0</v>
      </c>
      <c r="BY282" s="326">
        <v>0</v>
      </c>
    </row>
    <row r="283" spans="2:77" ht="10.15" customHeight="1">
      <c r="B283" s="324" t="s">
        <v>118</v>
      </c>
      <c r="D283" s="320">
        <f t="shared" si="161"/>
        <v>0</v>
      </c>
      <c r="E283" s="319">
        <f t="shared" si="126"/>
        <v>0</v>
      </c>
      <c r="F283" s="319">
        <f t="shared" si="127"/>
        <v>0</v>
      </c>
      <c r="G283" s="319">
        <f t="shared" si="128"/>
        <v>0</v>
      </c>
      <c r="H283" s="319">
        <f t="shared" si="129"/>
        <v>0</v>
      </c>
      <c r="I283" s="319">
        <f t="shared" si="130"/>
        <v>0</v>
      </c>
      <c r="J283" s="319">
        <f t="shared" si="131"/>
        <v>0</v>
      </c>
      <c r="K283" s="319">
        <f t="shared" si="132"/>
        <v>0</v>
      </c>
      <c r="L283" s="319">
        <f t="shared" si="133"/>
        <v>0</v>
      </c>
      <c r="M283" s="319">
        <f t="shared" si="134"/>
        <v>0</v>
      </c>
      <c r="N283" s="319">
        <f t="shared" si="135"/>
        <v>0</v>
      </c>
      <c r="O283" s="319">
        <f t="shared" si="136"/>
        <v>0</v>
      </c>
      <c r="P283" s="319">
        <f t="shared" si="137"/>
        <v>0</v>
      </c>
      <c r="Q283" s="319">
        <f t="shared" si="138"/>
        <v>0</v>
      </c>
      <c r="R283" s="319">
        <f t="shared" si="139"/>
        <v>0</v>
      </c>
      <c r="S283" s="319">
        <f t="shared" si="140"/>
        <v>0</v>
      </c>
      <c r="T283" s="319">
        <f t="shared" si="141"/>
        <v>0</v>
      </c>
      <c r="U283" s="319">
        <f t="shared" si="142"/>
        <v>0</v>
      </c>
      <c r="V283" s="319">
        <f t="shared" si="143"/>
        <v>0</v>
      </c>
      <c r="W283" s="319">
        <f t="shared" si="144"/>
        <v>0</v>
      </c>
      <c r="X283" s="319">
        <f t="shared" si="145"/>
        <v>0</v>
      </c>
      <c r="Y283" s="319">
        <f t="shared" si="146"/>
        <v>0</v>
      </c>
      <c r="Z283" s="319">
        <f t="shared" si="147"/>
        <v>0</v>
      </c>
      <c r="AA283" s="319">
        <f t="shared" si="148"/>
        <v>0</v>
      </c>
      <c r="AB283" s="319">
        <f t="shared" si="149"/>
        <v>0</v>
      </c>
      <c r="AC283" s="319">
        <f t="shared" si="150"/>
        <v>0</v>
      </c>
      <c r="AD283" s="319">
        <f t="shared" si="151"/>
        <v>0</v>
      </c>
      <c r="AE283" s="319">
        <f t="shared" si="152"/>
        <v>0</v>
      </c>
      <c r="AF283" s="319">
        <f t="shared" si="153"/>
        <v>0</v>
      </c>
      <c r="AG283" s="319">
        <f t="shared" si="154"/>
        <v>0</v>
      </c>
      <c r="AH283" s="319">
        <f t="shared" si="155"/>
        <v>0</v>
      </c>
      <c r="AI283" s="319">
        <f t="shared" si="156"/>
        <v>0</v>
      </c>
      <c r="AJ283" s="319">
        <f t="shared" si="157"/>
        <v>0</v>
      </c>
      <c r="AK283" s="319">
        <f t="shared" si="158"/>
        <v>0</v>
      </c>
      <c r="AL283" s="319">
        <f t="shared" si="159"/>
        <v>0</v>
      </c>
      <c r="AM283" s="319">
        <f t="shared" si="160"/>
        <v>0</v>
      </c>
      <c r="AN283" s="319"/>
      <c r="AP283" s="266" t="s">
        <v>118</v>
      </c>
      <c r="AQ283" s="326">
        <v>0</v>
      </c>
      <c r="AR283" s="326">
        <v>0</v>
      </c>
      <c r="AS283" s="326">
        <v>0</v>
      </c>
      <c r="AT283" s="326">
        <v>0</v>
      </c>
      <c r="AU283" s="326">
        <v>0</v>
      </c>
      <c r="AV283" s="326">
        <v>0</v>
      </c>
      <c r="AW283" s="326">
        <v>0</v>
      </c>
      <c r="AX283" s="326">
        <v>0</v>
      </c>
      <c r="AY283" s="326">
        <v>0</v>
      </c>
      <c r="AZ283" s="326">
        <v>0</v>
      </c>
      <c r="BA283" s="326">
        <v>0</v>
      </c>
      <c r="BB283" s="326">
        <v>0</v>
      </c>
      <c r="BC283" s="326">
        <v>6.6667000000000004E-2</v>
      </c>
      <c r="BD283" s="326">
        <v>6.6667000000000004E-2</v>
      </c>
      <c r="BE283" s="326">
        <v>6.6667000000000004E-2</v>
      </c>
      <c r="BF283" s="326">
        <v>6.6667000000000004E-2</v>
      </c>
      <c r="BG283" s="326">
        <v>6.6667000000000004E-2</v>
      </c>
      <c r="BH283" s="326">
        <v>6.6667000000000004E-2</v>
      </c>
      <c r="BI283" s="326">
        <v>6.6667000000000004E-2</v>
      </c>
      <c r="BJ283" s="326">
        <v>6.6667000000000004E-2</v>
      </c>
      <c r="BK283" s="326">
        <v>6.6667000000000004E-2</v>
      </c>
      <c r="BL283" s="326">
        <v>6.6667000000000004E-2</v>
      </c>
      <c r="BM283" s="326">
        <v>6.6667000000000004E-2</v>
      </c>
      <c r="BN283" s="326">
        <v>6.6667000000000004E-2</v>
      </c>
      <c r="BO283" s="326">
        <v>6.6667000000000004E-2</v>
      </c>
      <c r="BP283" s="326">
        <v>6.6667000000000004E-2</v>
      </c>
      <c r="BQ283" s="326">
        <v>6.6667000000000004E-2</v>
      </c>
      <c r="BR283" s="326">
        <v>0</v>
      </c>
      <c r="BS283" s="326">
        <v>0</v>
      </c>
      <c r="BT283" s="326">
        <v>0</v>
      </c>
      <c r="BU283" s="326">
        <v>0</v>
      </c>
      <c r="BV283" s="326">
        <v>0</v>
      </c>
      <c r="BW283" s="326">
        <v>0</v>
      </c>
      <c r="BX283" s="326">
        <v>0</v>
      </c>
      <c r="BY283" s="326">
        <v>0</v>
      </c>
    </row>
    <row r="284" spans="2:77" ht="10.15" customHeight="1">
      <c r="B284" s="324" t="s">
        <v>119</v>
      </c>
      <c r="D284" s="320">
        <f t="shared" si="161"/>
        <v>0</v>
      </c>
      <c r="E284" s="319">
        <f t="shared" si="126"/>
        <v>0</v>
      </c>
      <c r="F284" s="319">
        <f t="shared" si="127"/>
        <v>0</v>
      </c>
      <c r="G284" s="319">
        <f t="shared" si="128"/>
        <v>0</v>
      </c>
      <c r="H284" s="319">
        <f t="shared" si="129"/>
        <v>0</v>
      </c>
      <c r="I284" s="319">
        <f t="shared" si="130"/>
        <v>0</v>
      </c>
      <c r="J284" s="319">
        <f t="shared" si="131"/>
        <v>0</v>
      </c>
      <c r="K284" s="319">
        <f t="shared" si="132"/>
        <v>0</v>
      </c>
      <c r="L284" s="319">
        <f t="shared" si="133"/>
        <v>0</v>
      </c>
      <c r="M284" s="319">
        <f t="shared" si="134"/>
        <v>0</v>
      </c>
      <c r="N284" s="319">
        <f t="shared" si="135"/>
        <v>0</v>
      </c>
      <c r="O284" s="319">
        <f t="shared" si="136"/>
        <v>0</v>
      </c>
      <c r="P284" s="319">
        <f t="shared" si="137"/>
        <v>0</v>
      </c>
      <c r="Q284" s="319">
        <f t="shared" si="138"/>
        <v>0</v>
      </c>
      <c r="R284" s="319">
        <f t="shared" si="139"/>
        <v>0</v>
      </c>
      <c r="S284" s="319">
        <f t="shared" si="140"/>
        <v>0</v>
      </c>
      <c r="T284" s="319">
        <f t="shared" si="141"/>
        <v>0</v>
      </c>
      <c r="U284" s="319">
        <f t="shared" si="142"/>
        <v>0</v>
      </c>
      <c r="V284" s="319">
        <f t="shared" si="143"/>
        <v>0</v>
      </c>
      <c r="W284" s="319">
        <f t="shared" si="144"/>
        <v>0</v>
      </c>
      <c r="X284" s="319">
        <f t="shared" si="145"/>
        <v>0</v>
      </c>
      <c r="Y284" s="319">
        <f t="shared" si="146"/>
        <v>0</v>
      </c>
      <c r="Z284" s="319">
        <f t="shared" si="147"/>
        <v>0</v>
      </c>
      <c r="AA284" s="319">
        <f t="shared" si="148"/>
        <v>0</v>
      </c>
      <c r="AB284" s="319">
        <f t="shared" si="149"/>
        <v>0</v>
      </c>
      <c r="AC284" s="319">
        <f t="shared" si="150"/>
        <v>0</v>
      </c>
      <c r="AD284" s="319">
        <f t="shared" si="151"/>
        <v>0</v>
      </c>
      <c r="AE284" s="319">
        <f t="shared" si="152"/>
        <v>0</v>
      </c>
      <c r="AF284" s="319">
        <f t="shared" si="153"/>
        <v>0</v>
      </c>
      <c r="AG284" s="319">
        <f t="shared" si="154"/>
        <v>0</v>
      </c>
      <c r="AH284" s="319">
        <f t="shared" si="155"/>
        <v>0</v>
      </c>
      <c r="AI284" s="319">
        <f t="shared" si="156"/>
        <v>0</v>
      </c>
      <c r="AJ284" s="319">
        <f t="shared" si="157"/>
        <v>0</v>
      </c>
      <c r="AK284" s="319">
        <f t="shared" si="158"/>
        <v>0</v>
      </c>
      <c r="AL284" s="319">
        <f t="shared" si="159"/>
        <v>0</v>
      </c>
      <c r="AM284" s="319">
        <f t="shared" si="160"/>
        <v>0</v>
      </c>
      <c r="AN284" s="319"/>
      <c r="AP284" s="266" t="s">
        <v>119</v>
      </c>
      <c r="AQ284" s="326">
        <v>0</v>
      </c>
      <c r="AR284" s="326">
        <v>0</v>
      </c>
      <c r="AS284" s="326">
        <v>0</v>
      </c>
      <c r="AT284" s="326">
        <v>0</v>
      </c>
      <c r="AU284" s="326">
        <v>0</v>
      </c>
      <c r="AV284" s="326">
        <v>0</v>
      </c>
      <c r="AW284" s="326">
        <v>0</v>
      </c>
      <c r="AX284" s="326">
        <v>0</v>
      </c>
      <c r="AY284" s="326">
        <v>0</v>
      </c>
      <c r="AZ284" s="326">
        <v>0</v>
      </c>
      <c r="BA284" s="326">
        <v>0</v>
      </c>
      <c r="BB284" s="326">
        <v>0</v>
      </c>
      <c r="BC284" s="326">
        <v>0</v>
      </c>
      <c r="BD284" s="326">
        <v>6.6667000000000004E-2</v>
      </c>
      <c r="BE284" s="326">
        <v>6.6667000000000004E-2</v>
      </c>
      <c r="BF284" s="326">
        <v>6.6667000000000004E-2</v>
      </c>
      <c r="BG284" s="326">
        <v>6.6667000000000004E-2</v>
      </c>
      <c r="BH284" s="326">
        <v>6.6667000000000004E-2</v>
      </c>
      <c r="BI284" s="326">
        <v>6.6667000000000004E-2</v>
      </c>
      <c r="BJ284" s="326">
        <v>6.6667000000000004E-2</v>
      </c>
      <c r="BK284" s="326">
        <v>6.6667000000000004E-2</v>
      </c>
      <c r="BL284" s="326">
        <v>6.6667000000000004E-2</v>
      </c>
      <c r="BM284" s="326">
        <v>6.6667000000000004E-2</v>
      </c>
      <c r="BN284" s="326">
        <v>6.6667000000000004E-2</v>
      </c>
      <c r="BO284" s="326">
        <v>6.6667000000000004E-2</v>
      </c>
      <c r="BP284" s="326">
        <v>6.6667000000000004E-2</v>
      </c>
      <c r="BQ284" s="326">
        <v>6.6667000000000004E-2</v>
      </c>
      <c r="BR284" s="326">
        <v>6.6667000000000004E-2</v>
      </c>
      <c r="BS284" s="326">
        <v>0</v>
      </c>
      <c r="BT284" s="326">
        <v>0</v>
      </c>
      <c r="BU284" s="326">
        <v>0</v>
      </c>
      <c r="BV284" s="326">
        <v>0</v>
      </c>
      <c r="BW284" s="326">
        <v>0</v>
      </c>
      <c r="BX284" s="326">
        <v>0</v>
      </c>
      <c r="BY284" s="326">
        <v>0</v>
      </c>
    </row>
    <row r="285" spans="2:77" ht="10.15" customHeight="1">
      <c r="B285" s="324" t="s">
        <v>120</v>
      </c>
      <c r="D285" s="320">
        <f t="shared" si="161"/>
        <v>0</v>
      </c>
      <c r="E285" s="319">
        <f t="shared" si="126"/>
        <v>0</v>
      </c>
      <c r="F285" s="319">
        <f t="shared" si="127"/>
        <v>0</v>
      </c>
      <c r="G285" s="319">
        <f t="shared" si="128"/>
        <v>0</v>
      </c>
      <c r="H285" s="319">
        <f t="shared" si="129"/>
        <v>0</v>
      </c>
      <c r="I285" s="319">
        <f t="shared" si="130"/>
        <v>0</v>
      </c>
      <c r="J285" s="319">
        <f t="shared" si="131"/>
        <v>0</v>
      </c>
      <c r="K285" s="319">
        <f t="shared" si="132"/>
        <v>0</v>
      </c>
      <c r="L285" s="319">
        <f t="shared" si="133"/>
        <v>0</v>
      </c>
      <c r="M285" s="319">
        <f t="shared" si="134"/>
        <v>0</v>
      </c>
      <c r="N285" s="319">
        <f t="shared" si="135"/>
        <v>0</v>
      </c>
      <c r="O285" s="319">
        <f t="shared" si="136"/>
        <v>0</v>
      </c>
      <c r="P285" s="319">
        <f t="shared" si="137"/>
        <v>0</v>
      </c>
      <c r="Q285" s="319">
        <f t="shared" si="138"/>
        <v>0</v>
      </c>
      <c r="R285" s="319">
        <f t="shared" si="139"/>
        <v>0</v>
      </c>
      <c r="S285" s="319">
        <f t="shared" si="140"/>
        <v>0</v>
      </c>
      <c r="T285" s="319">
        <f t="shared" si="141"/>
        <v>0</v>
      </c>
      <c r="U285" s="319">
        <f t="shared" si="142"/>
        <v>0</v>
      </c>
      <c r="V285" s="319">
        <f t="shared" si="143"/>
        <v>0</v>
      </c>
      <c r="W285" s="319">
        <f t="shared" si="144"/>
        <v>0</v>
      </c>
      <c r="X285" s="319">
        <f t="shared" si="145"/>
        <v>0</v>
      </c>
      <c r="Y285" s="319">
        <f t="shared" si="146"/>
        <v>0</v>
      </c>
      <c r="Z285" s="319">
        <f t="shared" si="147"/>
        <v>0</v>
      </c>
      <c r="AA285" s="319">
        <f t="shared" si="148"/>
        <v>0</v>
      </c>
      <c r="AB285" s="319">
        <f t="shared" si="149"/>
        <v>0</v>
      </c>
      <c r="AC285" s="319">
        <f t="shared" si="150"/>
        <v>0</v>
      </c>
      <c r="AD285" s="319">
        <f t="shared" si="151"/>
        <v>0</v>
      </c>
      <c r="AE285" s="319">
        <f t="shared" si="152"/>
        <v>0</v>
      </c>
      <c r="AF285" s="319">
        <f t="shared" si="153"/>
        <v>0</v>
      </c>
      <c r="AG285" s="319">
        <f t="shared" si="154"/>
        <v>0</v>
      </c>
      <c r="AH285" s="319">
        <f t="shared" si="155"/>
        <v>0</v>
      </c>
      <c r="AI285" s="319">
        <f t="shared" si="156"/>
        <v>0</v>
      </c>
      <c r="AJ285" s="319">
        <f t="shared" si="157"/>
        <v>0</v>
      </c>
      <c r="AK285" s="319">
        <f t="shared" si="158"/>
        <v>0</v>
      </c>
      <c r="AL285" s="319">
        <f t="shared" si="159"/>
        <v>0</v>
      </c>
      <c r="AM285" s="319">
        <f t="shared" si="160"/>
        <v>0</v>
      </c>
      <c r="AN285" s="319"/>
      <c r="AP285" s="266" t="s">
        <v>120</v>
      </c>
      <c r="AQ285" s="326">
        <v>0</v>
      </c>
      <c r="AR285" s="326">
        <v>0</v>
      </c>
      <c r="AS285" s="326">
        <v>0</v>
      </c>
      <c r="AT285" s="326">
        <v>0</v>
      </c>
      <c r="AU285" s="326">
        <v>0</v>
      </c>
      <c r="AV285" s="326">
        <v>0</v>
      </c>
      <c r="AW285" s="326">
        <v>0</v>
      </c>
      <c r="AX285" s="326">
        <v>0</v>
      </c>
      <c r="AY285" s="326">
        <v>0</v>
      </c>
      <c r="AZ285" s="326">
        <v>0</v>
      </c>
      <c r="BA285" s="326">
        <v>0</v>
      </c>
      <c r="BB285" s="326">
        <v>0</v>
      </c>
      <c r="BC285" s="326">
        <v>0</v>
      </c>
      <c r="BD285" s="326">
        <v>0</v>
      </c>
      <c r="BE285" s="326">
        <v>6.6667000000000004E-2</v>
      </c>
      <c r="BF285" s="326">
        <v>6.6667000000000004E-2</v>
      </c>
      <c r="BG285" s="326">
        <v>6.6667000000000004E-2</v>
      </c>
      <c r="BH285" s="326">
        <v>6.6667000000000004E-2</v>
      </c>
      <c r="BI285" s="326">
        <v>6.6667000000000004E-2</v>
      </c>
      <c r="BJ285" s="326">
        <v>6.6667000000000004E-2</v>
      </c>
      <c r="BK285" s="326">
        <v>6.6667000000000004E-2</v>
      </c>
      <c r="BL285" s="326">
        <v>6.6667000000000004E-2</v>
      </c>
      <c r="BM285" s="326">
        <v>6.6667000000000004E-2</v>
      </c>
      <c r="BN285" s="326">
        <v>6.6667000000000004E-2</v>
      </c>
      <c r="BO285" s="326">
        <v>6.6667000000000004E-2</v>
      </c>
      <c r="BP285" s="326">
        <v>6.6667000000000004E-2</v>
      </c>
      <c r="BQ285" s="326">
        <v>6.6667000000000004E-2</v>
      </c>
      <c r="BR285" s="326">
        <v>6.6667000000000004E-2</v>
      </c>
      <c r="BS285" s="326">
        <v>6.6667000000000004E-2</v>
      </c>
      <c r="BT285" s="326">
        <v>0</v>
      </c>
      <c r="BU285" s="326">
        <v>0</v>
      </c>
      <c r="BV285" s="326">
        <v>0</v>
      </c>
      <c r="BW285" s="326">
        <v>0</v>
      </c>
      <c r="BX285" s="326">
        <v>0</v>
      </c>
      <c r="BY285" s="326">
        <v>0</v>
      </c>
    </row>
    <row r="286" spans="2:77" ht="10.15" customHeight="1">
      <c r="B286" s="324" t="s">
        <v>121</v>
      </c>
      <c r="D286" s="320">
        <f t="shared" si="161"/>
        <v>0</v>
      </c>
      <c r="E286" s="319">
        <f t="shared" si="126"/>
        <v>0</v>
      </c>
      <c r="F286" s="319">
        <f t="shared" si="127"/>
        <v>0</v>
      </c>
      <c r="G286" s="319">
        <f t="shared" si="128"/>
        <v>0</v>
      </c>
      <c r="H286" s="319">
        <f t="shared" si="129"/>
        <v>0</v>
      </c>
      <c r="I286" s="319">
        <f t="shared" si="130"/>
        <v>0</v>
      </c>
      <c r="J286" s="319">
        <f t="shared" si="131"/>
        <v>0</v>
      </c>
      <c r="K286" s="319">
        <f t="shared" si="132"/>
        <v>0</v>
      </c>
      <c r="L286" s="319">
        <f t="shared" si="133"/>
        <v>0</v>
      </c>
      <c r="M286" s="319">
        <f t="shared" si="134"/>
        <v>0</v>
      </c>
      <c r="N286" s="319">
        <f t="shared" si="135"/>
        <v>0</v>
      </c>
      <c r="O286" s="319">
        <f t="shared" si="136"/>
        <v>0</v>
      </c>
      <c r="P286" s="319">
        <f t="shared" si="137"/>
        <v>0</v>
      </c>
      <c r="Q286" s="319">
        <f t="shared" si="138"/>
        <v>0</v>
      </c>
      <c r="R286" s="319">
        <f t="shared" si="139"/>
        <v>0</v>
      </c>
      <c r="S286" s="319">
        <f t="shared" si="140"/>
        <v>0</v>
      </c>
      <c r="T286" s="319">
        <f t="shared" si="141"/>
        <v>0</v>
      </c>
      <c r="U286" s="319">
        <f t="shared" si="142"/>
        <v>0</v>
      </c>
      <c r="V286" s="319">
        <f t="shared" si="143"/>
        <v>0</v>
      </c>
      <c r="W286" s="319">
        <f t="shared" si="144"/>
        <v>0</v>
      </c>
      <c r="X286" s="319">
        <f t="shared" si="145"/>
        <v>0</v>
      </c>
      <c r="Y286" s="319">
        <f t="shared" si="146"/>
        <v>0</v>
      </c>
      <c r="Z286" s="319">
        <f t="shared" si="147"/>
        <v>0</v>
      </c>
      <c r="AA286" s="319">
        <f t="shared" si="148"/>
        <v>0</v>
      </c>
      <c r="AB286" s="319">
        <f t="shared" si="149"/>
        <v>0</v>
      </c>
      <c r="AC286" s="319">
        <f t="shared" si="150"/>
        <v>0</v>
      </c>
      <c r="AD286" s="319">
        <f t="shared" si="151"/>
        <v>0</v>
      </c>
      <c r="AE286" s="319">
        <f t="shared" si="152"/>
        <v>0</v>
      </c>
      <c r="AF286" s="319">
        <f t="shared" si="153"/>
        <v>0</v>
      </c>
      <c r="AG286" s="319">
        <f t="shared" si="154"/>
        <v>0</v>
      </c>
      <c r="AH286" s="319">
        <f t="shared" si="155"/>
        <v>0</v>
      </c>
      <c r="AI286" s="319">
        <f t="shared" si="156"/>
        <v>0</v>
      </c>
      <c r="AJ286" s="319">
        <f t="shared" si="157"/>
        <v>0</v>
      </c>
      <c r="AK286" s="319">
        <f t="shared" si="158"/>
        <v>0</v>
      </c>
      <c r="AL286" s="319">
        <f t="shared" si="159"/>
        <v>0</v>
      </c>
      <c r="AM286" s="319">
        <f t="shared" si="160"/>
        <v>0</v>
      </c>
      <c r="AN286" s="319"/>
      <c r="AP286" s="266" t="s">
        <v>121</v>
      </c>
      <c r="AQ286" s="326">
        <v>0</v>
      </c>
      <c r="AR286" s="326">
        <v>0</v>
      </c>
      <c r="AS286" s="326">
        <v>0</v>
      </c>
      <c r="AT286" s="326">
        <v>0</v>
      </c>
      <c r="AU286" s="326">
        <v>0</v>
      </c>
      <c r="AV286" s="326">
        <v>0</v>
      </c>
      <c r="AW286" s="326">
        <v>0</v>
      </c>
      <c r="AX286" s="326">
        <v>0</v>
      </c>
      <c r="AY286" s="326">
        <v>0</v>
      </c>
      <c r="AZ286" s="326">
        <v>0</v>
      </c>
      <c r="BA286" s="326">
        <v>0</v>
      </c>
      <c r="BB286" s="326">
        <v>0</v>
      </c>
      <c r="BC286" s="326">
        <v>0</v>
      </c>
      <c r="BD286" s="326">
        <v>0</v>
      </c>
      <c r="BE286" s="326">
        <v>0</v>
      </c>
      <c r="BF286" s="326">
        <v>6.6667000000000004E-2</v>
      </c>
      <c r="BG286" s="326">
        <v>6.6667000000000004E-2</v>
      </c>
      <c r="BH286" s="326">
        <v>6.6667000000000004E-2</v>
      </c>
      <c r="BI286" s="326">
        <v>6.6667000000000004E-2</v>
      </c>
      <c r="BJ286" s="326">
        <v>6.6667000000000004E-2</v>
      </c>
      <c r="BK286" s="326">
        <v>6.6667000000000004E-2</v>
      </c>
      <c r="BL286" s="326">
        <v>6.6667000000000004E-2</v>
      </c>
      <c r="BM286" s="326">
        <v>6.6667000000000004E-2</v>
      </c>
      <c r="BN286" s="326">
        <v>6.6667000000000004E-2</v>
      </c>
      <c r="BO286" s="326">
        <v>6.6667000000000004E-2</v>
      </c>
      <c r="BP286" s="326">
        <v>6.6667000000000004E-2</v>
      </c>
      <c r="BQ286" s="326">
        <v>6.6667000000000004E-2</v>
      </c>
      <c r="BR286" s="326">
        <v>6.6667000000000004E-2</v>
      </c>
      <c r="BS286" s="326">
        <v>6.6667000000000004E-2</v>
      </c>
      <c r="BT286" s="326">
        <v>6.6667000000000004E-2</v>
      </c>
      <c r="BU286" s="326">
        <v>0</v>
      </c>
      <c r="BV286" s="326">
        <v>0</v>
      </c>
      <c r="BW286" s="326">
        <v>0</v>
      </c>
      <c r="BX286" s="326">
        <v>0</v>
      </c>
      <c r="BY286" s="326">
        <v>0</v>
      </c>
    </row>
    <row r="287" spans="2:77" ht="10.15" customHeight="1">
      <c r="B287" s="324" t="s">
        <v>122</v>
      </c>
      <c r="D287" s="320">
        <f t="shared" si="161"/>
        <v>0</v>
      </c>
      <c r="E287" s="319">
        <f t="shared" si="126"/>
        <v>0</v>
      </c>
      <c r="F287" s="319">
        <f t="shared" si="127"/>
        <v>0</v>
      </c>
      <c r="G287" s="319">
        <f t="shared" si="128"/>
        <v>0</v>
      </c>
      <c r="H287" s="319">
        <f t="shared" si="129"/>
        <v>0</v>
      </c>
      <c r="I287" s="319">
        <f t="shared" si="130"/>
        <v>0</v>
      </c>
      <c r="J287" s="319">
        <f t="shared" si="131"/>
        <v>0</v>
      </c>
      <c r="K287" s="319">
        <f t="shared" si="132"/>
        <v>0</v>
      </c>
      <c r="L287" s="319">
        <f t="shared" si="133"/>
        <v>0</v>
      </c>
      <c r="M287" s="319">
        <f t="shared" si="134"/>
        <v>0</v>
      </c>
      <c r="N287" s="319">
        <f t="shared" si="135"/>
        <v>0</v>
      </c>
      <c r="O287" s="319">
        <f t="shared" si="136"/>
        <v>0</v>
      </c>
      <c r="P287" s="319">
        <f t="shared" si="137"/>
        <v>0</v>
      </c>
      <c r="Q287" s="319">
        <f t="shared" si="138"/>
        <v>0</v>
      </c>
      <c r="R287" s="319">
        <f t="shared" si="139"/>
        <v>0</v>
      </c>
      <c r="S287" s="319">
        <f t="shared" si="140"/>
        <v>0</v>
      </c>
      <c r="T287" s="319">
        <f t="shared" si="141"/>
        <v>0</v>
      </c>
      <c r="U287" s="319">
        <f t="shared" si="142"/>
        <v>0</v>
      </c>
      <c r="V287" s="319">
        <f t="shared" si="143"/>
        <v>0</v>
      </c>
      <c r="W287" s="319">
        <f t="shared" si="144"/>
        <v>0</v>
      </c>
      <c r="X287" s="319">
        <f t="shared" si="145"/>
        <v>0</v>
      </c>
      <c r="Y287" s="319">
        <f t="shared" si="146"/>
        <v>0</v>
      </c>
      <c r="Z287" s="319">
        <f t="shared" si="147"/>
        <v>0</v>
      </c>
      <c r="AA287" s="319">
        <f t="shared" si="148"/>
        <v>0</v>
      </c>
      <c r="AB287" s="319">
        <f t="shared" si="149"/>
        <v>0</v>
      </c>
      <c r="AC287" s="319">
        <f t="shared" si="150"/>
        <v>0</v>
      </c>
      <c r="AD287" s="319">
        <f t="shared" si="151"/>
        <v>0</v>
      </c>
      <c r="AE287" s="319">
        <f t="shared" si="152"/>
        <v>0</v>
      </c>
      <c r="AF287" s="319">
        <f t="shared" si="153"/>
        <v>0</v>
      </c>
      <c r="AG287" s="319">
        <f t="shared" si="154"/>
        <v>0</v>
      </c>
      <c r="AH287" s="319">
        <f t="shared" si="155"/>
        <v>0</v>
      </c>
      <c r="AI287" s="319">
        <f t="shared" si="156"/>
        <v>0</v>
      </c>
      <c r="AJ287" s="319">
        <f t="shared" si="157"/>
        <v>0</v>
      </c>
      <c r="AK287" s="319">
        <f t="shared" si="158"/>
        <v>0</v>
      </c>
      <c r="AL287" s="319">
        <f t="shared" si="159"/>
        <v>0</v>
      </c>
      <c r="AM287" s="319">
        <f t="shared" si="160"/>
        <v>0</v>
      </c>
      <c r="AN287" s="319"/>
      <c r="AP287" s="266" t="s">
        <v>122</v>
      </c>
      <c r="AQ287" s="326">
        <v>0</v>
      </c>
      <c r="AR287" s="326">
        <v>0</v>
      </c>
      <c r="AS287" s="326">
        <v>0</v>
      </c>
      <c r="AT287" s="326">
        <v>0</v>
      </c>
      <c r="AU287" s="326">
        <v>0</v>
      </c>
      <c r="AV287" s="326">
        <v>0</v>
      </c>
      <c r="AW287" s="326">
        <v>0</v>
      </c>
      <c r="AX287" s="326">
        <v>0</v>
      </c>
      <c r="AY287" s="326">
        <v>0</v>
      </c>
      <c r="AZ287" s="326">
        <v>0</v>
      </c>
      <c r="BA287" s="326">
        <v>0</v>
      </c>
      <c r="BB287" s="326">
        <v>0</v>
      </c>
      <c r="BC287" s="326">
        <v>0</v>
      </c>
      <c r="BD287" s="326">
        <v>0</v>
      </c>
      <c r="BE287" s="326">
        <v>0</v>
      </c>
      <c r="BF287" s="326">
        <v>0</v>
      </c>
      <c r="BG287" s="326">
        <v>6.6667000000000004E-2</v>
      </c>
      <c r="BH287" s="326">
        <v>6.6667000000000004E-2</v>
      </c>
      <c r="BI287" s="326">
        <v>6.6667000000000004E-2</v>
      </c>
      <c r="BJ287" s="326">
        <v>6.6667000000000004E-2</v>
      </c>
      <c r="BK287" s="326">
        <v>6.6667000000000004E-2</v>
      </c>
      <c r="BL287" s="326">
        <v>6.6667000000000004E-2</v>
      </c>
      <c r="BM287" s="326">
        <v>6.6667000000000004E-2</v>
      </c>
      <c r="BN287" s="326">
        <v>6.6667000000000004E-2</v>
      </c>
      <c r="BO287" s="326">
        <v>6.6667000000000004E-2</v>
      </c>
      <c r="BP287" s="326">
        <v>6.6667000000000004E-2</v>
      </c>
      <c r="BQ287" s="326">
        <v>6.6667000000000004E-2</v>
      </c>
      <c r="BR287" s="326">
        <v>6.6667000000000004E-2</v>
      </c>
      <c r="BS287" s="326">
        <v>6.6667000000000004E-2</v>
      </c>
      <c r="BT287" s="326">
        <v>6.6667000000000004E-2</v>
      </c>
      <c r="BU287" s="326">
        <v>6.6667000000000004E-2</v>
      </c>
      <c r="BV287" s="326">
        <v>0</v>
      </c>
      <c r="BW287" s="326">
        <v>0</v>
      </c>
      <c r="BX287" s="326">
        <v>0</v>
      </c>
      <c r="BY287" s="326">
        <v>0</v>
      </c>
    </row>
    <row r="288" spans="2:77" ht="10.15" customHeight="1">
      <c r="B288" s="324" t="s">
        <v>123</v>
      </c>
      <c r="D288" s="320">
        <f t="shared" si="161"/>
        <v>0</v>
      </c>
      <c r="E288" s="319">
        <f t="shared" si="126"/>
        <v>0</v>
      </c>
      <c r="F288" s="319">
        <f t="shared" si="127"/>
        <v>0</v>
      </c>
      <c r="G288" s="319">
        <f t="shared" si="128"/>
        <v>0</v>
      </c>
      <c r="H288" s="319">
        <f t="shared" si="129"/>
        <v>0</v>
      </c>
      <c r="I288" s="319">
        <f t="shared" si="130"/>
        <v>0</v>
      </c>
      <c r="J288" s="319">
        <f t="shared" si="131"/>
        <v>0</v>
      </c>
      <c r="K288" s="319">
        <f t="shared" si="132"/>
        <v>0</v>
      </c>
      <c r="L288" s="319">
        <f t="shared" si="133"/>
        <v>0</v>
      </c>
      <c r="M288" s="319">
        <f t="shared" si="134"/>
        <v>0</v>
      </c>
      <c r="N288" s="319">
        <f t="shared" si="135"/>
        <v>0</v>
      </c>
      <c r="O288" s="319">
        <f t="shared" si="136"/>
        <v>0</v>
      </c>
      <c r="P288" s="319">
        <f t="shared" si="137"/>
        <v>0</v>
      </c>
      <c r="Q288" s="319">
        <f t="shared" si="138"/>
        <v>0</v>
      </c>
      <c r="R288" s="319">
        <f t="shared" si="139"/>
        <v>0</v>
      </c>
      <c r="S288" s="319">
        <f t="shared" si="140"/>
        <v>0</v>
      </c>
      <c r="T288" s="319">
        <f t="shared" si="141"/>
        <v>0</v>
      </c>
      <c r="U288" s="319">
        <f t="shared" si="142"/>
        <v>0</v>
      </c>
      <c r="V288" s="319">
        <f t="shared" si="143"/>
        <v>0</v>
      </c>
      <c r="W288" s="319">
        <f t="shared" si="144"/>
        <v>0</v>
      </c>
      <c r="X288" s="319">
        <f t="shared" si="145"/>
        <v>0</v>
      </c>
      <c r="Y288" s="319">
        <f t="shared" si="146"/>
        <v>0</v>
      </c>
      <c r="Z288" s="319">
        <f t="shared" si="147"/>
        <v>0</v>
      </c>
      <c r="AA288" s="319">
        <f t="shared" si="148"/>
        <v>0</v>
      </c>
      <c r="AB288" s="319">
        <f t="shared" si="149"/>
        <v>0</v>
      </c>
      <c r="AC288" s="319">
        <f t="shared" si="150"/>
        <v>0</v>
      </c>
      <c r="AD288" s="319">
        <f t="shared" si="151"/>
        <v>0</v>
      </c>
      <c r="AE288" s="319">
        <f t="shared" si="152"/>
        <v>0</v>
      </c>
      <c r="AF288" s="319">
        <f t="shared" si="153"/>
        <v>0</v>
      </c>
      <c r="AG288" s="319">
        <f t="shared" si="154"/>
        <v>0</v>
      </c>
      <c r="AH288" s="319">
        <f t="shared" si="155"/>
        <v>0</v>
      </c>
      <c r="AI288" s="319">
        <f t="shared" si="156"/>
        <v>0</v>
      </c>
      <c r="AJ288" s="319">
        <f t="shared" si="157"/>
        <v>0</v>
      </c>
      <c r="AK288" s="319">
        <f t="shared" si="158"/>
        <v>0</v>
      </c>
      <c r="AL288" s="319">
        <f t="shared" si="159"/>
        <v>0</v>
      </c>
      <c r="AM288" s="319">
        <f t="shared" si="160"/>
        <v>0</v>
      </c>
      <c r="AN288" s="319"/>
      <c r="AP288" s="266" t="s">
        <v>123</v>
      </c>
      <c r="AQ288" s="326">
        <v>0</v>
      </c>
      <c r="AR288" s="326">
        <v>0</v>
      </c>
      <c r="AS288" s="326">
        <v>0</v>
      </c>
      <c r="AT288" s="326">
        <v>0</v>
      </c>
      <c r="AU288" s="326">
        <v>0</v>
      </c>
      <c r="AV288" s="326">
        <v>0</v>
      </c>
      <c r="AW288" s="326">
        <v>0</v>
      </c>
      <c r="AX288" s="326">
        <v>0</v>
      </c>
      <c r="AY288" s="326">
        <v>0</v>
      </c>
      <c r="AZ288" s="326">
        <v>0</v>
      </c>
      <c r="BA288" s="326">
        <v>0</v>
      </c>
      <c r="BB288" s="326">
        <v>0</v>
      </c>
      <c r="BC288" s="326">
        <v>0</v>
      </c>
      <c r="BD288" s="326">
        <v>0</v>
      </c>
      <c r="BE288" s="326">
        <v>0</v>
      </c>
      <c r="BF288" s="326">
        <v>0</v>
      </c>
      <c r="BG288" s="326">
        <v>0</v>
      </c>
      <c r="BH288" s="326">
        <v>6.6667000000000004E-2</v>
      </c>
      <c r="BI288" s="326">
        <v>6.6667000000000004E-2</v>
      </c>
      <c r="BJ288" s="326">
        <v>6.6667000000000004E-2</v>
      </c>
      <c r="BK288" s="326">
        <v>6.6667000000000004E-2</v>
      </c>
      <c r="BL288" s="326">
        <v>6.6667000000000004E-2</v>
      </c>
      <c r="BM288" s="326">
        <v>6.6667000000000004E-2</v>
      </c>
      <c r="BN288" s="326">
        <v>6.6667000000000004E-2</v>
      </c>
      <c r="BO288" s="326">
        <v>6.6667000000000004E-2</v>
      </c>
      <c r="BP288" s="326">
        <v>6.6667000000000004E-2</v>
      </c>
      <c r="BQ288" s="326">
        <v>6.6667000000000004E-2</v>
      </c>
      <c r="BR288" s="326">
        <v>6.6667000000000004E-2</v>
      </c>
      <c r="BS288" s="326">
        <v>6.6667000000000004E-2</v>
      </c>
      <c r="BT288" s="326">
        <v>6.6667000000000004E-2</v>
      </c>
      <c r="BU288" s="326">
        <v>6.6667000000000004E-2</v>
      </c>
      <c r="BV288" s="326">
        <v>6.6667000000000004E-2</v>
      </c>
      <c r="BW288" s="326">
        <v>0</v>
      </c>
      <c r="BX288" s="326">
        <v>0</v>
      </c>
      <c r="BY288" s="326">
        <v>0</v>
      </c>
    </row>
    <row r="289" spans="2:77" ht="10.15" customHeight="1">
      <c r="B289" s="324" t="s">
        <v>124</v>
      </c>
      <c r="D289" s="320">
        <f>SUM(E289:AN289)</f>
        <v>0</v>
      </c>
      <c r="E289" s="319">
        <f t="shared" si="126"/>
        <v>0</v>
      </c>
      <c r="F289" s="319">
        <f t="shared" si="127"/>
        <v>0</v>
      </c>
      <c r="G289" s="319">
        <f t="shared" si="128"/>
        <v>0</v>
      </c>
      <c r="H289" s="319">
        <f t="shared" si="129"/>
        <v>0</v>
      </c>
      <c r="I289" s="319">
        <f t="shared" si="130"/>
        <v>0</v>
      </c>
      <c r="J289" s="319">
        <f t="shared" si="131"/>
        <v>0</v>
      </c>
      <c r="K289" s="319">
        <f t="shared" si="132"/>
        <v>0</v>
      </c>
      <c r="L289" s="319">
        <f t="shared" si="133"/>
        <v>0</v>
      </c>
      <c r="M289" s="319">
        <f t="shared" si="134"/>
        <v>0</v>
      </c>
      <c r="N289" s="319">
        <f t="shared" si="135"/>
        <v>0</v>
      </c>
      <c r="O289" s="319">
        <f t="shared" si="136"/>
        <v>0</v>
      </c>
      <c r="P289" s="319">
        <f t="shared" si="137"/>
        <v>0</v>
      </c>
      <c r="Q289" s="319">
        <f t="shared" si="138"/>
        <v>0</v>
      </c>
      <c r="R289" s="319">
        <f t="shared" si="139"/>
        <v>0</v>
      </c>
      <c r="S289" s="319">
        <f t="shared" si="140"/>
        <v>0</v>
      </c>
      <c r="T289" s="319">
        <f t="shared" si="141"/>
        <v>0</v>
      </c>
      <c r="U289" s="319">
        <f t="shared" si="142"/>
        <v>0</v>
      </c>
      <c r="V289" s="319">
        <f t="shared" si="143"/>
        <v>0</v>
      </c>
      <c r="W289" s="319">
        <f t="shared" si="144"/>
        <v>0</v>
      </c>
      <c r="X289" s="319">
        <f t="shared" si="145"/>
        <v>0</v>
      </c>
      <c r="Y289" s="319">
        <f t="shared" si="146"/>
        <v>0</v>
      </c>
      <c r="Z289" s="319">
        <f t="shared" si="147"/>
        <v>0</v>
      </c>
      <c r="AA289" s="319">
        <f t="shared" si="148"/>
        <v>0</v>
      </c>
      <c r="AB289" s="319">
        <f t="shared" si="149"/>
        <v>0</v>
      </c>
      <c r="AC289" s="319">
        <f t="shared" si="150"/>
        <v>0</v>
      </c>
      <c r="AD289" s="319">
        <f t="shared" si="151"/>
        <v>0</v>
      </c>
      <c r="AE289" s="319">
        <f t="shared" si="152"/>
        <v>0</v>
      </c>
      <c r="AF289" s="319">
        <f t="shared" si="153"/>
        <v>0</v>
      </c>
      <c r="AG289" s="319">
        <f t="shared" si="154"/>
        <v>0</v>
      </c>
      <c r="AH289" s="319">
        <f t="shared" si="155"/>
        <v>0</v>
      </c>
      <c r="AI289" s="319">
        <f t="shared" si="156"/>
        <v>0</v>
      </c>
      <c r="AJ289" s="319">
        <f t="shared" si="157"/>
        <v>0</v>
      </c>
      <c r="AK289" s="319">
        <f t="shared" si="158"/>
        <v>0</v>
      </c>
      <c r="AL289" s="319">
        <f t="shared" si="159"/>
        <v>0</v>
      </c>
      <c r="AM289" s="319">
        <f t="shared" si="160"/>
        <v>0</v>
      </c>
      <c r="AN289" s="319"/>
      <c r="AP289" s="266" t="s">
        <v>124</v>
      </c>
      <c r="AQ289" s="326">
        <v>0</v>
      </c>
      <c r="AR289" s="326">
        <v>0</v>
      </c>
      <c r="AS289" s="326">
        <v>0</v>
      </c>
      <c r="AT289" s="326">
        <v>0</v>
      </c>
      <c r="AU289" s="326">
        <v>0</v>
      </c>
      <c r="AV289" s="326">
        <v>0</v>
      </c>
      <c r="AW289" s="326">
        <v>0</v>
      </c>
      <c r="AX289" s="326">
        <v>0</v>
      </c>
      <c r="AY289" s="326">
        <v>0</v>
      </c>
      <c r="AZ289" s="326">
        <v>0</v>
      </c>
      <c r="BA289" s="326">
        <v>0</v>
      </c>
      <c r="BB289" s="326">
        <v>0</v>
      </c>
      <c r="BC289" s="326">
        <v>0</v>
      </c>
      <c r="BD289" s="326">
        <v>0</v>
      </c>
      <c r="BE289" s="326">
        <v>0</v>
      </c>
      <c r="BF289" s="326">
        <v>0</v>
      </c>
      <c r="BG289" s="326">
        <v>0</v>
      </c>
      <c r="BH289" s="326">
        <v>0</v>
      </c>
      <c r="BI289" s="326">
        <v>6.6667000000000004E-2</v>
      </c>
      <c r="BJ289" s="326">
        <v>6.6667000000000004E-2</v>
      </c>
      <c r="BK289" s="326">
        <v>6.6667000000000004E-2</v>
      </c>
      <c r="BL289" s="326">
        <v>6.6667000000000004E-2</v>
      </c>
      <c r="BM289" s="326">
        <v>6.6667000000000004E-2</v>
      </c>
      <c r="BN289" s="326">
        <v>6.6667000000000004E-2</v>
      </c>
      <c r="BO289" s="326">
        <v>6.6667000000000004E-2</v>
      </c>
      <c r="BP289" s="326">
        <v>6.6667000000000004E-2</v>
      </c>
      <c r="BQ289" s="326">
        <v>6.6667000000000004E-2</v>
      </c>
      <c r="BR289" s="326">
        <v>6.6667000000000004E-2</v>
      </c>
      <c r="BS289" s="326">
        <v>6.6667000000000004E-2</v>
      </c>
      <c r="BT289" s="326">
        <v>6.6667000000000004E-2</v>
      </c>
      <c r="BU289" s="326">
        <v>6.6667000000000004E-2</v>
      </c>
      <c r="BV289" s="326">
        <v>6.6667000000000004E-2</v>
      </c>
      <c r="BW289" s="326">
        <v>6.6667000000000004E-2</v>
      </c>
      <c r="BX289" s="326">
        <v>0</v>
      </c>
      <c r="BY289" s="326">
        <v>0</v>
      </c>
    </row>
    <row r="290" spans="2:77" ht="10.15" customHeight="1">
      <c r="D290" s="320"/>
      <c r="AQ290" s="326">
        <f>SUM(AQ255:AQ289)</f>
        <v>1.0000050000000003</v>
      </c>
      <c r="AR290" s="326">
        <f t="shared" ref="AR290:BY290" si="162">SUM(AR255:AR289)</f>
        <v>1.0000050000000003</v>
      </c>
      <c r="AS290" s="326">
        <f t="shared" si="162"/>
        <v>1.0000050000000003</v>
      </c>
      <c r="AT290" s="326">
        <f t="shared" si="162"/>
        <v>1.0000050000000003</v>
      </c>
      <c r="AU290" s="326">
        <f t="shared" si="162"/>
        <v>1.0000050000000003</v>
      </c>
      <c r="AV290" s="326">
        <f t="shared" si="162"/>
        <v>1.0000050000000003</v>
      </c>
      <c r="AW290" s="326">
        <f t="shared" si="162"/>
        <v>1.0000050000000003</v>
      </c>
      <c r="AX290" s="326">
        <f t="shared" si="162"/>
        <v>1.0000050000000003</v>
      </c>
      <c r="AY290" s="326">
        <f t="shared" si="162"/>
        <v>1.0000050000000003</v>
      </c>
      <c r="AZ290" s="326">
        <f t="shared" si="162"/>
        <v>1.0000050000000003</v>
      </c>
      <c r="BA290" s="326">
        <f t="shared" si="162"/>
        <v>1.0000050000000003</v>
      </c>
      <c r="BB290" s="326">
        <f t="shared" si="162"/>
        <v>1.0000050000000003</v>
      </c>
      <c r="BC290" s="326">
        <f t="shared" si="162"/>
        <v>1.0000050000000003</v>
      </c>
      <c r="BD290" s="326">
        <f t="shared" si="162"/>
        <v>1.0000050000000003</v>
      </c>
      <c r="BE290" s="326">
        <f t="shared" si="162"/>
        <v>1.0000050000000003</v>
      </c>
      <c r="BF290" s="326">
        <f t="shared" si="162"/>
        <v>1.0000050000000003</v>
      </c>
      <c r="BG290" s="326">
        <f t="shared" si="162"/>
        <v>1.0000050000000003</v>
      </c>
      <c r="BH290" s="326">
        <f t="shared" si="162"/>
        <v>1.0000050000000003</v>
      </c>
      <c r="BI290" s="326">
        <f t="shared" si="162"/>
        <v>1.0000050000000003</v>
      </c>
      <c r="BJ290" s="326">
        <f t="shared" si="162"/>
        <v>0.93333800000000033</v>
      </c>
      <c r="BK290" s="326">
        <f t="shared" si="162"/>
        <v>0.8666710000000003</v>
      </c>
      <c r="BL290" s="326">
        <f t="shared" si="162"/>
        <v>0.80000400000000027</v>
      </c>
      <c r="BM290" s="326">
        <f t="shared" si="162"/>
        <v>0.73333700000000024</v>
      </c>
      <c r="BN290" s="326">
        <f t="shared" si="162"/>
        <v>0.66667000000000021</v>
      </c>
      <c r="BO290" s="326">
        <f t="shared" si="162"/>
        <v>0.60000300000000018</v>
      </c>
      <c r="BP290" s="326">
        <f t="shared" si="162"/>
        <v>0.53333600000000014</v>
      </c>
      <c r="BQ290" s="326">
        <f t="shared" si="162"/>
        <v>0.46666900000000011</v>
      </c>
      <c r="BR290" s="326">
        <f t="shared" si="162"/>
        <v>0.40000200000000008</v>
      </c>
      <c r="BS290" s="326">
        <f t="shared" si="162"/>
        <v>0.33333500000000005</v>
      </c>
      <c r="BT290" s="326">
        <f t="shared" si="162"/>
        <v>0.26666800000000002</v>
      </c>
      <c r="BU290" s="326">
        <f t="shared" si="162"/>
        <v>0.20000100000000001</v>
      </c>
      <c r="BV290" s="326">
        <f t="shared" si="162"/>
        <v>0.13333400000000001</v>
      </c>
      <c r="BW290" s="326">
        <f t="shared" si="162"/>
        <v>6.6667000000000004E-2</v>
      </c>
      <c r="BX290" s="326">
        <f t="shared" si="162"/>
        <v>0</v>
      </c>
      <c r="BY290" s="326">
        <f t="shared" si="162"/>
        <v>0</v>
      </c>
    </row>
    <row r="291" spans="2:77" ht="10.15" customHeight="1">
      <c r="D291" s="320"/>
      <c r="AQ291" s="326"/>
      <c r="AR291" s="326"/>
      <c r="AS291" s="326"/>
      <c r="AT291" s="326"/>
      <c r="AU291" s="326"/>
      <c r="AV291" s="326"/>
      <c r="AW291" s="326"/>
      <c r="AX291" s="326"/>
      <c r="AY291" s="326"/>
      <c r="AZ291" s="326"/>
      <c r="BA291" s="326"/>
      <c r="BB291" s="326"/>
      <c r="BC291" s="326"/>
      <c r="BD291" s="326"/>
      <c r="BE291" s="326"/>
      <c r="BF291" s="326"/>
      <c r="BG291" s="326"/>
      <c r="BH291" s="326"/>
      <c r="BI291" s="326"/>
      <c r="BJ291" s="326"/>
      <c r="BK291" s="326"/>
      <c r="BL291" s="326"/>
      <c r="BM291" s="326"/>
      <c r="BN291" s="326"/>
      <c r="BO291" s="326"/>
      <c r="BP291" s="326"/>
      <c r="BQ291" s="326"/>
      <c r="BR291" s="326"/>
      <c r="BS291" s="326"/>
      <c r="BT291" s="326"/>
      <c r="BU291" s="326"/>
      <c r="BV291" s="326"/>
      <c r="BW291" s="326"/>
      <c r="BX291" s="326"/>
      <c r="BY291" s="326"/>
    </row>
    <row r="292" spans="2:77" ht="10.15" customHeight="1">
      <c r="D292" s="320"/>
      <c r="AQ292" s="326"/>
      <c r="AR292" s="326"/>
      <c r="AS292" s="326"/>
      <c r="AT292" s="326"/>
      <c r="AU292" s="326"/>
      <c r="AV292" s="326"/>
      <c r="AW292" s="326"/>
      <c r="AX292" s="326"/>
      <c r="AY292" s="326"/>
      <c r="AZ292" s="326"/>
      <c r="BA292" s="326"/>
      <c r="BB292" s="326"/>
      <c r="BC292" s="326"/>
      <c r="BD292" s="326"/>
      <c r="BE292" s="326"/>
      <c r="BF292" s="326"/>
      <c r="BG292" s="326"/>
      <c r="BH292" s="326"/>
      <c r="BI292" s="326"/>
      <c r="BJ292" s="326"/>
      <c r="BK292" s="326"/>
      <c r="BL292" s="326"/>
      <c r="BM292" s="326"/>
      <c r="BN292" s="326"/>
      <c r="BO292" s="326"/>
      <c r="BP292" s="326"/>
      <c r="BQ292" s="326"/>
      <c r="BR292" s="326"/>
      <c r="BS292" s="326"/>
      <c r="BT292" s="326"/>
      <c r="BU292" s="326"/>
      <c r="BV292" s="326"/>
      <c r="BW292" s="326"/>
      <c r="BX292" s="326"/>
      <c r="BY292" s="326"/>
    </row>
    <row r="293" spans="2:77" ht="10.15" customHeight="1">
      <c r="D293" s="320"/>
      <c r="AQ293" s="326"/>
      <c r="AR293" s="326"/>
      <c r="AS293" s="326"/>
      <c r="AT293" s="326"/>
      <c r="AU293" s="326"/>
      <c r="AV293" s="326"/>
      <c r="AW293" s="326"/>
      <c r="AX293" s="326"/>
      <c r="AY293" s="326"/>
      <c r="AZ293" s="326"/>
      <c r="BA293" s="326"/>
      <c r="BB293" s="326"/>
      <c r="BC293" s="326"/>
      <c r="BD293" s="326"/>
      <c r="BE293" s="326"/>
      <c r="BF293" s="326"/>
      <c r="BG293" s="326"/>
      <c r="BH293" s="326"/>
      <c r="BI293" s="326"/>
      <c r="BJ293" s="326"/>
      <c r="BK293" s="326"/>
      <c r="BL293" s="326"/>
      <c r="BM293" s="326"/>
      <c r="BN293" s="326"/>
      <c r="BO293" s="326"/>
      <c r="BP293" s="326"/>
      <c r="BQ293" s="326"/>
      <c r="BR293" s="326"/>
      <c r="BS293" s="326"/>
      <c r="BT293" s="326"/>
      <c r="BU293" s="326"/>
      <c r="BV293" s="326"/>
      <c r="BW293" s="326"/>
      <c r="BX293" s="326"/>
      <c r="BY293" s="326"/>
    </row>
    <row r="294" spans="2:77" ht="10.15" customHeight="1">
      <c r="BM294" s="325"/>
      <c r="BN294" s="325"/>
      <c r="BO294" s="325"/>
      <c r="BS294" s="325"/>
      <c r="BT294" s="325"/>
      <c r="BU294" s="325"/>
      <c r="BV294" s="325"/>
      <c r="BW294" s="325"/>
    </row>
    <row r="295" spans="2:77">
      <c r="B295" s="278"/>
      <c r="C295" s="278"/>
      <c r="D295" s="278"/>
      <c r="E295" s="278"/>
      <c r="F295" s="278"/>
      <c r="G295" s="278"/>
      <c r="H295" s="278"/>
      <c r="I295" s="278"/>
      <c r="J295" s="278"/>
      <c r="K295" s="278"/>
      <c r="L295" s="278"/>
      <c r="M295" s="278"/>
      <c r="N295" s="278"/>
      <c r="O295" s="278"/>
      <c r="P295" s="278"/>
      <c r="Q295" s="278"/>
      <c r="R295" s="278"/>
      <c r="S295" s="278"/>
      <c r="T295" s="278"/>
      <c r="U295" s="278"/>
      <c r="V295" s="278"/>
      <c r="W295" s="278"/>
    </row>
    <row r="296" spans="2:77">
      <c r="B296" s="316" t="s">
        <v>1032</v>
      </c>
      <c r="C296" s="316" t="s">
        <v>1037</v>
      </c>
      <c r="D296" s="316" t="s">
        <v>1362</v>
      </c>
      <c r="E296" s="316" t="s">
        <v>1363</v>
      </c>
      <c r="F296" s="316" t="s">
        <v>1364</v>
      </c>
      <c r="G296" s="316" t="s">
        <v>1419</v>
      </c>
      <c r="H296" s="316" t="s">
        <v>1420</v>
      </c>
      <c r="I296" s="316" t="s">
        <v>1421</v>
      </c>
      <c r="J296" s="316" t="s">
        <v>1422</v>
      </c>
      <c r="K296" s="278"/>
      <c r="L296" s="278"/>
      <c r="M296" s="278"/>
      <c r="N296" s="278"/>
      <c r="O296" s="278"/>
      <c r="P296" s="278"/>
      <c r="Q296" s="278"/>
      <c r="R296" s="278"/>
      <c r="S296" s="278"/>
      <c r="T296" s="278"/>
      <c r="U296" s="278"/>
      <c r="V296" s="278"/>
      <c r="W296" s="278"/>
    </row>
    <row r="297" spans="2:77">
      <c r="B297" s="278" t="s">
        <v>1246</v>
      </c>
      <c r="C297" s="125">
        <v>1</v>
      </c>
      <c r="D297" s="670">
        <v>105127.95</v>
      </c>
      <c r="E297" s="670">
        <v>97800</v>
      </c>
      <c r="F297" s="670">
        <v>88700</v>
      </c>
      <c r="G297" s="670">
        <v>89917</v>
      </c>
      <c r="H297" s="670">
        <v>83900</v>
      </c>
      <c r="I297" s="670">
        <v>100480</v>
      </c>
      <c r="J297" s="670">
        <f>(AVERAGE(D297:I297)*C297)*(1++Aux.BDI!G49)</f>
        <v>108652.61971794587</v>
      </c>
      <c r="K297" s="418" t="s">
        <v>1423</v>
      </c>
      <c r="L297" s="278"/>
      <c r="M297" s="278"/>
      <c r="N297" s="278"/>
      <c r="O297" s="278"/>
      <c r="P297" s="278"/>
      <c r="Q297" s="278"/>
      <c r="R297" s="278"/>
      <c r="S297" s="278"/>
      <c r="T297" s="278"/>
      <c r="U297" s="278"/>
      <c r="V297" s="278"/>
      <c r="W297" s="278"/>
    </row>
    <row r="298" spans="2:77">
      <c r="B298" s="278" t="s">
        <v>1349</v>
      </c>
      <c r="C298" s="125">
        <v>6</v>
      </c>
      <c r="D298" s="670">
        <v>2649.89</v>
      </c>
      <c r="E298" s="670" t="s">
        <v>1424</v>
      </c>
      <c r="F298" s="670">
        <v>2650.2</v>
      </c>
      <c r="G298" s="670">
        <v>1977.5</v>
      </c>
      <c r="H298" s="670">
        <v>1550</v>
      </c>
      <c r="I298" s="670">
        <v>2797.38</v>
      </c>
      <c r="J298" s="670">
        <f>(AVERAGE(D298:I298)*C298)*(1+Aux.BDI!$G$49)</f>
        <v>16069.623368657294</v>
      </c>
      <c r="K298" s="418" t="s">
        <v>1425</v>
      </c>
      <c r="L298" s="278"/>
      <c r="M298" s="278"/>
      <c r="N298" s="278"/>
      <c r="O298" s="278"/>
      <c r="P298" s="278"/>
      <c r="Q298" s="278"/>
      <c r="R298" s="278"/>
      <c r="S298" s="278"/>
      <c r="T298" s="278"/>
      <c r="U298" s="278"/>
      <c r="V298" s="278"/>
      <c r="W298" s="278"/>
    </row>
    <row r="299" spans="2:77">
      <c r="B299" s="278"/>
      <c r="C299" s="278"/>
      <c r="D299" s="278"/>
      <c r="E299" s="278"/>
      <c r="F299" s="278"/>
      <c r="G299" s="278"/>
      <c r="H299" s="278"/>
      <c r="I299" s="278"/>
      <c r="J299" s="278"/>
      <c r="K299" s="418" t="s">
        <v>1426</v>
      </c>
      <c r="L299" s="278"/>
      <c r="M299" s="278"/>
      <c r="N299" s="278"/>
      <c r="O299" s="278"/>
      <c r="P299" s="278"/>
      <c r="Q299" s="278"/>
      <c r="R299" s="278"/>
      <c r="S299" s="278"/>
      <c r="T299" s="278"/>
      <c r="U299" s="278"/>
      <c r="V299" s="278"/>
      <c r="W299" s="278"/>
    </row>
    <row r="300" spans="2:77">
      <c r="B300" s="278"/>
      <c r="C300" s="278"/>
      <c r="D300" s="278"/>
      <c r="E300" s="278"/>
      <c r="F300" s="278"/>
      <c r="G300" s="278"/>
      <c r="H300" s="278"/>
      <c r="I300" s="278"/>
      <c r="J300" s="278"/>
      <c r="K300" s="418" t="s">
        <v>1427</v>
      </c>
      <c r="L300" s="278"/>
      <c r="M300" s="278"/>
      <c r="N300" s="278"/>
      <c r="O300" s="278"/>
      <c r="P300" s="278"/>
      <c r="Q300" s="278"/>
      <c r="R300" s="278"/>
      <c r="S300" s="278"/>
      <c r="T300" s="278"/>
      <c r="U300" s="278"/>
      <c r="V300" s="278"/>
      <c r="W300" s="278"/>
    </row>
    <row r="301" spans="2:77">
      <c r="B301" s="278"/>
      <c r="C301" s="278"/>
      <c r="D301" s="278"/>
      <c r="E301" s="278"/>
      <c r="F301" s="278"/>
      <c r="G301" s="278"/>
      <c r="H301" s="278"/>
      <c r="I301" s="278"/>
      <c r="J301" s="278"/>
      <c r="K301" s="418" t="s">
        <v>1428</v>
      </c>
      <c r="L301" s="278"/>
      <c r="M301" s="278"/>
      <c r="N301" s="278"/>
      <c r="O301" s="278"/>
      <c r="P301" s="278"/>
      <c r="Q301" s="278"/>
      <c r="R301" s="278"/>
      <c r="S301" s="278"/>
      <c r="T301" s="278"/>
      <c r="U301" s="278"/>
      <c r="V301" s="278"/>
      <c r="W301" s="278"/>
    </row>
    <row r="302" spans="2:77">
      <c r="B302" s="278"/>
      <c r="C302" s="278"/>
      <c r="D302" s="278"/>
      <c r="E302" s="278"/>
      <c r="F302" s="278"/>
      <c r="G302" s="278"/>
      <c r="H302" s="278"/>
      <c r="I302" s="278"/>
      <c r="J302" s="278"/>
      <c r="K302" s="418" t="s">
        <v>1429</v>
      </c>
      <c r="L302" s="278"/>
      <c r="M302" s="278"/>
      <c r="N302" s="278"/>
      <c r="O302" s="278"/>
      <c r="P302" s="278"/>
      <c r="Q302" s="278"/>
      <c r="R302" s="278"/>
      <c r="S302" s="278"/>
      <c r="T302" s="278"/>
      <c r="U302" s="278"/>
      <c r="V302" s="278"/>
      <c r="W302" s="278"/>
    </row>
    <row r="303" spans="2:77">
      <c r="B303" s="278"/>
      <c r="C303" s="278"/>
      <c r="D303" s="278"/>
      <c r="E303" s="278"/>
      <c r="F303" s="278"/>
      <c r="G303" s="278"/>
      <c r="H303" s="278"/>
      <c r="I303" s="278"/>
      <c r="J303" s="278"/>
      <c r="K303" s="418" t="s">
        <v>1430</v>
      </c>
      <c r="L303" s="278"/>
      <c r="M303" s="278"/>
      <c r="N303" s="278"/>
      <c r="O303" s="278"/>
      <c r="P303" s="278"/>
      <c r="Q303" s="278"/>
      <c r="R303" s="278"/>
      <c r="S303" s="278"/>
      <c r="T303" s="278"/>
      <c r="U303" s="278"/>
      <c r="V303" s="278"/>
      <c r="W303" s="278"/>
    </row>
    <row r="304" spans="2:77">
      <c r="B304" s="278"/>
      <c r="C304" s="278"/>
      <c r="D304" s="278"/>
      <c r="E304" s="278"/>
      <c r="F304" s="278"/>
      <c r="G304" s="278"/>
      <c r="H304" s="278"/>
      <c r="I304" s="278"/>
      <c r="J304" s="278"/>
      <c r="K304" s="418" t="s">
        <v>1431</v>
      </c>
      <c r="L304" s="278"/>
      <c r="M304" s="278"/>
      <c r="N304" s="278"/>
      <c r="O304" s="278"/>
      <c r="P304" s="278"/>
      <c r="Q304" s="278"/>
      <c r="R304" s="278"/>
      <c r="S304" s="278"/>
      <c r="T304" s="278"/>
      <c r="U304" s="278"/>
      <c r="V304" s="278"/>
      <c r="W304" s="278"/>
    </row>
    <row r="305" spans="2:83">
      <c r="B305" s="278"/>
      <c r="C305" s="278"/>
      <c r="D305" s="278"/>
      <c r="E305" s="278"/>
      <c r="F305" s="278"/>
      <c r="G305" s="278"/>
      <c r="H305" s="278"/>
      <c r="I305" s="278"/>
      <c r="J305" s="278"/>
      <c r="K305" s="418" t="s">
        <v>1432</v>
      </c>
      <c r="L305" s="278"/>
      <c r="M305" s="278"/>
      <c r="N305" s="278"/>
      <c r="O305" s="278"/>
      <c r="P305" s="278"/>
      <c r="Q305" s="278"/>
      <c r="R305" s="278"/>
      <c r="S305" s="278"/>
      <c r="T305" s="278"/>
      <c r="U305" s="278"/>
      <c r="V305" s="278"/>
      <c r="W305" s="278"/>
    </row>
    <row r="306" spans="2:83">
      <c r="B306" s="278"/>
      <c r="C306" s="278"/>
      <c r="D306" s="278"/>
      <c r="E306" s="278"/>
      <c r="F306" s="278"/>
      <c r="G306" s="278"/>
      <c r="H306" s="278"/>
      <c r="I306" s="278"/>
      <c r="J306" s="278"/>
      <c r="K306" s="418" t="s">
        <v>1433</v>
      </c>
      <c r="L306" s="278"/>
      <c r="M306" s="278"/>
      <c r="N306" s="278"/>
      <c r="O306" s="278"/>
      <c r="P306" s="278"/>
      <c r="Q306" s="278"/>
      <c r="R306" s="278"/>
      <c r="S306" s="278"/>
      <c r="T306" s="278"/>
      <c r="U306" s="278"/>
      <c r="V306" s="278"/>
      <c r="W306" s="278"/>
    </row>
    <row r="307" spans="2:83">
      <c r="B307" s="278"/>
      <c r="C307" s="278"/>
      <c r="D307" s="278"/>
      <c r="E307" s="278"/>
      <c r="F307" s="278"/>
      <c r="G307" s="278"/>
      <c r="H307" s="278"/>
      <c r="I307" s="278"/>
      <c r="J307" s="278"/>
      <c r="K307" s="418" t="s">
        <v>1434</v>
      </c>
      <c r="L307" s="278"/>
      <c r="M307" s="278"/>
      <c r="N307" s="278"/>
      <c r="O307" s="278"/>
      <c r="P307" s="278"/>
      <c r="Q307" s="278"/>
      <c r="R307" s="278"/>
      <c r="S307" s="278"/>
      <c r="T307" s="278"/>
      <c r="U307" s="278"/>
      <c r="V307" s="278"/>
      <c r="W307" s="278"/>
    </row>
    <row r="308" spans="2:83">
      <c r="B308" s="278"/>
      <c r="C308" s="278"/>
      <c r="D308" s="278"/>
      <c r="E308" s="278"/>
      <c r="F308" s="278"/>
      <c r="G308" s="278"/>
      <c r="H308" s="278"/>
      <c r="I308" s="278"/>
      <c r="J308" s="278"/>
      <c r="K308" s="418" t="s">
        <v>1435</v>
      </c>
      <c r="L308" s="278"/>
      <c r="M308" s="278"/>
      <c r="N308" s="278"/>
      <c r="O308" s="278"/>
      <c r="P308" s="278"/>
      <c r="Q308" s="278"/>
      <c r="R308" s="278"/>
      <c r="S308" s="278"/>
      <c r="T308" s="278"/>
      <c r="U308" s="278"/>
      <c r="V308" s="278"/>
      <c r="W308" s="278"/>
    </row>
    <row r="309" spans="2:83" ht="15.6">
      <c r="B309" s="789" t="s">
        <v>1436</v>
      </c>
    </row>
    <row r="310" spans="2:83" ht="15.6">
      <c r="B310" s="789"/>
      <c r="E310" s="316" t="s">
        <v>84</v>
      </c>
      <c r="F310" s="316" t="s">
        <v>86</v>
      </c>
      <c r="G310" s="316" t="s">
        <v>92</v>
      </c>
      <c r="H310" s="316" t="s">
        <v>93</v>
      </c>
      <c r="I310" s="316" t="s">
        <v>94</v>
      </c>
      <c r="J310" s="316" t="s">
        <v>95</v>
      </c>
      <c r="K310" s="316" t="s">
        <v>96</v>
      </c>
      <c r="L310" s="316" t="s">
        <v>97</v>
      </c>
      <c r="M310" s="316" t="s">
        <v>98</v>
      </c>
      <c r="N310" s="316" t="s">
        <v>99</v>
      </c>
      <c r="O310" s="316" t="s">
        <v>100</v>
      </c>
      <c r="P310" s="316" t="s">
        <v>101</v>
      </c>
      <c r="Q310" s="316" t="s">
        <v>102</v>
      </c>
      <c r="R310" s="316" t="s">
        <v>103</v>
      </c>
      <c r="S310" s="316" t="s">
        <v>104</v>
      </c>
      <c r="T310" s="316" t="s">
        <v>105</v>
      </c>
      <c r="U310" s="316" t="s">
        <v>106</v>
      </c>
      <c r="V310" s="316" t="s">
        <v>107</v>
      </c>
      <c r="W310" s="316" t="s">
        <v>108</v>
      </c>
      <c r="X310" s="316" t="s">
        <v>109</v>
      </c>
      <c r="Y310" s="316" t="s">
        <v>110</v>
      </c>
      <c r="Z310" s="316" t="s">
        <v>111</v>
      </c>
      <c r="AA310" s="316" t="s">
        <v>112</v>
      </c>
      <c r="AB310" s="316" t="s">
        <v>113</v>
      </c>
      <c r="AC310" s="316" t="s">
        <v>114</v>
      </c>
      <c r="AD310" s="316" t="s">
        <v>115</v>
      </c>
      <c r="AE310" s="316" t="s">
        <v>116</v>
      </c>
      <c r="AF310" s="316" t="s">
        <v>117</v>
      </c>
      <c r="AG310" s="316" t="s">
        <v>118</v>
      </c>
      <c r="AH310" s="316" t="s">
        <v>119</v>
      </c>
      <c r="AI310" s="316" t="s">
        <v>120</v>
      </c>
      <c r="AJ310" s="316" t="s">
        <v>121</v>
      </c>
      <c r="AK310" s="316" t="s">
        <v>122</v>
      </c>
      <c r="AL310" s="316" t="s">
        <v>123</v>
      </c>
      <c r="AM310" s="316" t="s">
        <v>124</v>
      </c>
    </row>
    <row r="311" spans="2:83">
      <c r="E311" s="359" cm="1">
        <f t="array" ref="E311:AM311">TRANSPOSE(D312:D346)</f>
        <v>0</v>
      </c>
      <c r="F311" s="359">
        <v>0</v>
      </c>
      <c r="G311" s="359">
        <v>0</v>
      </c>
      <c r="H311" s="359">
        <v>12472.224308660318</v>
      </c>
      <c r="I311" s="359">
        <v>12472.224308660318</v>
      </c>
      <c r="J311" s="359">
        <v>12472.224308660318</v>
      </c>
      <c r="K311" s="359">
        <v>12472.224308660318</v>
      </c>
      <c r="L311" s="359">
        <v>12472.224308660318</v>
      </c>
      <c r="M311" s="359">
        <v>12472.224308660318</v>
      </c>
      <c r="N311" s="359">
        <v>12472.224308660318</v>
      </c>
      <c r="O311" s="359">
        <v>12472.224308660318</v>
      </c>
      <c r="P311" s="359">
        <v>12472.224308660318</v>
      </c>
      <c r="Q311" s="359">
        <v>12472.224308660318</v>
      </c>
      <c r="R311" s="359">
        <v>0</v>
      </c>
      <c r="S311" s="359">
        <v>0</v>
      </c>
      <c r="T311" s="359">
        <v>0</v>
      </c>
      <c r="U311" s="359">
        <v>0</v>
      </c>
      <c r="V311" s="359">
        <v>0</v>
      </c>
      <c r="W311" s="359">
        <v>0</v>
      </c>
      <c r="X311" s="359">
        <v>0</v>
      </c>
      <c r="Y311" s="359">
        <v>0</v>
      </c>
      <c r="Z311" s="359">
        <v>0</v>
      </c>
      <c r="AA311" s="359">
        <v>0</v>
      </c>
      <c r="AB311" s="359">
        <v>0</v>
      </c>
      <c r="AC311" s="359">
        <v>0</v>
      </c>
      <c r="AD311" s="359">
        <v>0</v>
      </c>
      <c r="AE311" s="359">
        <v>0</v>
      </c>
      <c r="AF311" s="359">
        <v>0</v>
      </c>
      <c r="AG311" s="359">
        <v>0</v>
      </c>
      <c r="AH311" s="359">
        <v>0</v>
      </c>
      <c r="AI311" s="359">
        <v>0</v>
      </c>
      <c r="AJ311" s="359">
        <v>0</v>
      </c>
      <c r="AK311" s="359">
        <v>0</v>
      </c>
      <c r="AL311" s="359">
        <v>0</v>
      </c>
      <c r="AM311" s="359">
        <v>0</v>
      </c>
      <c r="AP311" s="273"/>
      <c r="AQ311" s="273">
        <v>1</v>
      </c>
      <c r="AR311" s="273">
        <v>2</v>
      </c>
      <c r="AS311" s="273">
        <v>3</v>
      </c>
      <c r="AT311" s="273">
        <v>4</v>
      </c>
      <c r="AU311" s="273">
        <v>5</v>
      </c>
      <c r="AV311" s="273">
        <v>6</v>
      </c>
      <c r="AW311" s="273">
        <v>7</v>
      </c>
      <c r="AX311" s="273">
        <v>8</v>
      </c>
      <c r="AY311" s="273">
        <v>9</v>
      </c>
      <c r="AZ311" s="273">
        <v>10</v>
      </c>
      <c r="BA311" s="273">
        <v>11</v>
      </c>
      <c r="BB311" s="273">
        <v>12</v>
      </c>
      <c r="BC311" s="273">
        <v>13</v>
      </c>
      <c r="BD311" s="273">
        <v>14</v>
      </c>
      <c r="BE311" s="273">
        <v>15</v>
      </c>
      <c r="BF311" s="273">
        <v>16</v>
      </c>
      <c r="BG311" s="273">
        <v>17</v>
      </c>
      <c r="BH311" s="273">
        <v>18</v>
      </c>
      <c r="BI311" s="273">
        <v>19</v>
      </c>
      <c r="BJ311" s="273">
        <v>20</v>
      </c>
      <c r="BK311" s="273">
        <v>21</v>
      </c>
      <c r="BL311" s="273">
        <v>22</v>
      </c>
      <c r="BM311" s="273">
        <v>23</v>
      </c>
      <c r="BN311" s="273">
        <v>24</v>
      </c>
      <c r="BO311" s="273">
        <v>25</v>
      </c>
      <c r="BP311" s="273">
        <v>26</v>
      </c>
      <c r="BQ311" s="273">
        <v>27</v>
      </c>
      <c r="BR311" s="273">
        <v>28</v>
      </c>
      <c r="BS311" s="273">
        <v>29</v>
      </c>
      <c r="BT311" s="273">
        <v>30</v>
      </c>
      <c r="BU311" s="273">
        <v>31</v>
      </c>
      <c r="BV311" s="273">
        <v>32</v>
      </c>
      <c r="BW311" s="273">
        <v>33</v>
      </c>
      <c r="BX311" s="273">
        <v>34</v>
      </c>
      <c r="BY311" s="273">
        <v>35</v>
      </c>
    </row>
    <row r="312" spans="2:83">
      <c r="B312" s="324" t="s">
        <v>84</v>
      </c>
      <c r="D312" s="357">
        <f>SUM(E312:AM312)</f>
        <v>0</v>
      </c>
      <c r="E312" s="357">
        <f t="shared" ref="E312:E346" si="163">E$19*AQ312</f>
        <v>0</v>
      </c>
      <c r="F312" s="357">
        <f t="shared" ref="F312:F346" si="164">F$19*AR312</f>
        <v>0</v>
      </c>
      <c r="G312" s="357">
        <f t="shared" ref="G312:G346" si="165">G$19*AS312</f>
        <v>0</v>
      </c>
      <c r="H312" s="357">
        <f t="shared" ref="H312:H346" si="166">H$19*AT312</f>
        <v>0</v>
      </c>
      <c r="I312" s="357">
        <f t="shared" ref="I312:I346" si="167">I$19*AU312</f>
        <v>0</v>
      </c>
      <c r="J312" s="357">
        <f t="shared" ref="J312:J346" si="168">J$19*AV312</f>
        <v>0</v>
      </c>
      <c r="K312" s="357">
        <f t="shared" ref="K312:K346" si="169">K$19*AW312</f>
        <v>0</v>
      </c>
      <c r="L312" s="357">
        <f t="shared" ref="L312:L346" si="170">L$19*AX312</f>
        <v>0</v>
      </c>
      <c r="M312" s="357">
        <f t="shared" ref="M312:M346" si="171">M$19*AY312</f>
        <v>0</v>
      </c>
      <c r="N312" s="357">
        <f t="shared" ref="N312:N346" si="172">N$19*AZ312</f>
        <v>0</v>
      </c>
      <c r="O312" s="357">
        <f t="shared" ref="O312:O346" si="173">O$19*BA312</f>
        <v>0</v>
      </c>
      <c r="P312" s="357">
        <f t="shared" ref="P312:P346" si="174">P$19*BB312</f>
        <v>0</v>
      </c>
      <c r="Q312" s="357">
        <f t="shared" ref="Q312:Q346" si="175">Q$19*BC312</f>
        <v>0</v>
      </c>
      <c r="R312" s="357">
        <f t="shared" ref="R312:R346" si="176">R$19*BD312</f>
        <v>0</v>
      </c>
      <c r="S312" s="357">
        <f t="shared" ref="S312:S346" si="177">S$19*BE312</f>
        <v>0</v>
      </c>
      <c r="T312" s="357">
        <f t="shared" ref="T312:T346" si="178">T$19*BF312</f>
        <v>0</v>
      </c>
      <c r="U312" s="357">
        <f t="shared" ref="U312:U346" si="179">U$19*BG312</f>
        <v>0</v>
      </c>
      <c r="V312" s="357">
        <f t="shared" ref="V312:V346" si="180">V$19*BH312</f>
        <v>0</v>
      </c>
      <c r="W312" s="357">
        <f t="shared" ref="W312:W346" si="181">W$19*BI312</f>
        <v>0</v>
      </c>
      <c r="X312" s="357">
        <f t="shared" ref="X312:X346" si="182">X$19*BJ312</f>
        <v>0</v>
      </c>
      <c r="Y312" s="357">
        <f t="shared" ref="Y312:Y346" si="183">Y$19*BK312</f>
        <v>0</v>
      </c>
      <c r="Z312" s="357">
        <f t="shared" ref="Z312:Z346" si="184">Z$19*BL312</f>
        <v>0</v>
      </c>
      <c r="AA312" s="357">
        <f t="shared" ref="AA312:AA346" si="185">AA$19*BM312</f>
        <v>0</v>
      </c>
      <c r="AB312" s="357">
        <f t="shared" ref="AB312:AB346" si="186">AB$19*BN312</f>
        <v>0</v>
      </c>
      <c r="AC312" s="357">
        <f t="shared" ref="AC312:AC346" si="187">AC$19*BO312</f>
        <v>0</v>
      </c>
      <c r="AD312" s="357">
        <f t="shared" ref="AD312:AD346" si="188">AD$19*BP312</f>
        <v>0</v>
      </c>
      <c r="AE312" s="357">
        <f t="shared" ref="AE312:AE346" si="189">AE$19*BQ312</f>
        <v>0</v>
      </c>
      <c r="AF312" s="357">
        <f t="shared" ref="AF312:AF346" si="190">AF$19*BR312</f>
        <v>0</v>
      </c>
      <c r="AG312" s="357">
        <f t="shared" ref="AG312:AG346" si="191">AG$19*BS312</f>
        <v>0</v>
      </c>
      <c r="AH312" s="357">
        <f t="shared" ref="AH312:AH346" si="192">AH$19*BT312</f>
        <v>0</v>
      </c>
      <c r="AI312" s="357">
        <f t="shared" ref="AI312:AI346" si="193">AI$19*BU312</f>
        <v>0</v>
      </c>
      <c r="AJ312" s="357">
        <f t="shared" ref="AJ312:AJ346" si="194">AJ$19*BV312</f>
        <v>0</v>
      </c>
      <c r="AK312" s="357">
        <f t="shared" ref="AK312:AK346" si="195">AK$19*BW312</f>
        <v>0</v>
      </c>
      <c r="AL312" s="357">
        <f t="shared" ref="AL312:AL346" si="196">AL$19*BX312</f>
        <v>0</v>
      </c>
      <c r="AM312" s="357">
        <f t="shared" ref="AM312:AM346" si="197">AM$19*BY312</f>
        <v>0</v>
      </c>
      <c r="AN312" s="357"/>
      <c r="AP312" s="273">
        <v>1</v>
      </c>
      <c r="AQ312" s="371">
        <v>0</v>
      </c>
      <c r="AR312" s="371">
        <v>0</v>
      </c>
      <c r="AS312" s="371">
        <v>0</v>
      </c>
      <c r="AT312" s="371">
        <v>0</v>
      </c>
      <c r="AU312" s="371">
        <v>0</v>
      </c>
      <c r="AV312" s="371">
        <v>0</v>
      </c>
      <c r="AW312" s="371">
        <v>0</v>
      </c>
      <c r="AX312" s="371">
        <v>0</v>
      </c>
      <c r="AY312" s="371">
        <v>0</v>
      </c>
      <c r="AZ312" s="371">
        <v>0</v>
      </c>
      <c r="BA312" s="371">
        <v>0</v>
      </c>
      <c r="BB312" s="371">
        <v>0</v>
      </c>
      <c r="BC312" s="371">
        <v>0</v>
      </c>
      <c r="BD312" s="371">
        <v>0</v>
      </c>
      <c r="BE312" s="371">
        <v>0</v>
      </c>
      <c r="BF312" s="371">
        <v>0</v>
      </c>
      <c r="BG312" s="371">
        <v>0</v>
      </c>
      <c r="BH312" s="371">
        <v>0</v>
      </c>
      <c r="BI312" s="371">
        <v>0</v>
      </c>
      <c r="BJ312" s="371">
        <v>0</v>
      </c>
      <c r="BK312" s="371">
        <v>0</v>
      </c>
      <c r="BL312" s="371">
        <v>0</v>
      </c>
      <c r="BM312" s="371">
        <v>0</v>
      </c>
      <c r="BN312" s="371">
        <v>0</v>
      </c>
      <c r="BO312" s="371">
        <v>0</v>
      </c>
      <c r="BP312" s="371">
        <v>0</v>
      </c>
      <c r="BQ312" s="371">
        <v>0</v>
      </c>
      <c r="BR312" s="371">
        <v>0</v>
      </c>
      <c r="BS312" s="371">
        <v>0</v>
      </c>
      <c r="BT312" s="371">
        <v>0</v>
      </c>
      <c r="BU312" s="371">
        <v>0</v>
      </c>
      <c r="BV312" s="371">
        <v>0</v>
      </c>
      <c r="BW312" s="371">
        <v>0</v>
      </c>
      <c r="BX312" s="371">
        <v>0</v>
      </c>
      <c r="BY312" s="371">
        <v>0</v>
      </c>
    </row>
    <row r="313" spans="2:83">
      <c r="B313" s="324" t="s">
        <v>86</v>
      </c>
      <c r="D313" s="357">
        <f t="shared" ref="D313:D346" si="198">SUM(E313:AM313)</f>
        <v>0</v>
      </c>
      <c r="E313" s="357">
        <f t="shared" si="163"/>
        <v>0</v>
      </c>
      <c r="F313" s="357">
        <f t="shared" si="164"/>
        <v>0</v>
      </c>
      <c r="G313" s="357">
        <f t="shared" si="165"/>
        <v>0</v>
      </c>
      <c r="H313" s="357">
        <f t="shared" si="166"/>
        <v>0</v>
      </c>
      <c r="I313" s="357">
        <f t="shared" si="167"/>
        <v>0</v>
      </c>
      <c r="J313" s="357">
        <f t="shared" si="168"/>
        <v>0</v>
      </c>
      <c r="K313" s="357">
        <f t="shared" si="169"/>
        <v>0</v>
      </c>
      <c r="L313" s="357">
        <f t="shared" si="170"/>
        <v>0</v>
      </c>
      <c r="M313" s="357">
        <f t="shared" si="171"/>
        <v>0</v>
      </c>
      <c r="N313" s="357">
        <f t="shared" si="172"/>
        <v>0</v>
      </c>
      <c r="O313" s="357">
        <f t="shared" si="173"/>
        <v>0</v>
      </c>
      <c r="P313" s="357">
        <f t="shared" si="174"/>
        <v>0</v>
      </c>
      <c r="Q313" s="357">
        <f t="shared" si="175"/>
        <v>0</v>
      </c>
      <c r="R313" s="357">
        <f t="shared" si="176"/>
        <v>0</v>
      </c>
      <c r="S313" s="357">
        <f t="shared" si="177"/>
        <v>0</v>
      </c>
      <c r="T313" s="357">
        <f t="shared" si="178"/>
        <v>0</v>
      </c>
      <c r="U313" s="357">
        <f t="shared" si="179"/>
        <v>0</v>
      </c>
      <c r="V313" s="357">
        <f t="shared" si="180"/>
        <v>0</v>
      </c>
      <c r="W313" s="357">
        <f t="shared" si="181"/>
        <v>0</v>
      </c>
      <c r="X313" s="357">
        <f t="shared" si="182"/>
        <v>0</v>
      </c>
      <c r="Y313" s="357">
        <f t="shared" si="183"/>
        <v>0</v>
      </c>
      <c r="Z313" s="357">
        <f t="shared" si="184"/>
        <v>0</v>
      </c>
      <c r="AA313" s="357">
        <f t="shared" si="185"/>
        <v>0</v>
      </c>
      <c r="AB313" s="357">
        <f t="shared" si="186"/>
        <v>0</v>
      </c>
      <c r="AC313" s="357">
        <f t="shared" si="187"/>
        <v>0</v>
      </c>
      <c r="AD313" s="357">
        <f t="shared" si="188"/>
        <v>0</v>
      </c>
      <c r="AE313" s="357">
        <f t="shared" si="189"/>
        <v>0</v>
      </c>
      <c r="AF313" s="357">
        <f t="shared" si="190"/>
        <v>0</v>
      </c>
      <c r="AG313" s="357">
        <f t="shared" si="191"/>
        <v>0</v>
      </c>
      <c r="AH313" s="357">
        <f t="shared" si="192"/>
        <v>0</v>
      </c>
      <c r="AI313" s="357">
        <f t="shared" si="193"/>
        <v>0</v>
      </c>
      <c r="AJ313" s="357">
        <f t="shared" si="194"/>
        <v>0</v>
      </c>
      <c r="AK313" s="357">
        <f t="shared" si="195"/>
        <v>0</v>
      </c>
      <c r="AL313" s="357">
        <f t="shared" si="196"/>
        <v>0</v>
      </c>
      <c r="AM313" s="357">
        <f t="shared" si="197"/>
        <v>0</v>
      </c>
      <c r="AN313" s="357"/>
      <c r="AP313" s="273">
        <v>2</v>
      </c>
      <c r="AQ313" s="371">
        <v>0</v>
      </c>
      <c r="AR313" s="371">
        <v>0</v>
      </c>
      <c r="AS313" s="371">
        <v>0</v>
      </c>
      <c r="AT313" s="371">
        <v>0</v>
      </c>
      <c r="AU313" s="371">
        <v>0</v>
      </c>
      <c r="AV313" s="371">
        <v>0</v>
      </c>
      <c r="AW313" s="371">
        <v>0</v>
      </c>
      <c r="AX313" s="371">
        <v>0</v>
      </c>
      <c r="AY313" s="371">
        <v>0</v>
      </c>
      <c r="AZ313" s="371">
        <v>0</v>
      </c>
      <c r="BA313" s="371">
        <v>0</v>
      </c>
      <c r="BB313" s="371">
        <v>0</v>
      </c>
      <c r="BC313" s="371">
        <v>0</v>
      </c>
      <c r="BD313" s="371">
        <v>0</v>
      </c>
      <c r="BE313" s="371">
        <v>0</v>
      </c>
      <c r="BF313" s="371">
        <v>0</v>
      </c>
      <c r="BG313" s="371">
        <v>0</v>
      </c>
      <c r="BH313" s="371">
        <v>0</v>
      </c>
      <c r="BI313" s="371">
        <v>0</v>
      </c>
      <c r="BJ313" s="371">
        <v>0</v>
      </c>
      <c r="BK313" s="371">
        <v>0</v>
      </c>
      <c r="BL313" s="371">
        <v>0</v>
      </c>
      <c r="BM313" s="371">
        <v>0</v>
      </c>
      <c r="BN313" s="371">
        <v>0</v>
      </c>
      <c r="BO313" s="371">
        <v>0</v>
      </c>
      <c r="BP313" s="371">
        <v>0</v>
      </c>
      <c r="BQ313" s="371">
        <v>0</v>
      </c>
      <c r="BR313" s="371">
        <v>0</v>
      </c>
      <c r="BS313" s="371">
        <v>0</v>
      </c>
      <c r="BT313" s="371">
        <v>0</v>
      </c>
      <c r="BU313" s="371">
        <v>0</v>
      </c>
      <c r="BV313" s="371">
        <v>0</v>
      </c>
      <c r="BW313" s="371">
        <v>0</v>
      </c>
      <c r="BX313" s="371">
        <v>0</v>
      </c>
      <c r="BY313" s="371">
        <v>0</v>
      </c>
    </row>
    <row r="314" spans="2:83">
      <c r="B314" s="324" t="s">
        <v>92</v>
      </c>
      <c r="D314" s="357">
        <f t="shared" si="198"/>
        <v>0</v>
      </c>
      <c r="E314" s="357">
        <f t="shared" si="163"/>
        <v>0</v>
      </c>
      <c r="F314" s="357">
        <f t="shared" si="164"/>
        <v>0</v>
      </c>
      <c r="G314" s="357">
        <f t="shared" si="165"/>
        <v>0</v>
      </c>
      <c r="H314" s="357">
        <f t="shared" si="166"/>
        <v>0</v>
      </c>
      <c r="I314" s="357">
        <f t="shared" si="167"/>
        <v>0</v>
      </c>
      <c r="J314" s="357">
        <f t="shared" si="168"/>
        <v>0</v>
      </c>
      <c r="K314" s="357">
        <f t="shared" si="169"/>
        <v>0</v>
      </c>
      <c r="L314" s="357">
        <f t="shared" si="170"/>
        <v>0</v>
      </c>
      <c r="M314" s="357">
        <f t="shared" si="171"/>
        <v>0</v>
      </c>
      <c r="N314" s="357">
        <f t="shared" si="172"/>
        <v>0</v>
      </c>
      <c r="O314" s="357">
        <f t="shared" si="173"/>
        <v>0</v>
      </c>
      <c r="P314" s="357">
        <f t="shared" si="174"/>
        <v>0</v>
      </c>
      <c r="Q314" s="357">
        <f t="shared" si="175"/>
        <v>0</v>
      </c>
      <c r="R314" s="357">
        <f t="shared" si="176"/>
        <v>0</v>
      </c>
      <c r="S314" s="357">
        <f t="shared" si="177"/>
        <v>0</v>
      </c>
      <c r="T314" s="357">
        <f t="shared" si="178"/>
        <v>0</v>
      </c>
      <c r="U314" s="357">
        <f t="shared" si="179"/>
        <v>0</v>
      </c>
      <c r="V314" s="357">
        <f t="shared" si="180"/>
        <v>0</v>
      </c>
      <c r="W314" s="357">
        <f t="shared" si="181"/>
        <v>0</v>
      </c>
      <c r="X314" s="357">
        <f t="shared" si="182"/>
        <v>0</v>
      </c>
      <c r="Y314" s="357">
        <f t="shared" si="183"/>
        <v>0</v>
      </c>
      <c r="Z314" s="357">
        <f t="shared" si="184"/>
        <v>0</v>
      </c>
      <c r="AA314" s="357">
        <f t="shared" si="185"/>
        <v>0</v>
      </c>
      <c r="AB314" s="357">
        <f t="shared" si="186"/>
        <v>0</v>
      </c>
      <c r="AC314" s="357">
        <f t="shared" si="187"/>
        <v>0</v>
      </c>
      <c r="AD314" s="357">
        <f t="shared" si="188"/>
        <v>0</v>
      </c>
      <c r="AE314" s="357">
        <f t="shared" si="189"/>
        <v>0</v>
      </c>
      <c r="AF314" s="357">
        <f t="shared" si="190"/>
        <v>0</v>
      </c>
      <c r="AG314" s="357">
        <f t="shared" si="191"/>
        <v>0</v>
      </c>
      <c r="AH314" s="357">
        <f t="shared" si="192"/>
        <v>0</v>
      </c>
      <c r="AI314" s="357">
        <f t="shared" si="193"/>
        <v>0</v>
      </c>
      <c r="AJ314" s="357">
        <f t="shared" si="194"/>
        <v>0</v>
      </c>
      <c r="AK314" s="357">
        <f t="shared" si="195"/>
        <v>0</v>
      </c>
      <c r="AL314" s="357">
        <f t="shared" si="196"/>
        <v>0</v>
      </c>
      <c r="AM314" s="357">
        <f t="shared" si="197"/>
        <v>0</v>
      </c>
      <c r="AN314" s="357"/>
      <c r="AP314" s="273">
        <v>3</v>
      </c>
      <c r="AQ314" s="371">
        <v>0.1</v>
      </c>
      <c r="AR314" s="371">
        <v>0</v>
      </c>
      <c r="AS314" s="371">
        <v>0</v>
      </c>
      <c r="AT314" s="371">
        <v>0</v>
      </c>
      <c r="AU314" s="371">
        <v>0</v>
      </c>
      <c r="AV314" s="371">
        <v>0</v>
      </c>
      <c r="AW314" s="371">
        <v>0</v>
      </c>
      <c r="AX314" s="371">
        <v>0</v>
      </c>
      <c r="AY314" s="371">
        <v>0</v>
      </c>
      <c r="AZ314" s="371">
        <v>0</v>
      </c>
      <c r="BA314" s="371">
        <v>0</v>
      </c>
      <c r="BB314" s="371">
        <v>0</v>
      </c>
      <c r="BC314" s="371">
        <v>0</v>
      </c>
      <c r="BD314" s="371">
        <v>0</v>
      </c>
      <c r="BE314" s="371">
        <v>0</v>
      </c>
      <c r="BF314" s="371">
        <v>0</v>
      </c>
      <c r="BG314" s="371">
        <v>0</v>
      </c>
      <c r="BH314" s="371">
        <v>0</v>
      </c>
      <c r="BI314" s="371">
        <v>0</v>
      </c>
      <c r="BJ314" s="371">
        <v>0</v>
      </c>
      <c r="BK314" s="371">
        <v>0</v>
      </c>
      <c r="BL314" s="371">
        <v>0</v>
      </c>
      <c r="BM314" s="371">
        <v>0</v>
      </c>
      <c r="BN314" s="371">
        <v>0</v>
      </c>
      <c r="BO314" s="371">
        <v>0</v>
      </c>
      <c r="BP314" s="371">
        <v>0</v>
      </c>
      <c r="BQ314" s="371">
        <v>0</v>
      </c>
      <c r="BR314" s="371">
        <v>0</v>
      </c>
      <c r="BS314" s="371">
        <v>0</v>
      </c>
      <c r="BT314" s="371">
        <v>0</v>
      </c>
      <c r="BU314" s="371">
        <v>0</v>
      </c>
      <c r="BV314" s="371">
        <v>0</v>
      </c>
      <c r="BW314" s="371">
        <v>0</v>
      </c>
      <c r="BX314" s="371">
        <v>0</v>
      </c>
      <c r="BY314" s="371">
        <v>0</v>
      </c>
      <c r="CB314" s="325"/>
      <c r="CC314" s="325"/>
      <c r="CD314" s="325"/>
      <c r="CE314" s="325"/>
    </row>
    <row r="315" spans="2:83" ht="10.15" customHeight="1">
      <c r="B315" s="324" t="s">
        <v>93</v>
      </c>
      <c r="D315" s="357">
        <f t="shared" si="198"/>
        <v>12472.224308660318</v>
      </c>
      <c r="E315" s="357">
        <f t="shared" si="163"/>
        <v>0</v>
      </c>
      <c r="F315" s="357">
        <f t="shared" si="164"/>
        <v>12472.224308660318</v>
      </c>
      <c r="G315" s="357">
        <f t="shared" si="165"/>
        <v>0</v>
      </c>
      <c r="H315" s="357">
        <f t="shared" si="166"/>
        <v>0</v>
      </c>
      <c r="I315" s="357">
        <f t="shared" si="167"/>
        <v>0</v>
      </c>
      <c r="J315" s="357">
        <f t="shared" si="168"/>
        <v>0</v>
      </c>
      <c r="K315" s="357">
        <f t="shared" si="169"/>
        <v>0</v>
      </c>
      <c r="L315" s="357">
        <f t="shared" si="170"/>
        <v>0</v>
      </c>
      <c r="M315" s="357">
        <f t="shared" si="171"/>
        <v>0</v>
      </c>
      <c r="N315" s="357">
        <f t="shared" si="172"/>
        <v>0</v>
      </c>
      <c r="O315" s="357">
        <f t="shared" si="173"/>
        <v>0</v>
      </c>
      <c r="P315" s="357">
        <f t="shared" si="174"/>
        <v>0</v>
      </c>
      <c r="Q315" s="357">
        <f t="shared" si="175"/>
        <v>0</v>
      </c>
      <c r="R315" s="357">
        <f t="shared" si="176"/>
        <v>0</v>
      </c>
      <c r="S315" s="357">
        <f t="shared" si="177"/>
        <v>0</v>
      </c>
      <c r="T315" s="357">
        <f t="shared" si="178"/>
        <v>0</v>
      </c>
      <c r="U315" s="357">
        <f t="shared" si="179"/>
        <v>0</v>
      </c>
      <c r="V315" s="357">
        <f t="shared" si="180"/>
        <v>0</v>
      </c>
      <c r="W315" s="357">
        <f t="shared" si="181"/>
        <v>0</v>
      </c>
      <c r="X315" s="357">
        <f t="shared" si="182"/>
        <v>0</v>
      </c>
      <c r="Y315" s="357">
        <f t="shared" si="183"/>
        <v>0</v>
      </c>
      <c r="Z315" s="357">
        <f t="shared" si="184"/>
        <v>0</v>
      </c>
      <c r="AA315" s="357">
        <f t="shared" si="185"/>
        <v>0</v>
      </c>
      <c r="AB315" s="357">
        <f t="shared" si="186"/>
        <v>0</v>
      </c>
      <c r="AC315" s="357">
        <f t="shared" si="187"/>
        <v>0</v>
      </c>
      <c r="AD315" s="357">
        <f t="shared" si="188"/>
        <v>0</v>
      </c>
      <c r="AE315" s="357">
        <f t="shared" si="189"/>
        <v>0</v>
      </c>
      <c r="AF315" s="357">
        <f t="shared" si="190"/>
        <v>0</v>
      </c>
      <c r="AG315" s="357">
        <f t="shared" si="191"/>
        <v>0</v>
      </c>
      <c r="AH315" s="357">
        <f t="shared" si="192"/>
        <v>0</v>
      </c>
      <c r="AI315" s="357">
        <f t="shared" si="193"/>
        <v>0</v>
      </c>
      <c r="AJ315" s="357">
        <f t="shared" si="194"/>
        <v>0</v>
      </c>
      <c r="AK315" s="357">
        <f t="shared" si="195"/>
        <v>0</v>
      </c>
      <c r="AL315" s="357">
        <f t="shared" si="196"/>
        <v>0</v>
      </c>
      <c r="AM315" s="357">
        <f t="shared" si="197"/>
        <v>0</v>
      </c>
      <c r="AN315" s="357"/>
      <c r="AP315" s="273">
        <v>4</v>
      </c>
      <c r="AQ315" s="371">
        <v>0.1</v>
      </c>
      <c r="AR315" s="371">
        <v>0.1</v>
      </c>
      <c r="AS315" s="371">
        <v>0</v>
      </c>
      <c r="AT315" s="371">
        <v>0</v>
      </c>
      <c r="AU315" s="371">
        <v>0</v>
      </c>
      <c r="AV315" s="371">
        <v>0</v>
      </c>
      <c r="AW315" s="371">
        <v>0</v>
      </c>
      <c r="AX315" s="371">
        <v>0</v>
      </c>
      <c r="AY315" s="371">
        <v>0</v>
      </c>
      <c r="AZ315" s="371">
        <v>0</v>
      </c>
      <c r="BA315" s="371">
        <v>0</v>
      </c>
      <c r="BB315" s="371">
        <v>0</v>
      </c>
      <c r="BC315" s="371">
        <v>0</v>
      </c>
      <c r="BD315" s="371">
        <v>0</v>
      </c>
      <c r="BE315" s="371">
        <v>0</v>
      </c>
      <c r="BF315" s="371">
        <v>0</v>
      </c>
      <c r="BG315" s="371">
        <v>0</v>
      </c>
      <c r="BH315" s="371">
        <v>0</v>
      </c>
      <c r="BI315" s="371">
        <v>0</v>
      </c>
      <c r="BJ315" s="371">
        <v>0</v>
      </c>
      <c r="BK315" s="371">
        <v>0</v>
      </c>
      <c r="BL315" s="371">
        <v>0</v>
      </c>
      <c r="BM315" s="371">
        <v>0</v>
      </c>
      <c r="BN315" s="371">
        <v>0</v>
      </c>
      <c r="BO315" s="371">
        <v>0</v>
      </c>
      <c r="BP315" s="371">
        <v>0</v>
      </c>
      <c r="BQ315" s="371">
        <v>0</v>
      </c>
      <c r="BR315" s="371">
        <v>0</v>
      </c>
      <c r="BS315" s="371">
        <v>0</v>
      </c>
      <c r="BT315" s="371">
        <v>0</v>
      </c>
      <c r="BU315" s="371">
        <v>0</v>
      </c>
      <c r="BV315" s="371">
        <v>0</v>
      </c>
      <c r="BW315" s="371">
        <v>0</v>
      </c>
      <c r="BX315" s="371">
        <v>0</v>
      </c>
      <c r="BY315" s="371">
        <v>0</v>
      </c>
      <c r="CC315" s="325"/>
      <c r="CD315" s="325"/>
      <c r="CE315" s="325"/>
    </row>
    <row r="316" spans="2:83" ht="10.15" customHeight="1">
      <c r="B316" s="324" t="s">
        <v>94</v>
      </c>
      <c r="D316" s="357">
        <f t="shared" si="198"/>
        <v>12472.224308660318</v>
      </c>
      <c r="E316" s="357">
        <f t="shared" si="163"/>
        <v>0</v>
      </c>
      <c r="F316" s="357">
        <f t="shared" si="164"/>
        <v>12472.224308660318</v>
      </c>
      <c r="G316" s="357">
        <f t="shared" si="165"/>
        <v>0</v>
      </c>
      <c r="H316" s="357">
        <f t="shared" si="166"/>
        <v>0</v>
      </c>
      <c r="I316" s="357">
        <f t="shared" si="167"/>
        <v>0</v>
      </c>
      <c r="J316" s="357">
        <f t="shared" si="168"/>
        <v>0</v>
      </c>
      <c r="K316" s="357">
        <f t="shared" si="169"/>
        <v>0</v>
      </c>
      <c r="L316" s="357">
        <f t="shared" si="170"/>
        <v>0</v>
      </c>
      <c r="M316" s="357">
        <f t="shared" si="171"/>
        <v>0</v>
      </c>
      <c r="N316" s="357">
        <f t="shared" si="172"/>
        <v>0</v>
      </c>
      <c r="O316" s="357">
        <f t="shared" si="173"/>
        <v>0</v>
      </c>
      <c r="P316" s="357">
        <f t="shared" si="174"/>
        <v>0</v>
      </c>
      <c r="Q316" s="357">
        <f t="shared" si="175"/>
        <v>0</v>
      </c>
      <c r="R316" s="357">
        <f t="shared" si="176"/>
        <v>0</v>
      </c>
      <c r="S316" s="357">
        <f t="shared" si="177"/>
        <v>0</v>
      </c>
      <c r="T316" s="357">
        <f t="shared" si="178"/>
        <v>0</v>
      </c>
      <c r="U316" s="357">
        <f t="shared" si="179"/>
        <v>0</v>
      </c>
      <c r="V316" s="357">
        <f t="shared" si="180"/>
        <v>0</v>
      </c>
      <c r="W316" s="357">
        <f t="shared" si="181"/>
        <v>0</v>
      </c>
      <c r="X316" s="357">
        <f t="shared" si="182"/>
        <v>0</v>
      </c>
      <c r="Y316" s="357">
        <f t="shared" si="183"/>
        <v>0</v>
      </c>
      <c r="Z316" s="357">
        <f t="shared" si="184"/>
        <v>0</v>
      </c>
      <c r="AA316" s="357">
        <f t="shared" si="185"/>
        <v>0</v>
      </c>
      <c r="AB316" s="357">
        <f t="shared" si="186"/>
        <v>0</v>
      </c>
      <c r="AC316" s="357">
        <f t="shared" si="187"/>
        <v>0</v>
      </c>
      <c r="AD316" s="357">
        <f t="shared" si="188"/>
        <v>0</v>
      </c>
      <c r="AE316" s="357">
        <f t="shared" si="189"/>
        <v>0</v>
      </c>
      <c r="AF316" s="357">
        <f t="shared" si="190"/>
        <v>0</v>
      </c>
      <c r="AG316" s="357">
        <f t="shared" si="191"/>
        <v>0</v>
      </c>
      <c r="AH316" s="357">
        <f t="shared" si="192"/>
        <v>0</v>
      </c>
      <c r="AI316" s="357">
        <f t="shared" si="193"/>
        <v>0</v>
      </c>
      <c r="AJ316" s="357">
        <f t="shared" si="194"/>
        <v>0</v>
      </c>
      <c r="AK316" s="357">
        <f t="shared" si="195"/>
        <v>0</v>
      </c>
      <c r="AL316" s="357">
        <f t="shared" si="196"/>
        <v>0</v>
      </c>
      <c r="AM316" s="357">
        <f t="shared" si="197"/>
        <v>0</v>
      </c>
      <c r="AN316" s="357"/>
      <c r="AP316" s="273">
        <v>5</v>
      </c>
      <c r="AQ316" s="371">
        <v>0.1</v>
      </c>
      <c r="AR316" s="371">
        <v>0.1</v>
      </c>
      <c r="AS316" s="371">
        <v>0.1</v>
      </c>
      <c r="AT316" s="371">
        <v>0</v>
      </c>
      <c r="AU316" s="371">
        <v>0</v>
      </c>
      <c r="AV316" s="371">
        <v>0</v>
      </c>
      <c r="AW316" s="371">
        <v>0</v>
      </c>
      <c r="AX316" s="371">
        <v>0</v>
      </c>
      <c r="AY316" s="371">
        <v>0</v>
      </c>
      <c r="AZ316" s="371">
        <v>0</v>
      </c>
      <c r="BA316" s="371">
        <v>0</v>
      </c>
      <c r="BB316" s="371">
        <v>0</v>
      </c>
      <c r="BC316" s="371">
        <v>0</v>
      </c>
      <c r="BD316" s="371">
        <v>0</v>
      </c>
      <c r="BE316" s="371">
        <v>0</v>
      </c>
      <c r="BF316" s="371">
        <v>0</v>
      </c>
      <c r="BG316" s="371">
        <v>0</v>
      </c>
      <c r="BH316" s="371">
        <v>0</v>
      </c>
      <c r="BI316" s="371">
        <v>0</v>
      </c>
      <c r="BJ316" s="371">
        <v>0</v>
      </c>
      <c r="BK316" s="371">
        <v>0</v>
      </c>
      <c r="BL316" s="371">
        <v>0</v>
      </c>
      <c r="BM316" s="371">
        <v>0</v>
      </c>
      <c r="BN316" s="371">
        <v>0</v>
      </c>
      <c r="BO316" s="371">
        <v>0</v>
      </c>
      <c r="BP316" s="371">
        <v>0</v>
      </c>
      <c r="BQ316" s="371">
        <v>0</v>
      </c>
      <c r="BR316" s="371">
        <v>0</v>
      </c>
      <c r="BS316" s="371">
        <v>0</v>
      </c>
      <c r="BT316" s="371">
        <v>0</v>
      </c>
      <c r="BU316" s="371">
        <v>0</v>
      </c>
      <c r="BV316" s="371">
        <v>0</v>
      </c>
      <c r="BW316" s="371">
        <v>0</v>
      </c>
      <c r="BX316" s="371">
        <v>0</v>
      </c>
      <c r="BY316" s="371">
        <v>0</v>
      </c>
    </row>
    <row r="317" spans="2:83" ht="10.15" customHeight="1">
      <c r="B317" s="324" t="s">
        <v>95</v>
      </c>
      <c r="D317" s="357">
        <f t="shared" si="198"/>
        <v>12472.224308660318</v>
      </c>
      <c r="E317" s="357">
        <f t="shared" si="163"/>
        <v>0</v>
      </c>
      <c r="F317" s="357">
        <f t="shared" si="164"/>
        <v>12472.224308660318</v>
      </c>
      <c r="G317" s="357">
        <f t="shared" si="165"/>
        <v>0</v>
      </c>
      <c r="H317" s="357">
        <f t="shared" si="166"/>
        <v>0</v>
      </c>
      <c r="I317" s="357">
        <f t="shared" si="167"/>
        <v>0</v>
      </c>
      <c r="J317" s="357">
        <f t="shared" si="168"/>
        <v>0</v>
      </c>
      <c r="K317" s="357">
        <f t="shared" si="169"/>
        <v>0</v>
      </c>
      <c r="L317" s="357">
        <f t="shared" si="170"/>
        <v>0</v>
      </c>
      <c r="M317" s="357">
        <f t="shared" si="171"/>
        <v>0</v>
      </c>
      <c r="N317" s="357">
        <f t="shared" si="172"/>
        <v>0</v>
      </c>
      <c r="O317" s="357">
        <f t="shared" si="173"/>
        <v>0</v>
      </c>
      <c r="P317" s="357">
        <f t="shared" si="174"/>
        <v>0</v>
      </c>
      <c r="Q317" s="357">
        <f t="shared" si="175"/>
        <v>0</v>
      </c>
      <c r="R317" s="357">
        <f t="shared" si="176"/>
        <v>0</v>
      </c>
      <c r="S317" s="357">
        <f t="shared" si="177"/>
        <v>0</v>
      </c>
      <c r="T317" s="357">
        <f t="shared" si="178"/>
        <v>0</v>
      </c>
      <c r="U317" s="357">
        <f t="shared" si="179"/>
        <v>0</v>
      </c>
      <c r="V317" s="357">
        <f t="shared" si="180"/>
        <v>0</v>
      </c>
      <c r="W317" s="357">
        <f t="shared" si="181"/>
        <v>0</v>
      </c>
      <c r="X317" s="357">
        <f t="shared" si="182"/>
        <v>0</v>
      </c>
      <c r="Y317" s="357">
        <f t="shared" si="183"/>
        <v>0</v>
      </c>
      <c r="Z317" s="357">
        <f t="shared" si="184"/>
        <v>0</v>
      </c>
      <c r="AA317" s="357">
        <f t="shared" si="185"/>
        <v>0</v>
      </c>
      <c r="AB317" s="357">
        <f t="shared" si="186"/>
        <v>0</v>
      </c>
      <c r="AC317" s="357">
        <f t="shared" si="187"/>
        <v>0</v>
      </c>
      <c r="AD317" s="357">
        <f t="shared" si="188"/>
        <v>0</v>
      </c>
      <c r="AE317" s="357">
        <f t="shared" si="189"/>
        <v>0</v>
      </c>
      <c r="AF317" s="357">
        <f t="shared" si="190"/>
        <v>0</v>
      </c>
      <c r="AG317" s="357">
        <f t="shared" si="191"/>
        <v>0</v>
      </c>
      <c r="AH317" s="357">
        <f t="shared" si="192"/>
        <v>0</v>
      </c>
      <c r="AI317" s="357">
        <f t="shared" si="193"/>
        <v>0</v>
      </c>
      <c r="AJ317" s="357">
        <f t="shared" si="194"/>
        <v>0</v>
      </c>
      <c r="AK317" s="357">
        <f t="shared" si="195"/>
        <v>0</v>
      </c>
      <c r="AL317" s="357">
        <f t="shared" si="196"/>
        <v>0</v>
      </c>
      <c r="AM317" s="357">
        <f t="shared" si="197"/>
        <v>0</v>
      </c>
      <c r="AN317" s="357"/>
      <c r="AP317" s="273">
        <v>6</v>
      </c>
      <c r="AQ317" s="371">
        <v>0.1</v>
      </c>
      <c r="AR317" s="371">
        <v>0.1</v>
      </c>
      <c r="AS317" s="371">
        <v>0.1</v>
      </c>
      <c r="AT317" s="371">
        <v>0.1</v>
      </c>
      <c r="AU317" s="371">
        <v>0</v>
      </c>
      <c r="AV317" s="371">
        <v>0</v>
      </c>
      <c r="AW317" s="371">
        <v>0</v>
      </c>
      <c r="AX317" s="371">
        <v>0</v>
      </c>
      <c r="AY317" s="371">
        <v>0</v>
      </c>
      <c r="AZ317" s="371">
        <v>0</v>
      </c>
      <c r="BA317" s="371">
        <v>0</v>
      </c>
      <c r="BB317" s="371">
        <v>0</v>
      </c>
      <c r="BC317" s="371">
        <v>0</v>
      </c>
      <c r="BD317" s="371">
        <v>0</v>
      </c>
      <c r="BE317" s="371">
        <v>0</v>
      </c>
      <c r="BF317" s="371">
        <v>0</v>
      </c>
      <c r="BG317" s="371">
        <v>0</v>
      </c>
      <c r="BH317" s="371">
        <v>0</v>
      </c>
      <c r="BI317" s="371">
        <v>0</v>
      </c>
      <c r="BJ317" s="371">
        <v>0</v>
      </c>
      <c r="BK317" s="371">
        <v>0</v>
      </c>
      <c r="BL317" s="371">
        <v>0</v>
      </c>
      <c r="BM317" s="371">
        <v>0</v>
      </c>
      <c r="BN317" s="371">
        <v>0</v>
      </c>
      <c r="BO317" s="371">
        <v>0</v>
      </c>
      <c r="BP317" s="371">
        <v>0</v>
      </c>
      <c r="BQ317" s="371">
        <v>0</v>
      </c>
      <c r="BR317" s="371">
        <v>0</v>
      </c>
      <c r="BS317" s="371">
        <v>0</v>
      </c>
      <c r="BT317" s="371">
        <v>0</v>
      </c>
      <c r="BU317" s="371">
        <v>0</v>
      </c>
      <c r="BV317" s="371">
        <v>0</v>
      </c>
      <c r="BW317" s="371">
        <v>0</v>
      </c>
      <c r="BX317" s="371">
        <v>0</v>
      </c>
      <c r="BY317" s="371">
        <v>0</v>
      </c>
    </row>
    <row r="318" spans="2:83" ht="10.15" customHeight="1">
      <c r="B318" s="324" t="s">
        <v>96</v>
      </c>
      <c r="D318" s="357">
        <f t="shared" si="198"/>
        <v>12472.224308660318</v>
      </c>
      <c r="E318" s="357">
        <f t="shared" si="163"/>
        <v>0</v>
      </c>
      <c r="F318" s="357">
        <f t="shared" si="164"/>
        <v>12472.224308660318</v>
      </c>
      <c r="G318" s="357">
        <f t="shared" si="165"/>
        <v>0</v>
      </c>
      <c r="H318" s="357">
        <f t="shared" si="166"/>
        <v>0</v>
      </c>
      <c r="I318" s="357">
        <f t="shared" si="167"/>
        <v>0</v>
      </c>
      <c r="J318" s="357">
        <f t="shared" si="168"/>
        <v>0</v>
      </c>
      <c r="K318" s="357">
        <f t="shared" si="169"/>
        <v>0</v>
      </c>
      <c r="L318" s="357">
        <f t="shared" si="170"/>
        <v>0</v>
      </c>
      <c r="M318" s="357">
        <f t="shared" si="171"/>
        <v>0</v>
      </c>
      <c r="N318" s="357">
        <f t="shared" si="172"/>
        <v>0</v>
      </c>
      <c r="O318" s="357">
        <f t="shared" si="173"/>
        <v>0</v>
      </c>
      <c r="P318" s="357">
        <f t="shared" si="174"/>
        <v>0</v>
      </c>
      <c r="Q318" s="357">
        <f t="shared" si="175"/>
        <v>0</v>
      </c>
      <c r="R318" s="357">
        <f t="shared" si="176"/>
        <v>0</v>
      </c>
      <c r="S318" s="357">
        <f t="shared" si="177"/>
        <v>0</v>
      </c>
      <c r="T318" s="357">
        <f t="shared" si="178"/>
        <v>0</v>
      </c>
      <c r="U318" s="357">
        <f t="shared" si="179"/>
        <v>0</v>
      </c>
      <c r="V318" s="357">
        <f t="shared" si="180"/>
        <v>0</v>
      </c>
      <c r="W318" s="357">
        <f t="shared" si="181"/>
        <v>0</v>
      </c>
      <c r="X318" s="357">
        <f t="shared" si="182"/>
        <v>0</v>
      </c>
      <c r="Y318" s="357">
        <f t="shared" si="183"/>
        <v>0</v>
      </c>
      <c r="Z318" s="357">
        <f t="shared" si="184"/>
        <v>0</v>
      </c>
      <c r="AA318" s="357">
        <f t="shared" si="185"/>
        <v>0</v>
      </c>
      <c r="AB318" s="357">
        <f t="shared" si="186"/>
        <v>0</v>
      </c>
      <c r="AC318" s="357">
        <f t="shared" si="187"/>
        <v>0</v>
      </c>
      <c r="AD318" s="357">
        <f t="shared" si="188"/>
        <v>0</v>
      </c>
      <c r="AE318" s="357">
        <f t="shared" si="189"/>
        <v>0</v>
      </c>
      <c r="AF318" s="357">
        <f t="shared" si="190"/>
        <v>0</v>
      </c>
      <c r="AG318" s="357">
        <f t="shared" si="191"/>
        <v>0</v>
      </c>
      <c r="AH318" s="357">
        <f t="shared" si="192"/>
        <v>0</v>
      </c>
      <c r="AI318" s="357">
        <f t="shared" si="193"/>
        <v>0</v>
      </c>
      <c r="AJ318" s="357">
        <f t="shared" si="194"/>
        <v>0</v>
      </c>
      <c r="AK318" s="357">
        <f t="shared" si="195"/>
        <v>0</v>
      </c>
      <c r="AL318" s="357">
        <f t="shared" si="196"/>
        <v>0</v>
      </c>
      <c r="AM318" s="357">
        <f t="shared" si="197"/>
        <v>0</v>
      </c>
      <c r="AN318" s="357"/>
      <c r="AP318" s="273">
        <v>7</v>
      </c>
      <c r="AQ318" s="371">
        <v>0.1</v>
      </c>
      <c r="AR318" s="371">
        <v>0.1</v>
      </c>
      <c r="AS318" s="371">
        <v>0.1</v>
      </c>
      <c r="AT318" s="371">
        <v>0.1</v>
      </c>
      <c r="AU318" s="371">
        <v>0.1</v>
      </c>
      <c r="AV318" s="371">
        <v>0</v>
      </c>
      <c r="AW318" s="371">
        <v>0</v>
      </c>
      <c r="AX318" s="371">
        <v>0</v>
      </c>
      <c r="AY318" s="371">
        <v>0</v>
      </c>
      <c r="AZ318" s="371">
        <v>0</v>
      </c>
      <c r="BA318" s="371">
        <v>0</v>
      </c>
      <c r="BB318" s="371">
        <v>0</v>
      </c>
      <c r="BC318" s="371">
        <v>0</v>
      </c>
      <c r="BD318" s="371">
        <v>0</v>
      </c>
      <c r="BE318" s="371">
        <v>0</v>
      </c>
      <c r="BF318" s="371">
        <v>0</v>
      </c>
      <c r="BG318" s="371">
        <v>0</v>
      </c>
      <c r="BH318" s="371">
        <v>0</v>
      </c>
      <c r="BI318" s="371">
        <v>0</v>
      </c>
      <c r="BJ318" s="371">
        <v>0</v>
      </c>
      <c r="BK318" s="371">
        <v>0</v>
      </c>
      <c r="BL318" s="371">
        <v>0</v>
      </c>
      <c r="BM318" s="371">
        <v>0</v>
      </c>
      <c r="BN318" s="371">
        <v>0</v>
      </c>
      <c r="BO318" s="371">
        <v>0</v>
      </c>
      <c r="BP318" s="371">
        <v>0</v>
      </c>
      <c r="BQ318" s="371">
        <v>0</v>
      </c>
      <c r="BR318" s="371">
        <v>0</v>
      </c>
      <c r="BS318" s="371">
        <v>0</v>
      </c>
      <c r="BT318" s="371">
        <v>0</v>
      </c>
      <c r="BU318" s="371">
        <v>0</v>
      </c>
      <c r="BV318" s="371">
        <v>0</v>
      </c>
      <c r="BW318" s="371">
        <v>0</v>
      </c>
      <c r="BX318" s="371">
        <v>0</v>
      </c>
      <c r="BY318" s="371">
        <v>0</v>
      </c>
    </row>
    <row r="319" spans="2:83" ht="10.15" customHeight="1">
      <c r="B319" s="324" t="s">
        <v>97</v>
      </c>
      <c r="D319" s="357">
        <f t="shared" si="198"/>
        <v>12472.224308660318</v>
      </c>
      <c r="E319" s="357">
        <f t="shared" si="163"/>
        <v>0</v>
      </c>
      <c r="F319" s="357">
        <f t="shared" si="164"/>
        <v>12472.224308660318</v>
      </c>
      <c r="G319" s="357">
        <f t="shared" si="165"/>
        <v>0</v>
      </c>
      <c r="H319" s="357">
        <f t="shared" si="166"/>
        <v>0</v>
      </c>
      <c r="I319" s="357">
        <f t="shared" si="167"/>
        <v>0</v>
      </c>
      <c r="J319" s="357">
        <f t="shared" si="168"/>
        <v>0</v>
      </c>
      <c r="K319" s="357">
        <f t="shared" si="169"/>
        <v>0</v>
      </c>
      <c r="L319" s="357">
        <f t="shared" si="170"/>
        <v>0</v>
      </c>
      <c r="M319" s="357">
        <f t="shared" si="171"/>
        <v>0</v>
      </c>
      <c r="N319" s="357">
        <f t="shared" si="172"/>
        <v>0</v>
      </c>
      <c r="O319" s="357">
        <f t="shared" si="173"/>
        <v>0</v>
      </c>
      <c r="P319" s="357">
        <f t="shared" si="174"/>
        <v>0</v>
      </c>
      <c r="Q319" s="357">
        <f t="shared" si="175"/>
        <v>0</v>
      </c>
      <c r="R319" s="357">
        <f t="shared" si="176"/>
        <v>0</v>
      </c>
      <c r="S319" s="357">
        <f t="shared" si="177"/>
        <v>0</v>
      </c>
      <c r="T319" s="357">
        <f t="shared" si="178"/>
        <v>0</v>
      </c>
      <c r="U319" s="357">
        <f t="shared" si="179"/>
        <v>0</v>
      </c>
      <c r="V319" s="357">
        <f t="shared" si="180"/>
        <v>0</v>
      </c>
      <c r="W319" s="357">
        <f t="shared" si="181"/>
        <v>0</v>
      </c>
      <c r="X319" s="357">
        <f t="shared" si="182"/>
        <v>0</v>
      </c>
      <c r="Y319" s="357">
        <f t="shared" si="183"/>
        <v>0</v>
      </c>
      <c r="Z319" s="357">
        <f t="shared" si="184"/>
        <v>0</v>
      </c>
      <c r="AA319" s="357">
        <f t="shared" si="185"/>
        <v>0</v>
      </c>
      <c r="AB319" s="357">
        <f t="shared" si="186"/>
        <v>0</v>
      </c>
      <c r="AC319" s="357">
        <f t="shared" si="187"/>
        <v>0</v>
      </c>
      <c r="AD319" s="357">
        <f t="shared" si="188"/>
        <v>0</v>
      </c>
      <c r="AE319" s="357">
        <f t="shared" si="189"/>
        <v>0</v>
      </c>
      <c r="AF319" s="357">
        <f t="shared" si="190"/>
        <v>0</v>
      </c>
      <c r="AG319" s="357">
        <f t="shared" si="191"/>
        <v>0</v>
      </c>
      <c r="AH319" s="357">
        <f t="shared" si="192"/>
        <v>0</v>
      </c>
      <c r="AI319" s="357">
        <f t="shared" si="193"/>
        <v>0</v>
      </c>
      <c r="AJ319" s="357">
        <f t="shared" si="194"/>
        <v>0</v>
      </c>
      <c r="AK319" s="357">
        <f t="shared" si="195"/>
        <v>0</v>
      </c>
      <c r="AL319" s="357">
        <f t="shared" si="196"/>
        <v>0</v>
      </c>
      <c r="AM319" s="357">
        <f t="shared" si="197"/>
        <v>0</v>
      </c>
      <c r="AN319" s="357"/>
      <c r="AP319" s="273">
        <v>8</v>
      </c>
      <c r="AQ319" s="371">
        <v>0.1</v>
      </c>
      <c r="AR319" s="371">
        <v>0.1</v>
      </c>
      <c r="AS319" s="371">
        <v>0.1</v>
      </c>
      <c r="AT319" s="371">
        <v>0.1</v>
      </c>
      <c r="AU319" s="371">
        <v>0.1</v>
      </c>
      <c r="AV319" s="371">
        <v>0.1</v>
      </c>
      <c r="AW319" s="371">
        <v>0</v>
      </c>
      <c r="AX319" s="371">
        <v>0</v>
      </c>
      <c r="AY319" s="371">
        <v>0</v>
      </c>
      <c r="AZ319" s="371">
        <v>0</v>
      </c>
      <c r="BA319" s="371">
        <v>0</v>
      </c>
      <c r="BB319" s="371">
        <v>0</v>
      </c>
      <c r="BC319" s="371">
        <v>0</v>
      </c>
      <c r="BD319" s="371">
        <v>0</v>
      </c>
      <c r="BE319" s="371">
        <v>0</v>
      </c>
      <c r="BF319" s="371">
        <v>0</v>
      </c>
      <c r="BG319" s="371">
        <v>0</v>
      </c>
      <c r="BH319" s="371">
        <v>0</v>
      </c>
      <c r="BI319" s="371">
        <v>0</v>
      </c>
      <c r="BJ319" s="371">
        <v>0</v>
      </c>
      <c r="BK319" s="371">
        <v>0</v>
      </c>
      <c r="BL319" s="371">
        <v>0</v>
      </c>
      <c r="BM319" s="371">
        <v>0</v>
      </c>
      <c r="BN319" s="371">
        <v>0</v>
      </c>
      <c r="BO319" s="371">
        <v>0</v>
      </c>
      <c r="BP319" s="371">
        <v>0</v>
      </c>
      <c r="BQ319" s="371">
        <v>0</v>
      </c>
      <c r="BR319" s="371">
        <v>0</v>
      </c>
      <c r="BS319" s="371">
        <v>0</v>
      </c>
      <c r="BT319" s="371">
        <v>0</v>
      </c>
      <c r="BU319" s="371">
        <v>0</v>
      </c>
      <c r="BV319" s="371">
        <v>0</v>
      </c>
      <c r="BW319" s="371">
        <v>0</v>
      </c>
      <c r="BX319" s="371">
        <v>0</v>
      </c>
      <c r="BY319" s="371">
        <v>0</v>
      </c>
    </row>
    <row r="320" spans="2:83" ht="10.15" customHeight="1">
      <c r="B320" s="324" t="s">
        <v>98</v>
      </c>
      <c r="D320" s="357">
        <f t="shared" si="198"/>
        <v>12472.224308660318</v>
      </c>
      <c r="E320" s="357">
        <f t="shared" si="163"/>
        <v>0</v>
      </c>
      <c r="F320" s="357">
        <f t="shared" si="164"/>
        <v>12472.224308660318</v>
      </c>
      <c r="G320" s="357">
        <f t="shared" si="165"/>
        <v>0</v>
      </c>
      <c r="H320" s="357">
        <f t="shared" si="166"/>
        <v>0</v>
      </c>
      <c r="I320" s="357">
        <f t="shared" si="167"/>
        <v>0</v>
      </c>
      <c r="J320" s="357">
        <f t="shared" si="168"/>
        <v>0</v>
      </c>
      <c r="K320" s="357">
        <f t="shared" si="169"/>
        <v>0</v>
      </c>
      <c r="L320" s="357">
        <f t="shared" si="170"/>
        <v>0</v>
      </c>
      <c r="M320" s="357">
        <f t="shared" si="171"/>
        <v>0</v>
      </c>
      <c r="N320" s="357">
        <f t="shared" si="172"/>
        <v>0</v>
      </c>
      <c r="O320" s="357">
        <f t="shared" si="173"/>
        <v>0</v>
      </c>
      <c r="P320" s="357">
        <f t="shared" si="174"/>
        <v>0</v>
      </c>
      <c r="Q320" s="357">
        <f t="shared" si="175"/>
        <v>0</v>
      </c>
      <c r="R320" s="357">
        <f t="shared" si="176"/>
        <v>0</v>
      </c>
      <c r="S320" s="357">
        <f t="shared" si="177"/>
        <v>0</v>
      </c>
      <c r="T320" s="357">
        <f t="shared" si="178"/>
        <v>0</v>
      </c>
      <c r="U320" s="357">
        <f t="shared" si="179"/>
        <v>0</v>
      </c>
      <c r="V320" s="357">
        <f t="shared" si="180"/>
        <v>0</v>
      </c>
      <c r="W320" s="357">
        <f t="shared" si="181"/>
        <v>0</v>
      </c>
      <c r="X320" s="357">
        <f t="shared" si="182"/>
        <v>0</v>
      </c>
      <c r="Y320" s="357">
        <f t="shared" si="183"/>
        <v>0</v>
      </c>
      <c r="Z320" s="357">
        <f t="shared" si="184"/>
        <v>0</v>
      </c>
      <c r="AA320" s="357">
        <f t="shared" si="185"/>
        <v>0</v>
      </c>
      <c r="AB320" s="357">
        <f t="shared" si="186"/>
        <v>0</v>
      </c>
      <c r="AC320" s="357">
        <f t="shared" si="187"/>
        <v>0</v>
      </c>
      <c r="AD320" s="357">
        <f t="shared" si="188"/>
        <v>0</v>
      </c>
      <c r="AE320" s="357">
        <f t="shared" si="189"/>
        <v>0</v>
      </c>
      <c r="AF320" s="357">
        <f t="shared" si="190"/>
        <v>0</v>
      </c>
      <c r="AG320" s="357">
        <f t="shared" si="191"/>
        <v>0</v>
      </c>
      <c r="AH320" s="357">
        <f t="shared" si="192"/>
        <v>0</v>
      </c>
      <c r="AI320" s="357">
        <f t="shared" si="193"/>
        <v>0</v>
      </c>
      <c r="AJ320" s="357">
        <f t="shared" si="194"/>
        <v>0</v>
      </c>
      <c r="AK320" s="357">
        <f t="shared" si="195"/>
        <v>0</v>
      </c>
      <c r="AL320" s="357">
        <f t="shared" si="196"/>
        <v>0</v>
      </c>
      <c r="AM320" s="357">
        <f t="shared" si="197"/>
        <v>0</v>
      </c>
      <c r="AN320" s="357"/>
      <c r="AP320" s="273">
        <v>9</v>
      </c>
      <c r="AQ320" s="371">
        <v>0.1</v>
      </c>
      <c r="AR320" s="371">
        <v>0.1</v>
      </c>
      <c r="AS320" s="371">
        <v>0.1</v>
      </c>
      <c r="AT320" s="371">
        <v>0.1</v>
      </c>
      <c r="AU320" s="371">
        <v>0.1</v>
      </c>
      <c r="AV320" s="371">
        <v>0.1</v>
      </c>
      <c r="AW320" s="371">
        <v>0.1</v>
      </c>
      <c r="AX320" s="371">
        <v>0</v>
      </c>
      <c r="AY320" s="371">
        <v>0</v>
      </c>
      <c r="AZ320" s="371">
        <v>0</v>
      </c>
      <c r="BA320" s="371">
        <v>0</v>
      </c>
      <c r="BB320" s="371">
        <v>0</v>
      </c>
      <c r="BC320" s="371">
        <v>0</v>
      </c>
      <c r="BD320" s="371">
        <v>0</v>
      </c>
      <c r="BE320" s="371">
        <v>0</v>
      </c>
      <c r="BF320" s="371">
        <v>0</v>
      </c>
      <c r="BG320" s="371">
        <v>0</v>
      </c>
      <c r="BH320" s="371">
        <v>0</v>
      </c>
      <c r="BI320" s="371">
        <v>0</v>
      </c>
      <c r="BJ320" s="371">
        <v>0</v>
      </c>
      <c r="BK320" s="371">
        <v>0</v>
      </c>
      <c r="BL320" s="371">
        <v>0</v>
      </c>
      <c r="BM320" s="371">
        <v>0</v>
      </c>
      <c r="BN320" s="371">
        <v>0</v>
      </c>
      <c r="BO320" s="371">
        <v>0</v>
      </c>
      <c r="BP320" s="371">
        <v>0</v>
      </c>
      <c r="BQ320" s="371">
        <v>0</v>
      </c>
      <c r="BR320" s="371">
        <v>0</v>
      </c>
      <c r="BS320" s="371">
        <v>0</v>
      </c>
      <c r="BT320" s="371">
        <v>0</v>
      </c>
      <c r="BU320" s="371">
        <v>0</v>
      </c>
      <c r="BV320" s="371">
        <v>0</v>
      </c>
      <c r="BW320" s="371">
        <v>0</v>
      </c>
      <c r="BX320" s="371">
        <v>0</v>
      </c>
      <c r="BY320" s="371">
        <v>0</v>
      </c>
    </row>
    <row r="321" spans="2:77" ht="10.15" customHeight="1">
      <c r="B321" s="324" t="s">
        <v>99</v>
      </c>
      <c r="C321" s="357"/>
      <c r="D321" s="357">
        <f t="shared" si="198"/>
        <v>12472.224308660318</v>
      </c>
      <c r="E321" s="357">
        <f t="shared" si="163"/>
        <v>0</v>
      </c>
      <c r="F321" s="357">
        <f t="shared" si="164"/>
        <v>12472.224308660318</v>
      </c>
      <c r="G321" s="357">
        <f t="shared" si="165"/>
        <v>0</v>
      </c>
      <c r="H321" s="357">
        <f t="shared" si="166"/>
        <v>0</v>
      </c>
      <c r="I321" s="357">
        <f t="shared" si="167"/>
        <v>0</v>
      </c>
      <c r="J321" s="357">
        <f t="shared" si="168"/>
        <v>0</v>
      </c>
      <c r="K321" s="357">
        <f t="shared" si="169"/>
        <v>0</v>
      </c>
      <c r="L321" s="357">
        <f t="shared" si="170"/>
        <v>0</v>
      </c>
      <c r="M321" s="357">
        <f t="shared" si="171"/>
        <v>0</v>
      </c>
      <c r="N321" s="357">
        <f t="shared" si="172"/>
        <v>0</v>
      </c>
      <c r="O321" s="357">
        <f t="shared" si="173"/>
        <v>0</v>
      </c>
      <c r="P321" s="357">
        <f t="shared" si="174"/>
        <v>0</v>
      </c>
      <c r="Q321" s="357">
        <f t="shared" si="175"/>
        <v>0</v>
      </c>
      <c r="R321" s="357">
        <f t="shared" si="176"/>
        <v>0</v>
      </c>
      <c r="S321" s="357">
        <f t="shared" si="177"/>
        <v>0</v>
      </c>
      <c r="T321" s="357">
        <f t="shared" si="178"/>
        <v>0</v>
      </c>
      <c r="U321" s="357">
        <f t="shared" si="179"/>
        <v>0</v>
      </c>
      <c r="V321" s="357">
        <f t="shared" si="180"/>
        <v>0</v>
      </c>
      <c r="W321" s="357">
        <f t="shared" si="181"/>
        <v>0</v>
      </c>
      <c r="X321" s="357">
        <f t="shared" si="182"/>
        <v>0</v>
      </c>
      <c r="Y321" s="357">
        <f t="shared" si="183"/>
        <v>0</v>
      </c>
      <c r="Z321" s="357">
        <f t="shared" si="184"/>
        <v>0</v>
      </c>
      <c r="AA321" s="357">
        <f t="shared" si="185"/>
        <v>0</v>
      </c>
      <c r="AB321" s="357">
        <f t="shared" si="186"/>
        <v>0</v>
      </c>
      <c r="AC321" s="357">
        <f t="shared" si="187"/>
        <v>0</v>
      </c>
      <c r="AD321" s="357">
        <f t="shared" si="188"/>
        <v>0</v>
      </c>
      <c r="AE321" s="357">
        <f t="shared" si="189"/>
        <v>0</v>
      </c>
      <c r="AF321" s="357">
        <f t="shared" si="190"/>
        <v>0</v>
      </c>
      <c r="AG321" s="357">
        <f t="shared" si="191"/>
        <v>0</v>
      </c>
      <c r="AH321" s="357">
        <f t="shared" si="192"/>
        <v>0</v>
      </c>
      <c r="AI321" s="357">
        <f t="shared" si="193"/>
        <v>0</v>
      </c>
      <c r="AJ321" s="357">
        <f t="shared" si="194"/>
        <v>0</v>
      </c>
      <c r="AK321" s="357">
        <f t="shared" si="195"/>
        <v>0</v>
      </c>
      <c r="AL321" s="357">
        <f t="shared" si="196"/>
        <v>0</v>
      </c>
      <c r="AM321" s="357">
        <f t="shared" si="197"/>
        <v>0</v>
      </c>
      <c r="AN321" s="357"/>
      <c r="AP321" s="273">
        <v>10</v>
      </c>
      <c r="AQ321" s="371">
        <v>0.1</v>
      </c>
      <c r="AR321" s="371">
        <v>0.1</v>
      </c>
      <c r="AS321" s="371">
        <v>0.1</v>
      </c>
      <c r="AT321" s="371">
        <v>0.1</v>
      </c>
      <c r="AU321" s="371">
        <v>0.1</v>
      </c>
      <c r="AV321" s="371">
        <v>0.1</v>
      </c>
      <c r="AW321" s="371">
        <v>0.1</v>
      </c>
      <c r="AX321" s="371">
        <v>0.1</v>
      </c>
      <c r="AY321" s="371">
        <v>0</v>
      </c>
      <c r="AZ321" s="371">
        <v>0</v>
      </c>
      <c r="BA321" s="371">
        <v>0</v>
      </c>
      <c r="BB321" s="371">
        <v>0</v>
      </c>
      <c r="BC321" s="371">
        <v>0</v>
      </c>
      <c r="BD321" s="371">
        <v>0</v>
      </c>
      <c r="BE321" s="371">
        <v>0</v>
      </c>
      <c r="BF321" s="371">
        <v>0</v>
      </c>
      <c r="BG321" s="371">
        <v>0</v>
      </c>
      <c r="BH321" s="371">
        <v>0</v>
      </c>
      <c r="BI321" s="371">
        <v>0</v>
      </c>
      <c r="BJ321" s="371">
        <v>0</v>
      </c>
      <c r="BK321" s="371">
        <v>0</v>
      </c>
      <c r="BL321" s="371">
        <v>0</v>
      </c>
      <c r="BM321" s="371">
        <v>0</v>
      </c>
      <c r="BN321" s="371">
        <v>0</v>
      </c>
      <c r="BO321" s="371">
        <v>0</v>
      </c>
      <c r="BP321" s="371">
        <v>0</v>
      </c>
      <c r="BQ321" s="371">
        <v>0</v>
      </c>
      <c r="BR321" s="371">
        <v>0</v>
      </c>
      <c r="BS321" s="371">
        <v>0</v>
      </c>
      <c r="BT321" s="371">
        <v>0</v>
      </c>
      <c r="BU321" s="371">
        <v>0</v>
      </c>
      <c r="BV321" s="371">
        <v>0</v>
      </c>
      <c r="BW321" s="371">
        <v>0</v>
      </c>
      <c r="BX321" s="371">
        <v>0</v>
      </c>
      <c r="BY321" s="371">
        <v>0</v>
      </c>
    </row>
    <row r="322" spans="2:77" ht="10.15" customHeight="1">
      <c r="B322" s="324" t="s">
        <v>100</v>
      </c>
      <c r="D322" s="357">
        <f t="shared" si="198"/>
        <v>12472.224308660318</v>
      </c>
      <c r="E322" s="357">
        <f t="shared" si="163"/>
        <v>0</v>
      </c>
      <c r="F322" s="357">
        <f t="shared" si="164"/>
        <v>12472.224308660318</v>
      </c>
      <c r="G322" s="357">
        <f t="shared" si="165"/>
        <v>0</v>
      </c>
      <c r="H322" s="357">
        <f t="shared" si="166"/>
        <v>0</v>
      </c>
      <c r="I322" s="357">
        <f t="shared" si="167"/>
        <v>0</v>
      </c>
      <c r="J322" s="357">
        <f t="shared" si="168"/>
        <v>0</v>
      </c>
      <c r="K322" s="357">
        <f t="shared" si="169"/>
        <v>0</v>
      </c>
      <c r="L322" s="357">
        <f t="shared" si="170"/>
        <v>0</v>
      </c>
      <c r="M322" s="357">
        <f t="shared" si="171"/>
        <v>0</v>
      </c>
      <c r="N322" s="357">
        <f t="shared" si="172"/>
        <v>0</v>
      </c>
      <c r="O322" s="357">
        <f t="shared" si="173"/>
        <v>0</v>
      </c>
      <c r="P322" s="357">
        <f t="shared" si="174"/>
        <v>0</v>
      </c>
      <c r="Q322" s="357">
        <f t="shared" si="175"/>
        <v>0</v>
      </c>
      <c r="R322" s="357">
        <f t="shared" si="176"/>
        <v>0</v>
      </c>
      <c r="S322" s="357">
        <f t="shared" si="177"/>
        <v>0</v>
      </c>
      <c r="T322" s="357">
        <f t="shared" si="178"/>
        <v>0</v>
      </c>
      <c r="U322" s="357">
        <f t="shared" si="179"/>
        <v>0</v>
      </c>
      <c r="V322" s="357">
        <f t="shared" si="180"/>
        <v>0</v>
      </c>
      <c r="W322" s="357">
        <f t="shared" si="181"/>
        <v>0</v>
      </c>
      <c r="X322" s="357">
        <f t="shared" si="182"/>
        <v>0</v>
      </c>
      <c r="Y322" s="357">
        <f t="shared" si="183"/>
        <v>0</v>
      </c>
      <c r="Z322" s="357">
        <f t="shared" si="184"/>
        <v>0</v>
      </c>
      <c r="AA322" s="357">
        <f t="shared" si="185"/>
        <v>0</v>
      </c>
      <c r="AB322" s="357">
        <f t="shared" si="186"/>
        <v>0</v>
      </c>
      <c r="AC322" s="357">
        <f t="shared" si="187"/>
        <v>0</v>
      </c>
      <c r="AD322" s="357">
        <f t="shared" si="188"/>
        <v>0</v>
      </c>
      <c r="AE322" s="357">
        <f t="shared" si="189"/>
        <v>0</v>
      </c>
      <c r="AF322" s="357">
        <f t="shared" si="190"/>
        <v>0</v>
      </c>
      <c r="AG322" s="357">
        <f t="shared" si="191"/>
        <v>0</v>
      </c>
      <c r="AH322" s="357">
        <f t="shared" si="192"/>
        <v>0</v>
      </c>
      <c r="AI322" s="357">
        <f t="shared" si="193"/>
        <v>0</v>
      </c>
      <c r="AJ322" s="357">
        <f t="shared" si="194"/>
        <v>0</v>
      </c>
      <c r="AK322" s="357">
        <f t="shared" si="195"/>
        <v>0</v>
      </c>
      <c r="AL322" s="357">
        <f t="shared" si="196"/>
        <v>0</v>
      </c>
      <c r="AM322" s="357">
        <f t="shared" si="197"/>
        <v>0</v>
      </c>
      <c r="AN322" s="357"/>
      <c r="AP322" s="273">
        <v>11</v>
      </c>
      <c r="AQ322" s="371">
        <v>0.1</v>
      </c>
      <c r="AR322" s="371">
        <v>0.1</v>
      </c>
      <c r="AS322" s="371">
        <v>0.1</v>
      </c>
      <c r="AT322" s="371">
        <v>0.1</v>
      </c>
      <c r="AU322" s="371">
        <v>0.1</v>
      </c>
      <c r="AV322" s="371">
        <v>0.1</v>
      </c>
      <c r="AW322" s="371">
        <v>0.1</v>
      </c>
      <c r="AX322" s="371">
        <v>0.1</v>
      </c>
      <c r="AY322" s="371">
        <v>0.1</v>
      </c>
      <c r="AZ322" s="371">
        <v>0</v>
      </c>
      <c r="BA322" s="371">
        <v>0</v>
      </c>
      <c r="BB322" s="371">
        <v>0</v>
      </c>
      <c r="BC322" s="371">
        <v>0</v>
      </c>
      <c r="BD322" s="371">
        <v>0</v>
      </c>
      <c r="BE322" s="371">
        <v>0</v>
      </c>
      <c r="BF322" s="371">
        <v>0</v>
      </c>
      <c r="BG322" s="371">
        <v>0</v>
      </c>
      <c r="BH322" s="371">
        <v>0</v>
      </c>
      <c r="BI322" s="371">
        <v>0</v>
      </c>
      <c r="BJ322" s="371">
        <v>0</v>
      </c>
      <c r="BK322" s="371">
        <v>0</v>
      </c>
      <c r="BL322" s="371">
        <v>0</v>
      </c>
      <c r="BM322" s="371">
        <v>0</v>
      </c>
      <c r="BN322" s="371">
        <v>0</v>
      </c>
      <c r="BO322" s="371">
        <v>0</v>
      </c>
      <c r="BP322" s="371">
        <v>0</v>
      </c>
      <c r="BQ322" s="371">
        <v>0</v>
      </c>
      <c r="BR322" s="371">
        <v>0</v>
      </c>
      <c r="BS322" s="371">
        <v>0</v>
      </c>
      <c r="BT322" s="371">
        <v>0</v>
      </c>
      <c r="BU322" s="371">
        <v>0</v>
      </c>
      <c r="BV322" s="371">
        <v>0</v>
      </c>
      <c r="BW322" s="371">
        <v>0</v>
      </c>
      <c r="BX322" s="371">
        <v>0</v>
      </c>
      <c r="BY322" s="371">
        <v>0</v>
      </c>
    </row>
    <row r="323" spans="2:77" ht="10.15" customHeight="1">
      <c r="B323" s="324" t="s">
        <v>101</v>
      </c>
      <c r="D323" s="357">
        <f t="shared" si="198"/>
        <v>12472.224308660318</v>
      </c>
      <c r="E323" s="357">
        <f t="shared" si="163"/>
        <v>0</v>
      </c>
      <c r="F323" s="357">
        <f t="shared" si="164"/>
        <v>12472.224308660318</v>
      </c>
      <c r="G323" s="357">
        <f t="shared" si="165"/>
        <v>0</v>
      </c>
      <c r="H323" s="357">
        <f t="shared" si="166"/>
        <v>0</v>
      </c>
      <c r="I323" s="357">
        <f t="shared" si="167"/>
        <v>0</v>
      </c>
      <c r="J323" s="357">
        <f t="shared" si="168"/>
        <v>0</v>
      </c>
      <c r="K323" s="357">
        <f t="shared" si="169"/>
        <v>0</v>
      </c>
      <c r="L323" s="357">
        <f t="shared" si="170"/>
        <v>0</v>
      </c>
      <c r="M323" s="357">
        <f t="shared" si="171"/>
        <v>0</v>
      </c>
      <c r="N323" s="357">
        <f t="shared" si="172"/>
        <v>0</v>
      </c>
      <c r="O323" s="357">
        <f t="shared" si="173"/>
        <v>0</v>
      </c>
      <c r="P323" s="357">
        <f t="shared" si="174"/>
        <v>0</v>
      </c>
      <c r="Q323" s="357">
        <f t="shared" si="175"/>
        <v>0</v>
      </c>
      <c r="R323" s="357">
        <f t="shared" si="176"/>
        <v>0</v>
      </c>
      <c r="S323" s="357">
        <f t="shared" si="177"/>
        <v>0</v>
      </c>
      <c r="T323" s="357">
        <f t="shared" si="178"/>
        <v>0</v>
      </c>
      <c r="U323" s="357">
        <f t="shared" si="179"/>
        <v>0</v>
      </c>
      <c r="V323" s="357">
        <f t="shared" si="180"/>
        <v>0</v>
      </c>
      <c r="W323" s="357">
        <f t="shared" si="181"/>
        <v>0</v>
      </c>
      <c r="X323" s="357">
        <f t="shared" si="182"/>
        <v>0</v>
      </c>
      <c r="Y323" s="357">
        <f t="shared" si="183"/>
        <v>0</v>
      </c>
      <c r="Z323" s="357">
        <f t="shared" si="184"/>
        <v>0</v>
      </c>
      <c r="AA323" s="357">
        <f t="shared" si="185"/>
        <v>0</v>
      </c>
      <c r="AB323" s="357">
        <f t="shared" si="186"/>
        <v>0</v>
      </c>
      <c r="AC323" s="357">
        <f t="shared" si="187"/>
        <v>0</v>
      </c>
      <c r="AD323" s="357">
        <f t="shared" si="188"/>
        <v>0</v>
      </c>
      <c r="AE323" s="357">
        <f t="shared" si="189"/>
        <v>0</v>
      </c>
      <c r="AF323" s="357">
        <f t="shared" si="190"/>
        <v>0</v>
      </c>
      <c r="AG323" s="357">
        <f t="shared" si="191"/>
        <v>0</v>
      </c>
      <c r="AH323" s="357">
        <f t="shared" si="192"/>
        <v>0</v>
      </c>
      <c r="AI323" s="357">
        <f t="shared" si="193"/>
        <v>0</v>
      </c>
      <c r="AJ323" s="357">
        <f t="shared" si="194"/>
        <v>0</v>
      </c>
      <c r="AK323" s="357">
        <f t="shared" si="195"/>
        <v>0</v>
      </c>
      <c r="AL323" s="357">
        <f t="shared" si="196"/>
        <v>0</v>
      </c>
      <c r="AM323" s="357">
        <f t="shared" si="197"/>
        <v>0</v>
      </c>
      <c r="AN323" s="357"/>
      <c r="AP323" s="273">
        <v>12</v>
      </c>
      <c r="AQ323" s="371">
        <v>0.1</v>
      </c>
      <c r="AR323" s="371">
        <v>0.1</v>
      </c>
      <c r="AS323" s="371">
        <v>0.1</v>
      </c>
      <c r="AT323" s="371">
        <v>0.1</v>
      </c>
      <c r="AU323" s="371">
        <v>0.1</v>
      </c>
      <c r="AV323" s="371">
        <v>0.1</v>
      </c>
      <c r="AW323" s="371">
        <v>0.1</v>
      </c>
      <c r="AX323" s="371">
        <v>0.1</v>
      </c>
      <c r="AY323" s="371">
        <v>0.1</v>
      </c>
      <c r="AZ323" s="371">
        <v>0.1</v>
      </c>
      <c r="BA323" s="371">
        <v>0</v>
      </c>
      <c r="BB323" s="371">
        <v>0</v>
      </c>
      <c r="BC323" s="371">
        <v>0</v>
      </c>
      <c r="BD323" s="371">
        <v>0</v>
      </c>
      <c r="BE323" s="371">
        <v>0</v>
      </c>
      <c r="BF323" s="371">
        <v>0</v>
      </c>
      <c r="BG323" s="371">
        <v>0</v>
      </c>
      <c r="BH323" s="371">
        <v>0</v>
      </c>
      <c r="BI323" s="371">
        <v>0</v>
      </c>
      <c r="BJ323" s="371">
        <v>0</v>
      </c>
      <c r="BK323" s="371">
        <v>0</v>
      </c>
      <c r="BL323" s="371">
        <v>0</v>
      </c>
      <c r="BM323" s="371">
        <v>0</v>
      </c>
      <c r="BN323" s="371">
        <v>0</v>
      </c>
      <c r="BO323" s="371">
        <v>0</v>
      </c>
      <c r="BP323" s="371">
        <v>0</v>
      </c>
      <c r="BQ323" s="371">
        <v>0</v>
      </c>
      <c r="BR323" s="371">
        <v>0</v>
      </c>
      <c r="BS323" s="371">
        <v>0</v>
      </c>
      <c r="BT323" s="371">
        <v>0</v>
      </c>
      <c r="BU323" s="371">
        <v>0</v>
      </c>
      <c r="BV323" s="371">
        <v>0</v>
      </c>
      <c r="BW323" s="371">
        <v>0</v>
      </c>
      <c r="BX323" s="371">
        <v>0</v>
      </c>
      <c r="BY323" s="371">
        <v>0</v>
      </c>
    </row>
    <row r="324" spans="2:77" ht="10.15" customHeight="1">
      <c r="B324" s="324" t="s">
        <v>102</v>
      </c>
      <c r="D324" s="357">
        <f t="shared" si="198"/>
        <v>12472.224308660318</v>
      </c>
      <c r="E324" s="357">
        <f t="shared" si="163"/>
        <v>0</v>
      </c>
      <c r="F324" s="357">
        <f t="shared" si="164"/>
        <v>12472.224308660318</v>
      </c>
      <c r="G324" s="357">
        <f t="shared" si="165"/>
        <v>0</v>
      </c>
      <c r="H324" s="357">
        <f t="shared" si="166"/>
        <v>0</v>
      </c>
      <c r="I324" s="357">
        <f t="shared" si="167"/>
        <v>0</v>
      </c>
      <c r="J324" s="357">
        <f t="shared" si="168"/>
        <v>0</v>
      </c>
      <c r="K324" s="357">
        <f t="shared" si="169"/>
        <v>0</v>
      </c>
      <c r="L324" s="357">
        <f t="shared" si="170"/>
        <v>0</v>
      </c>
      <c r="M324" s="357">
        <f t="shared" si="171"/>
        <v>0</v>
      </c>
      <c r="N324" s="357">
        <f t="shared" si="172"/>
        <v>0</v>
      </c>
      <c r="O324" s="357">
        <f t="shared" si="173"/>
        <v>0</v>
      </c>
      <c r="P324" s="357">
        <f t="shared" si="174"/>
        <v>0</v>
      </c>
      <c r="Q324" s="357">
        <f t="shared" si="175"/>
        <v>0</v>
      </c>
      <c r="R324" s="357">
        <f t="shared" si="176"/>
        <v>0</v>
      </c>
      <c r="S324" s="357">
        <f t="shared" si="177"/>
        <v>0</v>
      </c>
      <c r="T324" s="357">
        <f t="shared" si="178"/>
        <v>0</v>
      </c>
      <c r="U324" s="357">
        <f t="shared" si="179"/>
        <v>0</v>
      </c>
      <c r="V324" s="357">
        <f t="shared" si="180"/>
        <v>0</v>
      </c>
      <c r="W324" s="357">
        <f t="shared" si="181"/>
        <v>0</v>
      </c>
      <c r="X324" s="357">
        <f t="shared" si="182"/>
        <v>0</v>
      </c>
      <c r="Y324" s="357">
        <f t="shared" si="183"/>
        <v>0</v>
      </c>
      <c r="Z324" s="357">
        <f t="shared" si="184"/>
        <v>0</v>
      </c>
      <c r="AA324" s="357">
        <f t="shared" si="185"/>
        <v>0</v>
      </c>
      <c r="AB324" s="357">
        <f t="shared" si="186"/>
        <v>0</v>
      </c>
      <c r="AC324" s="357">
        <f t="shared" si="187"/>
        <v>0</v>
      </c>
      <c r="AD324" s="357">
        <f t="shared" si="188"/>
        <v>0</v>
      </c>
      <c r="AE324" s="357">
        <f t="shared" si="189"/>
        <v>0</v>
      </c>
      <c r="AF324" s="357">
        <f t="shared" si="190"/>
        <v>0</v>
      </c>
      <c r="AG324" s="357">
        <f t="shared" si="191"/>
        <v>0</v>
      </c>
      <c r="AH324" s="357">
        <f t="shared" si="192"/>
        <v>0</v>
      </c>
      <c r="AI324" s="357">
        <f t="shared" si="193"/>
        <v>0</v>
      </c>
      <c r="AJ324" s="357">
        <f t="shared" si="194"/>
        <v>0</v>
      </c>
      <c r="AK324" s="357">
        <f t="shared" si="195"/>
        <v>0</v>
      </c>
      <c r="AL324" s="357">
        <f t="shared" si="196"/>
        <v>0</v>
      </c>
      <c r="AM324" s="357">
        <f t="shared" si="197"/>
        <v>0</v>
      </c>
      <c r="AN324" s="357"/>
      <c r="AP324" s="273">
        <v>13</v>
      </c>
      <c r="AQ324" s="371">
        <v>0</v>
      </c>
      <c r="AR324" s="371">
        <v>0.1</v>
      </c>
      <c r="AS324" s="371">
        <v>0.1</v>
      </c>
      <c r="AT324" s="371">
        <v>0.1</v>
      </c>
      <c r="AU324" s="371">
        <v>0.1</v>
      </c>
      <c r="AV324" s="371">
        <v>0.1</v>
      </c>
      <c r="AW324" s="371">
        <v>0.1</v>
      </c>
      <c r="AX324" s="371">
        <v>0.1</v>
      </c>
      <c r="AY324" s="371">
        <v>0.1</v>
      </c>
      <c r="AZ324" s="371">
        <v>0.1</v>
      </c>
      <c r="BA324" s="371">
        <v>0.1</v>
      </c>
      <c r="BB324" s="371">
        <v>0</v>
      </c>
      <c r="BC324" s="371">
        <v>0</v>
      </c>
      <c r="BD324" s="371">
        <v>0</v>
      </c>
      <c r="BE324" s="371">
        <v>0</v>
      </c>
      <c r="BF324" s="371">
        <v>0</v>
      </c>
      <c r="BG324" s="371">
        <v>0</v>
      </c>
      <c r="BH324" s="371">
        <v>0</v>
      </c>
      <c r="BI324" s="371">
        <v>0</v>
      </c>
      <c r="BJ324" s="371">
        <v>0</v>
      </c>
      <c r="BK324" s="371">
        <v>0</v>
      </c>
      <c r="BL324" s="371">
        <v>0</v>
      </c>
      <c r="BM324" s="371">
        <v>0</v>
      </c>
      <c r="BN324" s="371">
        <v>0</v>
      </c>
      <c r="BO324" s="371">
        <v>0</v>
      </c>
      <c r="BP324" s="371">
        <v>0</v>
      </c>
      <c r="BQ324" s="371">
        <v>0</v>
      </c>
      <c r="BR324" s="371">
        <v>0</v>
      </c>
      <c r="BS324" s="371">
        <v>0</v>
      </c>
      <c r="BT324" s="371">
        <v>0</v>
      </c>
      <c r="BU324" s="371">
        <v>0</v>
      </c>
      <c r="BV324" s="371">
        <v>0</v>
      </c>
      <c r="BW324" s="371">
        <v>0</v>
      </c>
      <c r="BX324" s="371">
        <v>0</v>
      </c>
      <c r="BY324" s="371">
        <v>0</v>
      </c>
    </row>
    <row r="325" spans="2:77" ht="10.15" customHeight="1">
      <c r="B325" s="324" t="s">
        <v>103</v>
      </c>
      <c r="D325" s="357">
        <f t="shared" si="198"/>
        <v>0</v>
      </c>
      <c r="E325" s="357">
        <f t="shared" si="163"/>
        <v>0</v>
      </c>
      <c r="F325" s="357">
        <f t="shared" si="164"/>
        <v>0</v>
      </c>
      <c r="G325" s="357">
        <f t="shared" si="165"/>
        <v>0</v>
      </c>
      <c r="H325" s="357">
        <f t="shared" si="166"/>
        <v>0</v>
      </c>
      <c r="I325" s="357">
        <f t="shared" si="167"/>
        <v>0</v>
      </c>
      <c r="J325" s="357">
        <f t="shared" si="168"/>
        <v>0</v>
      </c>
      <c r="K325" s="357">
        <f t="shared" si="169"/>
        <v>0</v>
      </c>
      <c r="L325" s="357">
        <f t="shared" si="170"/>
        <v>0</v>
      </c>
      <c r="M325" s="357">
        <f t="shared" si="171"/>
        <v>0</v>
      </c>
      <c r="N325" s="357">
        <f t="shared" si="172"/>
        <v>0</v>
      </c>
      <c r="O325" s="357">
        <f t="shared" si="173"/>
        <v>0</v>
      </c>
      <c r="P325" s="357">
        <f t="shared" si="174"/>
        <v>0</v>
      </c>
      <c r="Q325" s="357">
        <f t="shared" si="175"/>
        <v>0</v>
      </c>
      <c r="R325" s="357">
        <f t="shared" si="176"/>
        <v>0</v>
      </c>
      <c r="S325" s="357">
        <f t="shared" si="177"/>
        <v>0</v>
      </c>
      <c r="T325" s="357">
        <f t="shared" si="178"/>
        <v>0</v>
      </c>
      <c r="U325" s="357">
        <f t="shared" si="179"/>
        <v>0</v>
      </c>
      <c r="V325" s="357">
        <f t="shared" si="180"/>
        <v>0</v>
      </c>
      <c r="W325" s="357">
        <f t="shared" si="181"/>
        <v>0</v>
      </c>
      <c r="X325" s="357">
        <f t="shared" si="182"/>
        <v>0</v>
      </c>
      <c r="Y325" s="357">
        <f t="shared" si="183"/>
        <v>0</v>
      </c>
      <c r="Z325" s="357">
        <f t="shared" si="184"/>
        <v>0</v>
      </c>
      <c r="AA325" s="357">
        <f t="shared" si="185"/>
        <v>0</v>
      </c>
      <c r="AB325" s="357">
        <f t="shared" si="186"/>
        <v>0</v>
      </c>
      <c r="AC325" s="357">
        <f t="shared" si="187"/>
        <v>0</v>
      </c>
      <c r="AD325" s="357">
        <f t="shared" si="188"/>
        <v>0</v>
      </c>
      <c r="AE325" s="357">
        <f t="shared" si="189"/>
        <v>0</v>
      </c>
      <c r="AF325" s="357">
        <f t="shared" si="190"/>
        <v>0</v>
      </c>
      <c r="AG325" s="357">
        <f t="shared" si="191"/>
        <v>0</v>
      </c>
      <c r="AH325" s="357">
        <f t="shared" si="192"/>
        <v>0</v>
      </c>
      <c r="AI325" s="357">
        <f t="shared" si="193"/>
        <v>0</v>
      </c>
      <c r="AJ325" s="357">
        <f t="shared" si="194"/>
        <v>0</v>
      </c>
      <c r="AK325" s="357">
        <f t="shared" si="195"/>
        <v>0</v>
      </c>
      <c r="AL325" s="357">
        <f t="shared" si="196"/>
        <v>0</v>
      </c>
      <c r="AM325" s="357">
        <f t="shared" si="197"/>
        <v>0</v>
      </c>
      <c r="AN325" s="357"/>
      <c r="AP325" s="273">
        <v>14</v>
      </c>
      <c r="AQ325" s="371">
        <v>0</v>
      </c>
      <c r="AR325" s="371">
        <v>0</v>
      </c>
      <c r="AS325" s="371">
        <v>0.1</v>
      </c>
      <c r="AT325" s="371">
        <v>0.1</v>
      </c>
      <c r="AU325" s="371">
        <v>0.1</v>
      </c>
      <c r="AV325" s="371">
        <v>0.1</v>
      </c>
      <c r="AW325" s="371">
        <v>0.1</v>
      </c>
      <c r="AX325" s="371">
        <v>0.1</v>
      </c>
      <c r="AY325" s="371">
        <v>0.1</v>
      </c>
      <c r="AZ325" s="371">
        <v>0.1</v>
      </c>
      <c r="BA325" s="371">
        <v>0.1</v>
      </c>
      <c r="BB325" s="371">
        <v>0.1</v>
      </c>
      <c r="BC325" s="371">
        <v>0</v>
      </c>
      <c r="BD325" s="371">
        <v>0</v>
      </c>
      <c r="BE325" s="371">
        <v>0</v>
      </c>
      <c r="BF325" s="371">
        <v>0</v>
      </c>
      <c r="BG325" s="371">
        <v>0</v>
      </c>
      <c r="BH325" s="371">
        <v>0</v>
      </c>
      <c r="BI325" s="371">
        <v>0</v>
      </c>
      <c r="BJ325" s="371">
        <v>0</v>
      </c>
      <c r="BK325" s="371">
        <v>0</v>
      </c>
      <c r="BL325" s="371">
        <v>0</v>
      </c>
      <c r="BM325" s="371">
        <v>0</v>
      </c>
      <c r="BN325" s="371">
        <v>0</v>
      </c>
      <c r="BO325" s="371">
        <v>0</v>
      </c>
      <c r="BP325" s="371">
        <v>0</v>
      </c>
      <c r="BQ325" s="371">
        <v>0</v>
      </c>
      <c r="BR325" s="371">
        <v>0</v>
      </c>
      <c r="BS325" s="371">
        <v>0</v>
      </c>
      <c r="BT325" s="371">
        <v>0</v>
      </c>
      <c r="BU325" s="371">
        <v>0</v>
      </c>
      <c r="BV325" s="371">
        <v>0</v>
      </c>
      <c r="BW325" s="371">
        <v>0</v>
      </c>
      <c r="BX325" s="371">
        <v>0</v>
      </c>
      <c r="BY325" s="371">
        <v>0</v>
      </c>
    </row>
    <row r="326" spans="2:77" ht="10.15" customHeight="1">
      <c r="B326" s="324" t="s">
        <v>104</v>
      </c>
      <c r="D326" s="357">
        <f t="shared" si="198"/>
        <v>0</v>
      </c>
      <c r="E326" s="357">
        <f t="shared" si="163"/>
        <v>0</v>
      </c>
      <c r="F326" s="357">
        <f t="shared" si="164"/>
        <v>0</v>
      </c>
      <c r="G326" s="357">
        <f t="shared" si="165"/>
        <v>0</v>
      </c>
      <c r="H326" s="357">
        <f t="shared" si="166"/>
        <v>0</v>
      </c>
      <c r="I326" s="357">
        <f t="shared" si="167"/>
        <v>0</v>
      </c>
      <c r="J326" s="357">
        <f t="shared" si="168"/>
        <v>0</v>
      </c>
      <c r="K326" s="357">
        <f t="shared" si="169"/>
        <v>0</v>
      </c>
      <c r="L326" s="357">
        <f t="shared" si="170"/>
        <v>0</v>
      </c>
      <c r="M326" s="357">
        <f t="shared" si="171"/>
        <v>0</v>
      </c>
      <c r="N326" s="357">
        <f t="shared" si="172"/>
        <v>0</v>
      </c>
      <c r="O326" s="357">
        <f t="shared" si="173"/>
        <v>0</v>
      </c>
      <c r="P326" s="357">
        <f t="shared" si="174"/>
        <v>0</v>
      </c>
      <c r="Q326" s="357">
        <f t="shared" si="175"/>
        <v>0</v>
      </c>
      <c r="R326" s="357">
        <f t="shared" si="176"/>
        <v>0</v>
      </c>
      <c r="S326" s="357">
        <f t="shared" si="177"/>
        <v>0</v>
      </c>
      <c r="T326" s="357">
        <f t="shared" si="178"/>
        <v>0</v>
      </c>
      <c r="U326" s="357">
        <f t="shared" si="179"/>
        <v>0</v>
      </c>
      <c r="V326" s="357">
        <f t="shared" si="180"/>
        <v>0</v>
      </c>
      <c r="W326" s="357">
        <f t="shared" si="181"/>
        <v>0</v>
      </c>
      <c r="X326" s="357">
        <f t="shared" si="182"/>
        <v>0</v>
      </c>
      <c r="Y326" s="357">
        <f t="shared" si="183"/>
        <v>0</v>
      </c>
      <c r="Z326" s="357">
        <f t="shared" si="184"/>
        <v>0</v>
      </c>
      <c r="AA326" s="357">
        <f t="shared" si="185"/>
        <v>0</v>
      </c>
      <c r="AB326" s="357">
        <f t="shared" si="186"/>
        <v>0</v>
      </c>
      <c r="AC326" s="357">
        <f t="shared" si="187"/>
        <v>0</v>
      </c>
      <c r="AD326" s="357">
        <f t="shared" si="188"/>
        <v>0</v>
      </c>
      <c r="AE326" s="357">
        <f t="shared" si="189"/>
        <v>0</v>
      </c>
      <c r="AF326" s="357">
        <f t="shared" si="190"/>
        <v>0</v>
      </c>
      <c r="AG326" s="357">
        <f t="shared" si="191"/>
        <v>0</v>
      </c>
      <c r="AH326" s="357">
        <f t="shared" si="192"/>
        <v>0</v>
      </c>
      <c r="AI326" s="357">
        <f t="shared" si="193"/>
        <v>0</v>
      </c>
      <c r="AJ326" s="357">
        <f t="shared" si="194"/>
        <v>0</v>
      </c>
      <c r="AK326" s="357">
        <f t="shared" si="195"/>
        <v>0</v>
      </c>
      <c r="AL326" s="357">
        <f t="shared" si="196"/>
        <v>0</v>
      </c>
      <c r="AM326" s="357">
        <f t="shared" si="197"/>
        <v>0</v>
      </c>
      <c r="AN326" s="357"/>
      <c r="AP326" s="273">
        <v>15</v>
      </c>
      <c r="AQ326" s="371">
        <v>0</v>
      </c>
      <c r="AR326" s="371">
        <v>0</v>
      </c>
      <c r="AS326" s="371">
        <v>0</v>
      </c>
      <c r="AT326" s="371">
        <v>0.1</v>
      </c>
      <c r="AU326" s="371">
        <v>0.1</v>
      </c>
      <c r="AV326" s="371">
        <v>0.1</v>
      </c>
      <c r="AW326" s="371">
        <v>0.1</v>
      </c>
      <c r="AX326" s="371">
        <v>0.1</v>
      </c>
      <c r="AY326" s="371">
        <v>0.1</v>
      </c>
      <c r="AZ326" s="371">
        <v>0.1</v>
      </c>
      <c r="BA326" s="371">
        <v>0.1</v>
      </c>
      <c r="BB326" s="371">
        <v>0.1</v>
      </c>
      <c r="BC326" s="371">
        <v>0.1</v>
      </c>
      <c r="BD326" s="371">
        <v>0</v>
      </c>
      <c r="BE326" s="371">
        <v>0</v>
      </c>
      <c r="BF326" s="371">
        <v>0</v>
      </c>
      <c r="BG326" s="371">
        <v>0</v>
      </c>
      <c r="BH326" s="371">
        <v>0</v>
      </c>
      <c r="BI326" s="371">
        <v>0</v>
      </c>
      <c r="BJ326" s="371">
        <v>0</v>
      </c>
      <c r="BK326" s="371">
        <v>0</v>
      </c>
      <c r="BL326" s="371">
        <v>0</v>
      </c>
      <c r="BM326" s="371">
        <v>0</v>
      </c>
      <c r="BN326" s="371">
        <v>0</v>
      </c>
      <c r="BO326" s="371">
        <v>0</v>
      </c>
      <c r="BP326" s="371">
        <v>0</v>
      </c>
      <c r="BQ326" s="371">
        <v>0</v>
      </c>
      <c r="BR326" s="371">
        <v>0</v>
      </c>
      <c r="BS326" s="371">
        <v>0</v>
      </c>
      <c r="BT326" s="371">
        <v>0</v>
      </c>
      <c r="BU326" s="371">
        <v>0</v>
      </c>
      <c r="BV326" s="371">
        <v>0</v>
      </c>
      <c r="BW326" s="371">
        <v>0</v>
      </c>
      <c r="BX326" s="371">
        <v>0</v>
      </c>
      <c r="BY326" s="371">
        <v>0</v>
      </c>
    </row>
    <row r="327" spans="2:77" ht="10.15" customHeight="1">
      <c r="B327" s="324" t="s">
        <v>105</v>
      </c>
      <c r="D327" s="357">
        <f t="shared" si="198"/>
        <v>0</v>
      </c>
      <c r="E327" s="357">
        <f t="shared" si="163"/>
        <v>0</v>
      </c>
      <c r="F327" s="357">
        <f t="shared" si="164"/>
        <v>0</v>
      </c>
      <c r="G327" s="357">
        <f t="shared" si="165"/>
        <v>0</v>
      </c>
      <c r="H327" s="357">
        <f t="shared" si="166"/>
        <v>0</v>
      </c>
      <c r="I327" s="357">
        <f t="shared" si="167"/>
        <v>0</v>
      </c>
      <c r="J327" s="357">
        <f t="shared" si="168"/>
        <v>0</v>
      </c>
      <c r="K327" s="357">
        <f t="shared" si="169"/>
        <v>0</v>
      </c>
      <c r="L327" s="357">
        <f t="shared" si="170"/>
        <v>0</v>
      </c>
      <c r="M327" s="357">
        <f t="shared" si="171"/>
        <v>0</v>
      </c>
      <c r="N327" s="357">
        <f t="shared" si="172"/>
        <v>0</v>
      </c>
      <c r="O327" s="357">
        <f t="shared" si="173"/>
        <v>0</v>
      </c>
      <c r="P327" s="357">
        <f t="shared" si="174"/>
        <v>0</v>
      </c>
      <c r="Q327" s="357">
        <f t="shared" si="175"/>
        <v>0</v>
      </c>
      <c r="R327" s="357">
        <f t="shared" si="176"/>
        <v>0</v>
      </c>
      <c r="S327" s="357">
        <f t="shared" si="177"/>
        <v>0</v>
      </c>
      <c r="T327" s="357">
        <f t="shared" si="178"/>
        <v>0</v>
      </c>
      <c r="U327" s="357">
        <f t="shared" si="179"/>
        <v>0</v>
      </c>
      <c r="V327" s="357">
        <f t="shared" si="180"/>
        <v>0</v>
      </c>
      <c r="W327" s="357">
        <f t="shared" si="181"/>
        <v>0</v>
      </c>
      <c r="X327" s="357">
        <f t="shared" si="182"/>
        <v>0</v>
      </c>
      <c r="Y327" s="357">
        <f t="shared" si="183"/>
        <v>0</v>
      </c>
      <c r="Z327" s="357">
        <f t="shared" si="184"/>
        <v>0</v>
      </c>
      <c r="AA327" s="357">
        <f t="shared" si="185"/>
        <v>0</v>
      </c>
      <c r="AB327" s="357">
        <f t="shared" si="186"/>
        <v>0</v>
      </c>
      <c r="AC327" s="357">
        <f t="shared" si="187"/>
        <v>0</v>
      </c>
      <c r="AD327" s="357">
        <f t="shared" si="188"/>
        <v>0</v>
      </c>
      <c r="AE327" s="357">
        <f t="shared" si="189"/>
        <v>0</v>
      </c>
      <c r="AF327" s="357">
        <f t="shared" si="190"/>
        <v>0</v>
      </c>
      <c r="AG327" s="357">
        <f t="shared" si="191"/>
        <v>0</v>
      </c>
      <c r="AH327" s="357">
        <f t="shared" si="192"/>
        <v>0</v>
      </c>
      <c r="AI327" s="357">
        <f t="shared" si="193"/>
        <v>0</v>
      </c>
      <c r="AJ327" s="357">
        <f t="shared" si="194"/>
        <v>0</v>
      </c>
      <c r="AK327" s="357">
        <f t="shared" si="195"/>
        <v>0</v>
      </c>
      <c r="AL327" s="357">
        <f t="shared" si="196"/>
        <v>0</v>
      </c>
      <c r="AM327" s="357">
        <f t="shared" si="197"/>
        <v>0</v>
      </c>
      <c r="AN327" s="357"/>
      <c r="AP327" s="273">
        <v>16</v>
      </c>
      <c r="AQ327" s="371">
        <v>0</v>
      </c>
      <c r="AR327" s="371">
        <v>0</v>
      </c>
      <c r="AS327" s="371">
        <v>0</v>
      </c>
      <c r="AT327" s="371">
        <v>0</v>
      </c>
      <c r="AU327" s="371">
        <v>0.1</v>
      </c>
      <c r="AV327" s="371">
        <v>0.1</v>
      </c>
      <c r="AW327" s="371">
        <v>0.1</v>
      </c>
      <c r="AX327" s="371">
        <v>0.1</v>
      </c>
      <c r="AY327" s="371">
        <v>0.1</v>
      </c>
      <c r="AZ327" s="371">
        <v>0.1</v>
      </c>
      <c r="BA327" s="371">
        <v>0.1</v>
      </c>
      <c r="BB327" s="371">
        <v>0.1</v>
      </c>
      <c r="BC327" s="371">
        <v>0.1</v>
      </c>
      <c r="BD327" s="371">
        <v>0.1</v>
      </c>
      <c r="BE327" s="371">
        <v>0</v>
      </c>
      <c r="BF327" s="371">
        <v>0</v>
      </c>
      <c r="BG327" s="371">
        <v>0</v>
      </c>
      <c r="BH327" s="371">
        <v>0</v>
      </c>
      <c r="BI327" s="371">
        <v>0</v>
      </c>
      <c r="BJ327" s="371">
        <v>0</v>
      </c>
      <c r="BK327" s="371">
        <v>0</v>
      </c>
      <c r="BL327" s="371">
        <v>0</v>
      </c>
      <c r="BM327" s="371">
        <v>0</v>
      </c>
      <c r="BN327" s="371">
        <v>0</v>
      </c>
      <c r="BO327" s="371">
        <v>0</v>
      </c>
      <c r="BP327" s="371">
        <v>0</v>
      </c>
      <c r="BQ327" s="371">
        <v>0</v>
      </c>
      <c r="BR327" s="371">
        <v>0</v>
      </c>
      <c r="BS327" s="371">
        <v>0</v>
      </c>
      <c r="BT327" s="371">
        <v>0</v>
      </c>
      <c r="BU327" s="371">
        <v>0</v>
      </c>
      <c r="BV327" s="371">
        <v>0</v>
      </c>
      <c r="BW327" s="371">
        <v>0</v>
      </c>
      <c r="BX327" s="371">
        <v>0</v>
      </c>
      <c r="BY327" s="371">
        <v>0</v>
      </c>
    </row>
    <row r="328" spans="2:77" ht="10.15" customHeight="1">
      <c r="B328" s="324" t="s">
        <v>106</v>
      </c>
      <c r="D328" s="357">
        <f t="shared" si="198"/>
        <v>0</v>
      </c>
      <c r="E328" s="357">
        <f t="shared" si="163"/>
        <v>0</v>
      </c>
      <c r="F328" s="357">
        <f t="shared" si="164"/>
        <v>0</v>
      </c>
      <c r="G328" s="357">
        <f t="shared" si="165"/>
        <v>0</v>
      </c>
      <c r="H328" s="357">
        <f t="shared" si="166"/>
        <v>0</v>
      </c>
      <c r="I328" s="357">
        <f t="shared" si="167"/>
        <v>0</v>
      </c>
      <c r="J328" s="357">
        <f t="shared" si="168"/>
        <v>0</v>
      </c>
      <c r="K328" s="357">
        <f t="shared" si="169"/>
        <v>0</v>
      </c>
      <c r="L328" s="357">
        <f t="shared" si="170"/>
        <v>0</v>
      </c>
      <c r="M328" s="357">
        <f t="shared" si="171"/>
        <v>0</v>
      </c>
      <c r="N328" s="357">
        <f t="shared" si="172"/>
        <v>0</v>
      </c>
      <c r="O328" s="357">
        <f t="shared" si="173"/>
        <v>0</v>
      </c>
      <c r="P328" s="357">
        <f t="shared" si="174"/>
        <v>0</v>
      </c>
      <c r="Q328" s="357">
        <f t="shared" si="175"/>
        <v>0</v>
      </c>
      <c r="R328" s="357">
        <f t="shared" si="176"/>
        <v>0</v>
      </c>
      <c r="S328" s="357">
        <f t="shared" si="177"/>
        <v>0</v>
      </c>
      <c r="T328" s="357">
        <f t="shared" si="178"/>
        <v>0</v>
      </c>
      <c r="U328" s="357">
        <f t="shared" si="179"/>
        <v>0</v>
      </c>
      <c r="V328" s="357">
        <f t="shared" si="180"/>
        <v>0</v>
      </c>
      <c r="W328" s="357">
        <f t="shared" si="181"/>
        <v>0</v>
      </c>
      <c r="X328" s="357">
        <f t="shared" si="182"/>
        <v>0</v>
      </c>
      <c r="Y328" s="357">
        <f t="shared" si="183"/>
        <v>0</v>
      </c>
      <c r="Z328" s="357">
        <f t="shared" si="184"/>
        <v>0</v>
      </c>
      <c r="AA328" s="357">
        <f t="shared" si="185"/>
        <v>0</v>
      </c>
      <c r="AB328" s="357">
        <f t="shared" si="186"/>
        <v>0</v>
      </c>
      <c r="AC328" s="357">
        <f t="shared" si="187"/>
        <v>0</v>
      </c>
      <c r="AD328" s="357">
        <f t="shared" si="188"/>
        <v>0</v>
      </c>
      <c r="AE328" s="357">
        <f t="shared" si="189"/>
        <v>0</v>
      </c>
      <c r="AF328" s="357">
        <f t="shared" si="190"/>
        <v>0</v>
      </c>
      <c r="AG328" s="357">
        <f t="shared" si="191"/>
        <v>0</v>
      </c>
      <c r="AH328" s="357">
        <f t="shared" si="192"/>
        <v>0</v>
      </c>
      <c r="AI328" s="357">
        <f t="shared" si="193"/>
        <v>0</v>
      </c>
      <c r="AJ328" s="357">
        <f t="shared" si="194"/>
        <v>0</v>
      </c>
      <c r="AK328" s="357">
        <f t="shared" si="195"/>
        <v>0</v>
      </c>
      <c r="AL328" s="357">
        <f t="shared" si="196"/>
        <v>0</v>
      </c>
      <c r="AM328" s="357">
        <f t="shared" si="197"/>
        <v>0</v>
      </c>
      <c r="AN328" s="357"/>
      <c r="AP328" s="273">
        <v>17</v>
      </c>
      <c r="AQ328" s="371">
        <v>0</v>
      </c>
      <c r="AR328" s="371">
        <v>0</v>
      </c>
      <c r="AS328" s="371">
        <v>0</v>
      </c>
      <c r="AT328" s="371">
        <v>0</v>
      </c>
      <c r="AU328" s="371">
        <v>0</v>
      </c>
      <c r="AV328" s="371">
        <v>0.1</v>
      </c>
      <c r="AW328" s="371">
        <v>0.1</v>
      </c>
      <c r="AX328" s="371">
        <v>0.1</v>
      </c>
      <c r="AY328" s="371">
        <v>0.1</v>
      </c>
      <c r="AZ328" s="371">
        <v>0.1</v>
      </c>
      <c r="BA328" s="371">
        <v>0.1</v>
      </c>
      <c r="BB328" s="371">
        <v>0.1</v>
      </c>
      <c r="BC328" s="371">
        <v>0.1</v>
      </c>
      <c r="BD328" s="371">
        <v>0.1</v>
      </c>
      <c r="BE328" s="371">
        <v>0.1</v>
      </c>
      <c r="BF328" s="371">
        <v>0</v>
      </c>
      <c r="BG328" s="371">
        <v>0</v>
      </c>
      <c r="BH328" s="371">
        <v>0</v>
      </c>
      <c r="BI328" s="371">
        <v>0</v>
      </c>
      <c r="BJ328" s="371">
        <v>0</v>
      </c>
      <c r="BK328" s="371">
        <v>0</v>
      </c>
      <c r="BL328" s="371">
        <v>0</v>
      </c>
      <c r="BM328" s="371">
        <v>0</v>
      </c>
      <c r="BN328" s="371">
        <v>0</v>
      </c>
      <c r="BO328" s="371">
        <v>0</v>
      </c>
      <c r="BP328" s="371">
        <v>0</v>
      </c>
      <c r="BQ328" s="371">
        <v>0</v>
      </c>
      <c r="BR328" s="371">
        <v>0</v>
      </c>
      <c r="BS328" s="371">
        <v>0</v>
      </c>
      <c r="BT328" s="371">
        <v>0</v>
      </c>
      <c r="BU328" s="371">
        <v>0</v>
      </c>
      <c r="BV328" s="371">
        <v>0</v>
      </c>
      <c r="BW328" s="371">
        <v>0</v>
      </c>
      <c r="BX328" s="371">
        <v>0</v>
      </c>
      <c r="BY328" s="371">
        <v>0</v>
      </c>
    </row>
    <row r="329" spans="2:77" ht="10.15" customHeight="1">
      <c r="B329" s="324" t="s">
        <v>107</v>
      </c>
      <c r="D329" s="357">
        <f t="shared" si="198"/>
        <v>0</v>
      </c>
      <c r="E329" s="357">
        <f t="shared" si="163"/>
        <v>0</v>
      </c>
      <c r="F329" s="357">
        <f t="shared" si="164"/>
        <v>0</v>
      </c>
      <c r="G329" s="357">
        <f t="shared" si="165"/>
        <v>0</v>
      </c>
      <c r="H329" s="357">
        <f t="shared" si="166"/>
        <v>0</v>
      </c>
      <c r="I329" s="357">
        <f t="shared" si="167"/>
        <v>0</v>
      </c>
      <c r="J329" s="357">
        <f t="shared" si="168"/>
        <v>0</v>
      </c>
      <c r="K329" s="357">
        <f t="shared" si="169"/>
        <v>0</v>
      </c>
      <c r="L329" s="357">
        <f t="shared" si="170"/>
        <v>0</v>
      </c>
      <c r="M329" s="357">
        <f t="shared" si="171"/>
        <v>0</v>
      </c>
      <c r="N329" s="357">
        <f t="shared" si="172"/>
        <v>0</v>
      </c>
      <c r="O329" s="357">
        <f t="shared" si="173"/>
        <v>0</v>
      </c>
      <c r="P329" s="357">
        <f t="shared" si="174"/>
        <v>0</v>
      </c>
      <c r="Q329" s="357">
        <f t="shared" si="175"/>
        <v>0</v>
      </c>
      <c r="R329" s="357">
        <f t="shared" si="176"/>
        <v>0</v>
      </c>
      <c r="S329" s="357">
        <f t="shared" si="177"/>
        <v>0</v>
      </c>
      <c r="T329" s="357">
        <f t="shared" si="178"/>
        <v>0</v>
      </c>
      <c r="U329" s="357">
        <f t="shared" si="179"/>
        <v>0</v>
      </c>
      <c r="V329" s="357">
        <f t="shared" si="180"/>
        <v>0</v>
      </c>
      <c r="W329" s="357">
        <f t="shared" si="181"/>
        <v>0</v>
      </c>
      <c r="X329" s="357">
        <f t="shared" si="182"/>
        <v>0</v>
      </c>
      <c r="Y329" s="357">
        <f t="shared" si="183"/>
        <v>0</v>
      </c>
      <c r="Z329" s="357">
        <f t="shared" si="184"/>
        <v>0</v>
      </c>
      <c r="AA329" s="357">
        <f t="shared" si="185"/>
        <v>0</v>
      </c>
      <c r="AB329" s="357">
        <f t="shared" si="186"/>
        <v>0</v>
      </c>
      <c r="AC329" s="357">
        <f t="shared" si="187"/>
        <v>0</v>
      </c>
      <c r="AD329" s="357">
        <f t="shared" si="188"/>
        <v>0</v>
      </c>
      <c r="AE329" s="357">
        <f t="shared" si="189"/>
        <v>0</v>
      </c>
      <c r="AF329" s="357">
        <f t="shared" si="190"/>
        <v>0</v>
      </c>
      <c r="AG329" s="357">
        <f t="shared" si="191"/>
        <v>0</v>
      </c>
      <c r="AH329" s="357">
        <f t="shared" si="192"/>
        <v>0</v>
      </c>
      <c r="AI329" s="357">
        <f t="shared" si="193"/>
        <v>0</v>
      </c>
      <c r="AJ329" s="357">
        <f t="shared" si="194"/>
        <v>0</v>
      </c>
      <c r="AK329" s="357">
        <f t="shared" si="195"/>
        <v>0</v>
      </c>
      <c r="AL329" s="357">
        <f t="shared" si="196"/>
        <v>0</v>
      </c>
      <c r="AM329" s="357">
        <f t="shared" si="197"/>
        <v>0</v>
      </c>
      <c r="AN329" s="357"/>
      <c r="AP329" s="273">
        <v>18</v>
      </c>
      <c r="AQ329" s="371">
        <v>0</v>
      </c>
      <c r="AR329" s="371">
        <v>0</v>
      </c>
      <c r="AS329" s="371">
        <v>0</v>
      </c>
      <c r="AT329" s="371">
        <v>0</v>
      </c>
      <c r="AU329" s="371">
        <v>0</v>
      </c>
      <c r="AV329" s="371">
        <v>0</v>
      </c>
      <c r="AW329" s="371">
        <v>0.1</v>
      </c>
      <c r="AX329" s="371">
        <v>0.1</v>
      </c>
      <c r="AY329" s="371">
        <v>0.1</v>
      </c>
      <c r="AZ329" s="371">
        <v>0.1</v>
      </c>
      <c r="BA329" s="371">
        <v>0.1</v>
      </c>
      <c r="BB329" s="371">
        <v>0.1</v>
      </c>
      <c r="BC329" s="371">
        <v>0.1</v>
      </c>
      <c r="BD329" s="371">
        <v>0.1</v>
      </c>
      <c r="BE329" s="371">
        <v>0.1</v>
      </c>
      <c r="BF329" s="371">
        <v>0.1</v>
      </c>
      <c r="BG329" s="371">
        <v>0</v>
      </c>
      <c r="BH329" s="371">
        <v>0</v>
      </c>
      <c r="BI329" s="371">
        <v>0</v>
      </c>
      <c r="BJ329" s="371">
        <v>0</v>
      </c>
      <c r="BK329" s="371">
        <v>0</v>
      </c>
      <c r="BL329" s="371">
        <v>0</v>
      </c>
      <c r="BM329" s="371">
        <v>0</v>
      </c>
      <c r="BN329" s="371">
        <v>0</v>
      </c>
      <c r="BO329" s="371">
        <v>0</v>
      </c>
      <c r="BP329" s="371">
        <v>0</v>
      </c>
      <c r="BQ329" s="371">
        <v>0</v>
      </c>
      <c r="BR329" s="371">
        <v>0</v>
      </c>
      <c r="BS329" s="371">
        <v>0</v>
      </c>
      <c r="BT329" s="371">
        <v>0</v>
      </c>
      <c r="BU329" s="371">
        <v>0</v>
      </c>
      <c r="BV329" s="371">
        <v>0</v>
      </c>
      <c r="BW329" s="371">
        <v>0</v>
      </c>
      <c r="BX329" s="371">
        <v>0</v>
      </c>
      <c r="BY329" s="371">
        <v>0</v>
      </c>
    </row>
    <row r="330" spans="2:77" ht="10.15" customHeight="1">
      <c r="B330" s="324" t="s">
        <v>108</v>
      </c>
      <c r="D330" s="357">
        <f t="shared" si="198"/>
        <v>0</v>
      </c>
      <c r="E330" s="357">
        <f t="shared" si="163"/>
        <v>0</v>
      </c>
      <c r="F330" s="357">
        <f t="shared" si="164"/>
        <v>0</v>
      </c>
      <c r="G330" s="357">
        <f t="shared" si="165"/>
        <v>0</v>
      </c>
      <c r="H330" s="357">
        <f t="shared" si="166"/>
        <v>0</v>
      </c>
      <c r="I330" s="357">
        <f t="shared" si="167"/>
        <v>0</v>
      </c>
      <c r="J330" s="357">
        <f t="shared" si="168"/>
        <v>0</v>
      </c>
      <c r="K330" s="357">
        <f t="shared" si="169"/>
        <v>0</v>
      </c>
      <c r="L330" s="357">
        <f t="shared" si="170"/>
        <v>0</v>
      </c>
      <c r="M330" s="357">
        <f t="shared" si="171"/>
        <v>0</v>
      </c>
      <c r="N330" s="357">
        <f t="shared" si="172"/>
        <v>0</v>
      </c>
      <c r="O330" s="357">
        <f t="shared" si="173"/>
        <v>0</v>
      </c>
      <c r="P330" s="357">
        <f t="shared" si="174"/>
        <v>0</v>
      </c>
      <c r="Q330" s="357">
        <f t="shared" si="175"/>
        <v>0</v>
      </c>
      <c r="R330" s="357">
        <f t="shared" si="176"/>
        <v>0</v>
      </c>
      <c r="S330" s="357">
        <f t="shared" si="177"/>
        <v>0</v>
      </c>
      <c r="T330" s="357">
        <f t="shared" si="178"/>
        <v>0</v>
      </c>
      <c r="U330" s="357">
        <f t="shared" si="179"/>
        <v>0</v>
      </c>
      <c r="V330" s="357">
        <f t="shared" si="180"/>
        <v>0</v>
      </c>
      <c r="W330" s="357">
        <f t="shared" si="181"/>
        <v>0</v>
      </c>
      <c r="X330" s="357">
        <f t="shared" si="182"/>
        <v>0</v>
      </c>
      <c r="Y330" s="357">
        <f t="shared" si="183"/>
        <v>0</v>
      </c>
      <c r="Z330" s="357">
        <f t="shared" si="184"/>
        <v>0</v>
      </c>
      <c r="AA330" s="357">
        <f t="shared" si="185"/>
        <v>0</v>
      </c>
      <c r="AB330" s="357">
        <f t="shared" si="186"/>
        <v>0</v>
      </c>
      <c r="AC330" s="357">
        <f t="shared" si="187"/>
        <v>0</v>
      </c>
      <c r="AD330" s="357">
        <f t="shared" si="188"/>
        <v>0</v>
      </c>
      <c r="AE330" s="357">
        <f t="shared" si="189"/>
        <v>0</v>
      </c>
      <c r="AF330" s="357">
        <f t="shared" si="190"/>
        <v>0</v>
      </c>
      <c r="AG330" s="357">
        <f t="shared" si="191"/>
        <v>0</v>
      </c>
      <c r="AH330" s="357">
        <f t="shared" si="192"/>
        <v>0</v>
      </c>
      <c r="AI330" s="357">
        <f t="shared" si="193"/>
        <v>0</v>
      </c>
      <c r="AJ330" s="357">
        <f t="shared" si="194"/>
        <v>0</v>
      </c>
      <c r="AK330" s="357">
        <f t="shared" si="195"/>
        <v>0</v>
      </c>
      <c r="AL330" s="357">
        <f t="shared" si="196"/>
        <v>0</v>
      </c>
      <c r="AM330" s="357">
        <f t="shared" si="197"/>
        <v>0</v>
      </c>
      <c r="AN330" s="357"/>
      <c r="AP330" s="273">
        <v>19</v>
      </c>
      <c r="AQ330" s="371">
        <v>0</v>
      </c>
      <c r="AR330" s="371">
        <v>0</v>
      </c>
      <c r="AS330" s="371">
        <v>0</v>
      </c>
      <c r="AT330" s="371">
        <v>0</v>
      </c>
      <c r="AU330" s="371">
        <v>0</v>
      </c>
      <c r="AV330" s="371">
        <v>0</v>
      </c>
      <c r="AW330" s="371">
        <v>0</v>
      </c>
      <c r="AX330" s="371">
        <v>0.1</v>
      </c>
      <c r="AY330" s="371">
        <v>0.1</v>
      </c>
      <c r="AZ330" s="371">
        <v>0.1</v>
      </c>
      <c r="BA330" s="371">
        <v>0.1</v>
      </c>
      <c r="BB330" s="371">
        <v>0.1</v>
      </c>
      <c r="BC330" s="371">
        <v>0.1</v>
      </c>
      <c r="BD330" s="371">
        <v>0.1</v>
      </c>
      <c r="BE330" s="371">
        <v>0.1</v>
      </c>
      <c r="BF330" s="371">
        <v>0.1</v>
      </c>
      <c r="BG330" s="371">
        <v>0.1</v>
      </c>
      <c r="BH330" s="371">
        <v>0</v>
      </c>
      <c r="BI330" s="371">
        <v>0</v>
      </c>
      <c r="BJ330" s="371">
        <v>0</v>
      </c>
      <c r="BK330" s="371">
        <v>0</v>
      </c>
      <c r="BL330" s="371">
        <v>0</v>
      </c>
      <c r="BM330" s="371">
        <v>0</v>
      </c>
      <c r="BN330" s="371">
        <v>0</v>
      </c>
      <c r="BO330" s="371">
        <v>0</v>
      </c>
      <c r="BP330" s="371">
        <v>0</v>
      </c>
      <c r="BQ330" s="371">
        <v>0</v>
      </c>
      <c r="BR330" s="371">
        <v>0</v>
      </c>
      <c r="BS330" s="371">
        <v>0</v>
      </c>
      <c r="BT330" s="371">
        <v>0</v>
      </c>
      <c r="BU330" s="371">
        <v>0</v>
      </c>
      <c r="BV330" s="371">
        <v>0</v>
      </c>
      <c r="BW330" s="371">
        <v>0</v>
      </c>
      <c r="BX330" s="371">
        <v>0</v>
      </c>
      <c r="BY330" s="371">
        <v>0</v>
      </c>
    </row>
    <row r="331" spans="2:77" ht="10.15" customHeight="1">
      <c r="B331" s="324" t="s">
        <v>109</v>
      </c>
      <c r="D331" s="357">
        <f t="shared" si="198"/>
        <v>0</v>
      </c>
      <c r="E331" s="357">
        <f t="shared" si="163"/>
        <v>0</v>
      </c>
      <c r="F331" s="357">
        <f t="shared" si="164"/>
        <v>0</v>
      </c>
      <c r="G331" s="357">
        <f t="shared" si="165"/>
        <v>0</v>
      </c>
      <c r="H331" s="357">
        <f t="shared" si="166"/>
        <v>0</v>
      </c>
      <c r="I331" s="357">
        <f t="shared" si="167"/>
        <v>0</v>
      </c>
      <c r="J331" s="357">
        <f t="shared" si="168"/>
        <v>0</v>
      </c>
      <c r="K331" s="357">
        <f t="shared" si="169"/>
        <v>0</v>
      </c>
      <c r="L331" s="357">
        <f t="shared" si="170"/>
        <v>0</v>
      </c>
      <c r="M331" s="357">
        <f t="shared" si="171"/>
        <v>0</v>
      </c>
      <c r="N331" s="357">
        <f t="shared" si="172"/>
        <v>0</v>
      </c>
      <c r="O331" s="357">
        <f t="shared" si="173"/>
        <v>0</v>
      </c>
      <c r="P331" s="357">
        <f t="shared" si="174"/>
        <v>0</v>
      </c>
      <c r="Q331" s="357">
        <f t="shared" si="175"/>
        <v>0</v>
      </c>
      <c r="R331" s="357">
        <f t="shared" si="176"/>
        <v>0</v>
      </c>
      <c r="S331" s="357">
        <f t="shared" si="177"/>
        <v>0</v>
      </c>
      <c r="T331" s="357">
        <f t="shared" si="178"/>
        <v>0</v>
      </c>
      <c r="U331" s="357">
        <f t="shared" si="179"/>
        <v>0</v>
      </c>
      <c r="V331" s="357">
        <f t="shared" si="180"/>
        <v>0</v>
      </c>
      <c r="W331" s="357">
        <f t="shared" si="181"/>
        <v>0</v>
      </c>
      <c r="X331" s="357">
        <f t="shared" si="182"/>
        <v>0</v>
      </c>
      <c r="Y331" s="357">
        <f t="shared" si="183"/>
        <v>0</v>
      </c>
      <c r="Z331" s="357">
        <f t="shared" si="184"/>
        <v>0</v>
      </c>
      <c r="AA331" s="357">
        <f t="shared" si="185"/>
        <v>0</v>
      </c>
      <c r="AB331" s="357">
        <f t="shared" si="186"/>
        <v>0</v>
      </c>
      <c r="AC331" s="357">
        <f t="shared" si="187"/>
        <v>0</v>
      </c>
      <c r="AD331" s="357">
        <f t="shared" si="188"/>
        <v>0</v>
      </c>
      <c r="AE331" s="357">
        <f t="shared" si="189"/>
        <v>0</v>
      </c>
      <c r="AF331" s="357">
        <f t="shared" si="190"/>
        <v>0</v>
      </c>
      <c r="AG331" s="357">
        <f t="shared" si="191"/>
        <v>0</v>
      </c>
      <c r="AH331" s="357">
        <f t="shared" si="192"/>
        <v>0</v>
      </c>
      <c r="AI331" s="357">
        <f t="shared" si="193"/>
        <v>0</v>
      </c>
      <c r="AJ331" s="357">
        <f t="shared" si="194"/>
        <v>0</v>
      </c>
      <c r="AK331" s="357">
        <f t="shared" si="195"/>
        <v>0</v>
      </c>
      <c r="AL331" s="357">
        <f t="shared" si="196"/>
        <v>0</v>
      </c>
      <c r="AM331" s="357">
        <f t="shared" si="197"/>
        <v>0</v>
      </c>
      <c r="AN331" s="357"/>
      <c r="AP331" s="273">
        <v>20</v>
      </c>
      <c r="AQ331" s="371">
        <v>0</v>
      </c>
      <c r="AR331" s="371">
        <v>0</v>
      </c>
      <c r="AS331" s="371">
        <v>0</v>
      </c>
      <c r="AT331" s="371">
        <v>0</v>
      </c>
      <c r="AU331" s="371">
        <v>0</v>
      </c>
      <c r="AV331" s="371">
        <v>0</v>
      </c>
      <c r="AW331" s="371">
        <v>0</v>
      </c>
      <c r="AX331" s="371">
        <v>0</v>
      </c>
      <c r="AY331" s="371">
        <v>0.1</v>
      </c>
      <c r="AZ331" s="371">
        <v>0.1</v>
      </c>
      <c r="BA331" s="371">
        <v>0.1</v>
      </c>
      <c r="BB331" s="371">
        <v>0.1</v>
      </c>
      <c r="BC331" s="371">
        <v>0.1</v>
      </c>
      <c r="BD331" s="371">
        <v>0.1</v>
      </c>
      <c r="BE331" s="371">
        <v>0.1</v>
      </c>
      <c r="BF331" s="371">
        <v>0.1</v>
      </c>
      <c r="BG331" s="371">
        <v>0.1</v>
      </c>
      <c r="BH331" s="371">
        <v>0.1</v>
      </c>
      <c r="BI331" s="371">
        <v>0</v>
      </c>
      <c r="BJ331" s="371">
        <v>0</v>
      </c>
      <c r="BK331" s="371">
        <v>0</v>
      </c>
      <c r="BL331" s="371">
        <v>0</v>
      </c>
      <c r="BM331" s="371">
        <v>0</v>
      </c>
      <c r="BN331" s="371">
        <v>0</v>
      </c>
      <c r="BO331" s="371">
        <v>0</v>
      </c>
      <c r="BP331" s="371">
        <v>0</v>
      </c>
      <c r="BQ331" s="371">
        <v>0</v>
      </c>
      <c r="BR331" s="371">
        <v>0</v>
      </c>
      <c r="BS331" s="371">
        <v>0</v>
      </c>
      <c r="BT331" s="371">
        <v>0</v>
      </c>
      <c r="BU331" s="371">
        <v>0</v>
      </c>
      <c r="BV331" s="371">
        <v>0</v>
      </c>
      <c r="BW331" s="371">
        <v>0</v>
      </c>
      <c r="BX331" s="371">
        <v>0</v>
      </c>
      <c r="BY331" s="371">
        <v>0</v>
      </c>
    </row>
    <row r="332" spans="2:77" ht="10.15" customHeight="1">
      <c r="B332" s="324" t="s">
        <v>110</v>
      </c>
      <c r="D332" s="357">
        <f t="shared" si="198"/>
        <v>0</v>
      </c>
      <c r="E332" s="357">
        <f t="shared" si="163"/>
        <v>0</v>
      </c>
      <c r="F332" s="357">
        <f t="shared" si="164"/>
        <v>0</v>
      </c>
      <c r="G332" s="357">
        <f t="shared" si="165"/>
        <v>0</v>
      </c>
      <c r="H332" s="357">
        <f t="shared" si="166"/>
        <v>0</v>
      </c>
      <c r="I332" s="357">
        <f t="shared" si="167"/>
        <v>0</v>
      </c>
      <c r="J332" s="357">
        <f t="shared" si="168"/>
        <v>0</v>
      </c>
      <c r="K332" s="357">
        <f t="shared" si="169"/>
        <v>0</v>
      </c>
      <c r="L332" s="357">
        <f t="shared" si="170"/>
        <v>0</v>
      </c>
      <c r="M332" s="357">
        <f t="shared" si="171"/>
        <v>0</v>
      </c>
      <c r="N332" s="357">
        <f t="shared" si="172"/>
        <v>0</v>
      </c>
      <c r="O332" s="357">
        <f t="shared" si="173"/>
        <v>0</v>
      </c>
      <c r="P332" s="357">
        <f t="shared" si="174"/>
        <v>0</v>
      </c>
      <c r="Q332" s="357">
        <f t="shared" si="175"/>
        <v>0</v>
      </c>
      <c r="R332" s="357">
        <f t="shared" si="176"/>
        <v>0</v>
      </c>
      <c r="S332" s="357">
        <f t="shared" si="177"/>
        <v>0</v>
      </c>
      <c r="T332" s="357">
        <f t="shared" si="178"/>
        <v>0</v>
      </c>
      <c r="U332" s="357">
        <f t="shared" si="179"/>
        <v>0</v>
      </c>
      <c r="V332" s="357">
        <f t="shared" si="180"/>
        <v>0</v>
      </c>
      <c r="W332" s="357">
        <f t="shared" si="181"/>
        <v>0</v>
      </c>
      <c r="X332" s="357">
        <f t="shared" si="182"/>
        <v>0</v>
      </c>
      <c r="Y332" s="357">
        <f t="shared" si="183"/>
        <v>0</v>
      </c>
      <c r="Z332" s="357">
        <f t="shared" si="184"/>
        <v>0</v>
      </c>
      <c r="AA332" s="357">
        <f t="shared" si="185"/>
        <v>0</v>
      </c>
      <c r="AB332" s="357">
        <f t="shared" si="186"/>
        <v>0</v>
      </c>
      <c r="AC332" s="357">
        <f t="shared" si="187"/>
        <v>0</v>
      </c>
      <c r="AD332" s="357">
        <f t="shared" si="188"/>
        <v>0</v>
      </c>
      <c r="AE332" s="357">
        <f t="shared" si="189"/>
        <v>0</v>
      </c>
      <c r="AF332" s="357">
        <f t="shared" si="190"/>
        <v>0</v>
      </c>
      <c r="AG332" s="357">
        <f t="shared" si="191"/>
        <v>0</v>
      </c>
      <c r="AH332" s="357">
        <f t="shared" si="192"/>
        <v>0</v>
      </c>
      <c r="AI332" s="357">
        <f t="shared" si="193"/>
        <v>0</v>
      </c>
      <c r="AJ332" s="357">
        <f t="shared" si="194"/>
        <v>0</v>
      </c>
      <c r="AK332" s="357">
        <f t="shared" si="195"/>
        <v>0</v>
      </c>
      <c r="AL332" s="357">
        <f t="shared" si="196"/>
        <v>0</v>
      </c>
      <c r="AM332" s="357">
        <f t="shared" si="197"/>
        <v>0</v>
      </c>
      <c r="AN332" s="357"/>
      <c r="AP332" s="273">
        <v>21</v>
      </c>
      <c r="AQ332" s="371">
        <v>0</v>
      </c>
      <c r="AR332" s="371">
        <v>0</v>
      </c>
      <c r="AS332" s="371">
        <v>0</v>
      </c>
      <c r="AT332" s="371">
        <v>0</v>
      </c>
      <c r="AU332" s="371">
        <v>0</v>
      </c>
      <c r="AV332" s="371">
        <v>0</v>
      </c>
      <c r="AW332" s="371">
        <v>0</v>
      </c>
      <c r="AX332" s="371">
        <v>0</v>
      </c>
      <c r="AY332" s="371">
        <v>0</v>
      </c>
      <c r="AZ332" s="371">
        <v>0.1</v>
      </c>
      <c r="BA332" s="371">
        <v>0.1</v>
      </c>
      <c r="BB332" s="371">
        <v>0.1</v>
      </c>
      <c r="BC332" s="371">
        <v>0.1</v>
      </c>
      <c r="BD332" s="371">
        <v>0.1</v>
      </c>
      <c r="BE332" s="371">
        <v>0.1</v>
      </c>
      <c r="BF332" s="371">
        <v>0.1</v>
      </c>
      <c r="BG332" s="371">
        <v>0.1</v>
      </c>
      <c r="BH332" s="371">
        <v>0.1</v>
      </c>
      <c r="BI332" s="371">
        <v>0.1</v>
      </c>
      <c r="BJ332" s="371">
        <v>0</v>
      </c>
      <c r="BK332" s="371">
        <v>0</v>
      </c>
      <c r="BL332" s="371">
        <v>0</v>
      </c>
      <c r="BM332" s="371">
        <v>0</v>
      </c>
      <c r="BN332" s="371">
        <v>0</v>
      </c>
      <c r="BO332" s="371">
        <v>0</v>
      </c>
      <c r="BP332" s="371">
        <v>0</v>
      </c>
      <c r="BQ332" s="371">
        <v>0</v>
      </c>
      <c r="BR332" s="371">
        <v>0</v>
      </c>
      <c r="BS332" s="371">
        <v>0</v>
      </c>
      <c r="BT332" s="371">
        <v>0</v>
      </c>
      <c r="BU332" s="371">
        <v>0</v>
      </c>
      <c r="BV332" s="371">
        <v>0</v>
      </c>
      <c r="BW332" s="371">
        <v>0</v>
      </c>
      <c r="BX332" s="371">
        <v>0</v>
      </c>
      <c r="BY332" s="371">
        <v>0</v>
      </c>
    </row>
    <row r="333" spans="2:77" ht="10.15" customHeight="1">
      <c r="B333" s="324" t="s">
        <v>111</v>
      </c>
      <c r="D333" s="357">
        <f t="shared" si="198"/>
        <v>0</v>
      </c>
      <c r="E333" s="357">
        <f t="shared" si="163"/>
        <v>0</v>
      </c>
      <c r="F333" s="357">
        <f t="shared" si="164"/>
        <v>0</v>
      </c>
      <c r="G333" s="357">
        <f t="shared" si="165"/>
        <v>0</v>
      </c>
      <c r="H333" s="357">
        <f t="shared" si="166"/>
        <v>0</v>
      </c>
      <c r="I333" s="357">
        <f t="shared" si="167"/>
        <v>0</v>
      </c>
      <c r="J333" s="357">
        <f t="shared" si="168"/>
        <v>0</v>
      </c>
      <c r="K333" s="357">
        <f t="shared" si="169"/>
        <v>0</v>
      </c>
      <c r="L333" s="357">
        <f t="shared" si="170"/>
        <v>0</v>
      </c>
      <c r="M333" s="357">
        <f t="shared" si="171"/>
        <v>0</v>
      </c>
      <c r="N333" s="357">
        <f t="shared" si="172"/>
        <v>0</v>
      </c>
      <c r="O333" s="357">
        <f t="shared" si="173"/>
        <v>0</v>
      </c>
      <c r="P333" s="357">
        <f t="shared" si="174"/>
        <v>0</v>
      </c>
      <c r="Q333" s="357">
        <f t="shared" si="175"/>
        <v>0</v>
      </c>
      <c r="R333" s="357">
        <f t="shared" si="176"/>
        <v>0</v>
      </c>
      <c r="S333" s="357">
        <f t="shared" si="177"/>
        <v>0</v>
      </c>
      <c r="T333" s="357">
        <f t="shared" si="178"/>
        <v>0</v>
      </c>
      <c r="U333" s="357">
        <f t="shared" si="179"/>
        <v>0</v>
      </c>
      <c r="V333" s="357">
        <f t="shared" si="180"/>
        <v>0</v>
      </c>
      <c r="W333" s="357">
        <f t="shared" si="181"/>
        <v>0</v>
      </c>
      <c r="X333" s="357">
        <f t="shared" si="182"/>
        <v>0</v>
      </c>
      <c r="Y333" s="357">
        <f t="shared" si="183"/>
        <v>0</v>
      </c>
      <c r="Z333" s="357">
        <f t="shared" si="184"/>
        <v>0</v>
      </c>
      <c r="AA333" s="357">
        <f t="shared" si="185"/>
        <v>0</v>
      </c>
      <c r="AB333" s="357">
        <f t="shared" si="186"/>
        <v>0</v>
      </c>
      <c r="AC333" s="357">
        <f t="shared" si="187"/>
        <v>0</v>
      </c>
      <c r="AD333" s="357">
        <f t="shared" si="188"/>
        <v>0</v>
      </c>
      <c r="AE333" s="357">
        <f t="shared" si="189"/>
        <v>0</v>
      </c>
      <c r="AF333" s="357">
        <f t="shared" si="190"/>
        <v>0</v>
      </c>
      <c r="AG333" s="357">
        <f t="shared" si="191"/>
        <v>0</v>
      </c>
      <c r="AH333" s="357">
        <f t="shared" si="192"/>
        <v>0</v>
      </c>
      <c r="AI333" s="357">
        <f t="shared" si="193"/>
        <v>0</v>
      </c>
      <c r="AJ333" s="357">
        <f t="shared" si="194"/>
        <v>0</v>
      </c>
      <c r="AK333" s="357">
        <f t="shared" si="195"/>
        <v>0</v>
      </c>
      <c r="AL333" s="357">
        <f t="shared" si="196"/>
        <v>0</v>
      </c>
      <c r="AM333" s="357">
        <f t="shared" si="197"/>
        <v>0</v>
      </c>
      <c r="AN333" s="357"/>
      <c r="AP333" s="273">
        <v>22</v>
      </c>
      <c r="AQ333" s="371">
        <v>0</v>
      </c>
      <c r="AR333" s="371">
        <v>0</v>
      </c>
      <c r="AS333" s="371">
        <v>0</v>
      </c>
      <c r="AT333" s="371">
        <v>0</v>
      </c>
      <c r="AU333" s="371">
        <v>0</v>
      </c>
      <c r="AV333" s="371">
        <v>0</v>
      </c>
      <c r="AW333" s="371">
        <v>0</v>
      </c>
      <c r="AX333" s="371">
        <v>0</v>
      </c>
      <c r="AY333" s="371">
        <v>0</v>
      </c>
      <c r="AZ333" s="371">
        <v>0</v>
      </c>
      <c r="BA333" s="371">
        <v>0.1</v>
      </c>
      <c r="BB333" s="371">
        <v>0.1</v>
      </c>
      <c r="BC333" s="371">
        <v>0.1</v>
      </c>
      <c r="BD333" s="371">
        <v>0.1</v>
      </c>
      <c r="BE333" s="371">
        <v>0.1</v>
      </c>
      <c r="BF333" s="371">
        <v>0.1</v>
      </c>
      <c r="BG333" s="371">
        <v>0.1</v>
      </c>
      <c r="BH333" s="371">
        <v>0.1</v>
      </c>
      <c r="BI333" s="371">
        <v>0.1</v>
      </c>
      <c r="BJ333" s="371">
        <v>0.1</v>
      </c>
      <c r="BK333" s="371">
        <v>0</v>
      </c>
      <c r="BL333" s="371">
        <v>0</v>
      </c>
      <c r="BM333" s="371">
        <v>0</v>
      </c>
      <c r="BN333" s="371">
        <v>0</v>
      </c>
      <c r="BO333" s="371">
        <v>0</v>
      </c>
      <c r="BP333" s="371">
        <v>0</v>
      </c>
      <c r="BQ333" s="371">
        <v>0</v>
      </c>
      <c r="BR333" s="371">
        <v>0</v>
      </c>
      <c r="BS333" s="371">
        <v>0</v>
      </c>
      <c r="BT333" s="371">
        <v>0</v>
      </c>
      <c r="BU333" s="371">
        <v>0</v>
      </c>
      <c r="BV333" s="371">
        <v>0</v>
      </c>
      <c r="BW333" s="371">
        <v>0</v>
      </c>
      <c r="BX333" s="371">
        <v>0</v>
      </c>
      <c r="BY333" s="371">
        <v>0</v>
      </c>
    </row>
    <row r="334" spans="2:77" ht="10.15" customHeight="1">
      <c r="B334" s="324" t="s">
        <v>112</v>
      </c>
      <c r="D334" s="357">
        <f t="shared" si="198"/>
        <v>0</v>
      </c>
      <c r="E334" s="357">
        <f t="shared" si="163"/>
        <v>0</v>
      </c>
      <c r="F334" s="357">
        <f t="shared" si="164"/>
        <v>0</v>
      </c>
      <c r="G334" s="357">
        <f t="shared" si="165"/>
        <v>0</v>
      </c>
      <c r="H334" s="357">
        <f t="shared" si="166"/>
        <v>0</v>
      </c>
      <c r="I334" s="357">
        <f t="shared" si="167"/>
        <v>0</v>
      </c>
      <c r="J334" s="357">
        <f t="shared" si="168"/>
        <v>0</v>
      </c>
      <c r="K334" s="357">
        <f t="shared" si="169"/>
        <v>0</v>
      </c>
      <c r="L334" s="357">
        <f t="shared" si="170"/>
        <v>0</v>
      </c>
      <c r="M334" s="357">
        <f t="shared" si="171"/>
        <v>0</v>
      </c>
      <c r="N334" s="357">
        <f t="shared" si="172"/>
        <v>0</v>
      </c>
      <c r="O334" s="357">
        <f t="shared" si="173"/>
        <v>0</v>
      </c>
      <c r="P334" s="357">
        <f t="shared" si="174"/>
        <v>0</v>
      </c>
      <c r="Q334" s="357">
        <f t="shared" si="175"/>
        <v>0</v>
      </c>
      <c r="R334" s="357">
        <f t="shared" si="176"/>
        <v>0</v>
      </c>
      <c r="S334" s="357">
        <f t="shared" si="177"/>
        <v>0</v>
      </c>
      <c r="T334" s="357">
        <f t="shared" si="178"/>
        <v>0</v>
      </c>
      <c r="U334" s="357">
        <f t="shared" si="179"/>
        <v>0</v>
      </c>
      <c r="V334" s="357">
        <f t="shared" si="180"/>
        <v>0</v>
      </c>
      <c r="W334" s="357">
        <f t="shared" si="181"/>
        <v>0</v>
      </c>
      <c r="X334" s="357">
        <f t="shared" si="182"/>
        <v>0</v>
      </c>
      <c r="Y334" s="357">
        <f t="shared" si="183"/>
        <v>0</v>
      </c>
      <c r="Z334" s="357">
        <f t="shared" si="184"/>
        <v>0</v>
      </c>
      <c r="AA334" s="357">
        <f t="shared" si="185"/>
        <v>0</v>
      </c>
      <c r="AB334" s="357">
        <f t="shared" si="186"/>
        <v>0</v>
      </c>
      <c r="AC334" s="357">
        <f t="shared" si="187"/>
        <v>0</v>
      </c>
      <c r="AD334" s="357">
        <f t="shared" si="188"/>
        <v>0</v>
      </c>
      <c r="AE334" s="357">
        <f t="shared" si="189"/>
        <v>0</v>
      </c>
      <c r="AF334" s="357">
        <f t="shared" si="190"/>
        <v>0</v>
      </c>
      <c r="AG334" s="357">
        <f t="shared" si="191"/>
        <v>0</v>
      </c>
      <c r="AH334" s="357">
        <f t="shared" si="192"/>
        <v>0</v>
      </c>
      <c r="AI334" s="357">
        <f t="shared" si="193"/>
        <v>0</v>
      </c>
      <c r="AJ334" s="357">
        <f t="shared" si="194"/>
        <v>0</v>
      </c>
      <c r="AK334" s="357">
        <f t="shared" si="195"/>
        <v>0</v>
      </c>
      <c r="AL334" s="357">
        <f t="shared" si="196"/>
        <v>0</v>
      </c>
      <c r="AM334" s="357">
        <f t="shared" si="197"/>
        <v>0</v>
      </c>
      <c r="AN334" s="357"/>
      <c r="AP334" s="273">
        <v>23</v>
      </c>
      <c r="AQ334" s="371">
        <v>0</v>
      </c>
      <c r="AR334" s="371">
        <v>0</v>
      </c>
      <c r="AS334" s="371">
        <v>0</v>
      </c>
      <c r="AT334" s="371">
        <v>0</v>
      </c>
      <c r="AU334" s="371">
        <v>0</v>
      </c>
      <c r="AV334" s="371">
        <v>0</v>
      </c>
      <c r="AW334" s="371">
        <v>0</v>
      </c>
      <c r="AX334" s="371">
        <v>0</v>
      </c>
      <c r="AY334" s="371">
        <v>0</v>
      </c>
      <c r="AZ334" s="371">
        <v>0</v>
      </c>
      <c r="BA334" s="371">
        <v>0</v>
      </c>
      <c r="BB334" s="371">
        <v>0.1</v>
      </c>
      <c r="BC334" s="371">
        <v>0.1</v>
      </c>
      <c r="BD334" s="371">
        <v>0.1</v>
      </c>
      <c r="BE334" s="371">
        <v>0.1</v>
      </c>
      <c r="BF334" s="371">
        <v>0.1</v>
      </c>
      <c r="BG334" s="371">
        <v>0.1</v>
      </c>
      <c r="BH334" s="371">
        <v>0.1</v>
      </c>
      <c r="BI334" s="371">
        <v>0.1</v>
      </c>
      <c r="BJ334" s="371">
        <v>0.1</v>
      </c>
      <c r="BK334" s="371">
        <v>0.1</v>
      </c>
      <c r="BL334" s="371">
        <v>0</v>
      </c>
      <c r="BM334" s="371">
        <v>0</v>
      </c>
      <c r="BN334" s="371">
        <v>0</v>
      </c>
      <c r="BO334" s="371">
        <v>0</v>
      </c>
      <c r="BP334" s="371">
        <v>0</v>
      </c>
      <c r="BQ334" s="371">
        <v>0</v>
      </c>
      <c r="BR334" s="371">
        <v>0</v>
      </c>
      <c r="BS334" s="371">
        <v>0</v>
      </c>
      <c r="BT334" s="371">
        <v>0</v>
      </c>
      <c r="BU334" s="371">
        <v>0</v>
      </c>
      <c r="BV334" s="371">
        <v>0</v>
      </c>
      <c r="BW334" s="371">
        <v>0</v>
      </c>
      <c r="BX334" s="371">
        <v>0</v>
      </c>
      <c r="BY334" s="371">
        <v>0</v>
      </c>
    </row>
    <row r="335" spans="2:77" ht="10.15" customHeight="1">
      <c r="B335" s="324" t="s">
        <v>113</v>
      </c>
      <c r="D335" s="357">
        <f t="shared" si="198"/>
        <v>0</v>
      </c>
      <c r="E335" s="357">
        <f t="shared" si="163"/>
        <v>0</v>
      </c>
      <c r="F335" s="357">
        <f t="shared" si="164"/>
        <v>0</v>
      </c>
      <c r="G335" s="357">
        <f t="shared" si="165"/>
        <v>0</v>
      </c>
      <c r="H335" s="357">
        <f t="shared" si="166"/>
        <v>0</v>
      </c>
      <c r="I335" s="357">
        <f t="shared" si="167"/>
        <v>0</v>
      </c>
      <c r="J335" s="357">
        <f t="shared" si="168"/>
        <v>0</v>
      </c>
      <c r="K335" s="357">
        <f t="shared" si="169"/>
        <v>0</v>
      </c>
      <c r="L335" s="357">
        <f t="shared" si="170"/>
        <v>0</v>
      </c>
      <c r="M335" s="357">
        <f t="shared" si="171"/>
        <v>0</v>
      </c>
      <c r="N335" s="357">
        <f t="shared" si="172"/>
        <v>0</v>
      </c>
      <c r="O335" s="357">
        <f t="shared" si="173"/>
        <v>0</v>
      </c>
      <c r="P335" s="357">
        <f t="shared" si="174"/>
        <v>0</v>
      </c>
      <c r="Q335" s="357">
        <f t="shared" si="175"/>
        <v>0</v>
      </c>
      <c r="R335" s="357">
        <f t="shared" si="176"/>
        <v>0</v>
      </c>
      <c r="S335" s="357">
        <f t="shared" si="177"/>
        <v>0</v>
      </c>
      <c r="T335" s="357">
        <f t="shared" si="178"/>
        <v>0</v>
      </c>
      <c r="U335" s="357">
        <f t="shared" si="179"/>
        <v>0</v>
      </c>
      <c r="V335" s="357">
        <f t="shared" si="180"/>
        <v>0</v>
      </c>
      <c r="W335" s="357">
        <f t="shared" si="181"/>
        <v>0</v>
      </c>
      <c r="X335" s="357">
        <f t="shared" si="182"/>
        <v>0</v>
      </c>
      <c r="Y335" s="357">
        <f t="shared" si="183"/>
        <v>0</v>
      </c>
      <c r="Z335" s="357">
        <f t="shared" si="184"/>
        <v>0</v>
      </c>
      <c r="AA335" s="357">
        <f t="shared" si="185"/>
        <v>0</v>
      </c>
      <c r="AB335" s="357">
        <f t="shared" si="186"/>
        <v>0</v>
      </c>
      <c r="AC335" s="357">
        <f t="shared" si="187"/>
        <v>0</v>
      </c>
      <c r="AD335" s="357">
        <f t="shared" si="188"/>
        <v>0</v>
      </c>
      <c r="AE335" s="357">
        <f t="shared" si="189"/>
        <v>0</v>
      </c>
      <c r="AF335" s="357">
        <f t="shared" si="190"/>
        <v>0</v>
      </c>
      <c r="AG335" s="357">
        <f t="shared" si="191"/>
        <v>0</v>
      </c>
      <c r="AH335" s="357">
        <f t="shared" si="192"/>
        <v>0</v>
      </c>
      <c r="AI335" s="357">
        <f t="shared" si="193"/>
        <v>0</v>
      </c>
      <c r="AJ335" s="357">
        <f t="shared" si="194"/>
        <v>0</v>
      </c>
      <c r="AK335" s="357">
        <f t="shared" si="195"/>
        <v>0</v>
      </c>
      <c r="AL335" s="357">
        <f t="shared" si="196"/>
        <v>0</v>
      </c>
      <c r="AM335" s="357">
        <f t="shared" si="197"/>
        <v>0</v>
      </c>
      <c r="AN335" s="357"/>
      <c r="AP335" s="273">
        <v>24</v>
      </c>
      <c r="AQ335" s="371">
        <v>0</v>
      </c>
      <c r="AR335" s="371">
        <v>0</v>
      </c>
      <c r="AS335" s="371">
        <v>0</v>
      </c>
      <c r="AT335" s="371">
        <v>0</v>
      </c>
      <c r="AU335" s="371">
        <v>0</v>
      </c>
      <c r="AV335" s="371">
        <v>0</v>
      </c>
      <c r="AW335" s="371">
        <v>0</v>
      </c>
      <c r="AX335" s="371">
        <v>0</v>
      </c>
      <c r="AY335" s="371">
        <v>0</v>
      </c>
      <c r="AZ335" s="371">
        <v>0</v>
      </c>
      <c r="BA335" s="371">
        <v>0</v>
      </c>
      <c r="BB335" s="371">
        <v>0</v>
      </c>
      <c r="BC335" s="371">
        <v>0.1</v>
      </c>
      <c r="BD335" s="371">
        <v>0.1</v>
      </c>
      <c r="BE335" s="371">
        <v>0.1</v>
      </c>
      <c r="BF335" s="371">
        <v>0.1</v>
      </c>
      <c r="BG335" s="371">
        <v>0.1</v>
      </c>
      <c r="BH335" s="371">
        <v>0.1</v>
      </c>
      <c r="BI335" s="371">
        <v>0.1</v>
      </c>
      <c r="BJ335" s="371">
        <v>0.1</v>
      </c>
      <c r="BK335" s="371">
        <v>0.1</v>
      </c>
      <c r="BL335" s="371">
        <v>0.1</v>
      </c>
      <c r="BM335" s="371">
        <v>0</v>
      </c>
      <c r="BN335" s="371">
        <v>0</v>
      </c>
      <c r="BO335" s="371">
        <v>0</v>
      </c>
      <c r="BP335" s="371">
        <v>0</v>
      </c>
      <c r="BQ335" s="371">
        <v>0</v>
      </c>
      <c r="BR335" s="371">
        <v>0</v>
      </c>
      <c r="BS335" s="371">
        <v>0</v>
      </c>
      <c r="BT335" s="371">
        <v>0</v>
      </c>
      <c r="BU335" s="371">
        <v>0</v>
      </c>
      <c r="BV335" s="371">
        <v>0</v>
      </c>
      <c r="BW335" s="371">
        <v>0</v>
      </c>
      <c r="BX335" s="371">
        <v>0</v>
      </c>
      <c r="BY335" s="371">
        <v>0</v>
      </c>
    </row>
    <row r="336" spans="2:77" ht="10.15" customHeight="1">
      <c r="B336" s="324" t="s">
        <v>114</v>
      </c>
      <c r="D336" s="357">
        <f t="shared" si="198"/>
        <v>0</v>
      </c>
      <c r="E336" s="357">
        <f t="shared" si="163"/>
        <v>0</v>
      </c>
      <c r="F336" s="357">
        <f t="shared" si="164"/>
        <v>0</v>
      </c>
      <c r="G336" s="357">
        <f t="shared" si="165"/>
        <v>0</v>
      </c>
      <c r="H336" s="357">
        <f t="shared" si="166"/>
        <v>0</v>
      </c>
      <c r="I336" s="357">
        <f t="shared" si="167"/>
        <v>0</v>
      </c>
      <c r="J336" s="357">
        <f t="shared" si="168"/>
        <v>0</v>
      </c>
      <c r="K336" s="357">
        <f t="shared" si="169"/>
        <v>0</v>
      </c>
      <c r="L336" s="357">
        <f t="shared" si="170"/>
        <v>0</v>
      </c>
      <c r="M336" s="357">
        <f t="shared" si="171"/>
        <v>0</v>
      </c>
      <c r="N336" s="357">
        <f t="shared" si="172"/>
        <v>0</v>
      </c>
      <c r="O336" s="357">
        <f t="shared" si="173"/>
        <v>0</v>
      </c>
      <c r="P336" s="357">
        <f t="shared" si="174"/>
        <v>0</v>
      </c>
      <c r="Q336" s="357">
        <f t="shared" si="175"/>
        <v>0</v>
      </c>
      <c r="R336" s="357">
        <f t="shared" si="176"/>
        <v>0</v>
      </c>
      <c r="S336" s="357">
        <f t="shared" si="177"/>
        <v>0</v>
      </c>
      <c r="T336" s="357">
        <f t="shared" si="178"/>
        <v>0</v>
      </c>
      <c r="U336" s="357">
        <f t="shared" si="179"/>
        <v>0</v>
      </c>
      <c r="V336" s="357">
        <f t="shared" si="180"/>
        <v>0</v>
      </c>
      <c r="W336" s="357">
        <f t="shared" si="181"/>
        <v>0</v>
      </c>
      <c r="X336" s="357">
        <f t="shared" si="182"/>
        <v>0</v>
      </c>
      <c r="Y336" s="357">
        <f t="shared" si="183"/>
        <v>0</v>
      </c>
      <c r="Z336" s="357">
        <f t="shared" si="184"/>
        <v>0</v>
      </c>
      <c r="AA336" s="357">
        <f t="shared" si="185"/>
        <v>0</v>
      </c>
      <c r="AB336" s="357">
        <f t="shared" si="186"/>
        <v>0</v>
      </c>
      <c r="AC336" s="357">
        <f t="shared" si="187"/>
        <v>0</v>
      </c>
      <c r="AD336" s="357">
        <f t="shared" si="188"/>
        <v>0</v>
      </c>
      <c r="AE336" s="357">
        <f t="shared" si="189"/>
        <v>0</v>
      </c>
      <c r="AF336" s="357">
        <f t="shared" si="190"/>
        <v>0</v>
      </c>
      <c r="AG336" s="357">
        <f t="shared" si="191"/>
        <v>0</v>
      </c>
      <c r="AH336" s="357">
        <f t="shared" si="192"/>
        <v>0</v>
      </c>
      <c r="AI336" s="357">
        <f t="shared" si="193"/>
        <v>0</v>
      </c>
      <c r="AJ336" s="357">
        <f t="shared" si="194"/>
        <v>0</v>
      </c>
      <c r="AK336" s="357">
        <f t="shared" si="195"/>
        <v>0</v>
      </c>
      <c r="AL336" s="357">
        <f t="shared" si="196"/>
        <v>0</v>
      </c>
      <c r="AM336" s="357">
        <f t="shared" si="197"/>
        <v>0</v>
      </c>
      <c r="AN336" s="357"/>
      <c r="AP336" s="273">
        <v>25</v>
      </c>
      <c r="AQ336" s="371">
        <v>0</v>
      </c>
      <c r="AR336" s="371">
        <v>0</v>
      </c>
      <c r="AS336" s="371">
        <v>0</v>
      </c>
      <c r="AT336" s="371">
        <v>0</v>
      </c>
      <c r="AU336" s="371">
        <v>0</v>
      </c>
      <c r="AV336" s="371">
        <v>0</v>
      </c>
      <c r="AW336" s="371">
        <v>0</v>
      </c>
      <c r="AX336" s="371">
        <v>0</v>
      </c>
      <c r="AY336" s="371">
        <v>0</v>
      </c>
      <c r="AZ336" s="371">
        <v>0</v>
      </c>
      <c r="BA336" s="371">
        <v>0</v>
      </c>
      <c r="BB336" s="371">
        <v>0</v>
      </c>
      <c r="BC336" s="371">
        <v>0</v>
      </c>
      <c r="BD336" s="371">
        <v>0.1</v>
      </c>
      <c r="BE336" s="371">
        <v>0.1</v>
      </c>
      <c r="BF336" s="371">
        <v>0.1</v>
      </c>
      <c r="BG336" s="371">
        <v>0.1</v>
      </c>
      <c r="BH336" s="371">
        <v>0.1</v>
      </c>
      <c r="BI336" s="371">
        <v>0.1</v>
      </c>
      <c r="BJ336" s="371">
        <v>0.1</v>
      </c>
      <c r="BK336" s="371">
        <v>0.1</v>
      </c>
      <c r="BL336" s="371">
        <v>0.1</v>
      </c>
      <c r="BM336" s="371">
        <v>0.1</v>
      </c>
      <c r="BN336" s="371">
        <v>0</v>
      </c>
      <c r="BO336" s="371">
        <v>0</v>
      </c>
      <c r="BP336" s="371">
        <v>0</v>
      </c>
      <c r="BQ336" s="371">
        <v>0</v>
      </c>
      <c r="BR336" s="371">
        <v>0</v>
      </c>
      <c r="BS336" s="371">
        <v>0</v>
      </c>
      <c r="BT336" s="371">
        <v>0</v>
      </c>
      <c r="BU336" s="371">
        <v>0</v>
      </c>
      <c r="BV336" s="371">
        <v>0</v>
      </c>
      <c r="BW336" s="371">
        <v>0</v>
      </c>
      <c r="BX336" s="371">
        <v>0</v>
      </c>
      <c r="BY336" s="371">
        <v>0</v>
      </c>
    </row>
    <row r="337" spans="2:77" ht="10.15" customHeight="1">
      <c r="B337" s="324" t="s">
        <v>115</v>
      </c>
      <c r="D337" s="357">
        <f t="shared" si="198"/>
        <v>0</v>
      </c>
      <c r="E337" s="357">
        <f t="shared" si="163"/>
        <v>0</v>
      </c>
      <c r="F337" s="357">
        <f t="shared" si="164"/>
        <v>0</v>
      </c>
      <c r="G337" s="357">
        <f t="shared" si="165"/>
        <v>0</v>
      </c>
      <c r="H337" s="357">
        <f t="shared" si="166"/>
        <v>0</v>
      </c>
      <c r="I337" s="357">
        <f t="shared" si="167"/>
        <v>0</v>
      </c>
      <c r="J337" s="357">
        <f t="shared" si="168"/>
        <v>0</v>
      </c>
      <c r="K337" s="357">
        <f t="shared" si="169"/>
        <v>0</v>
      </c>
      <c r="L337" s="357">
        <f t="shared" si="170"/>
        <v>0</v>
      </c>
      <c r="M337" s="357">
        <f t="shared" si="171"/>
        <v>0</v>
      </c>
      <c r="N337" s="357">
        <f t="shared" si="172"/>
        <v>0</v>
      </c>
      <c r="O337" s="357">
        <f t="shared" si="173"/>
        <v>0</v>
      </c>
      <c r="P337" s="357">
        <f t="shared" si="174"/>
        <v>0</v>
      </c>
      <c r="Q337" s="357">
        <f t="shared" si="175"/>
        <v>0</v>
      </c>
      <c r="R337" s="357">
        <f t="shared" si="176"/>
        <v>0</v>
      </c>
      <c r="S337" s="357">
        <f t="shared" si="177"/>
        <v>0</v>
      </c>
      <c r="T337" s="357">
        <f t="shared" si="178"/>
        <v>0</v>
      </c>
      <c r="U337" s="357">
        <f t="shared" si="179"/>
        <v>0</v>
      </c>
      <c r="V337" s="357">
        <f t="shared" si="180"/>
        <v>0</v>
      </c>
      <c r="W337" s="357">
        <f t="shared" si="181"/>
        <v>0</v>
      </c>
      <c r="X337" s="357">
        <f t="shared" si="182"/>
        <v>0</v>
      </c>
      <c r="Y337" s="357">
        <f t="shared" si="183"/>
        <v>0</v>
      </c>
      <c r="Z337" s="357">
        <f t="shared" si="184"/>
        <v>0</v>
      </c>
      <c r="AA337" s="357">
        <f t="shared" si="185"/>
        <v>0</v>
      </c>
      <c r="AB337" s="357">
        <f t="shared" si="186"/>
        <v>0</v>
      </c>
      <c r="AC337" s="357">
        <f t="shared" si="187"/>
        <v>0</v>
      </c>
      <c r="AD337" s="357">
        <f t="shared" si="188"/>
        <v>0</v>
      </c>
      <c r="AE337" s="357">
        <f t="shared" si="189"/>
        <v>0</v>
      </c>
      <c r="AF337" s="357">
        <f t="shared" si="190"/>
        <v>0</v>
      </c>
      <c r="AG337" s="357">
        <f t="shared" si="191"/>
        <v>0</v>
      </c>
      <c r="AH337" s="357">
        <f t="shared" si="192"/>
        <v>0</v>
      </c>
      <c r="AI337" s="357">
        <f t="shared" si="193"/>
        <v>0</v>
      </c>
      <c r="AJ337" s="357">
        <f t="shared" si="194"/>
        <v>0</v>
      </c>
      <c r="AK337" s="357">
        <f t="shared" si="195"/>
        <v>0</v>
      </c>
      <c r="AL337" s="357">
        <f t="shared" si="196"/>
        <v>0</v>
      </c>
      <c r="AM337" s="357">
        <f t="shared" si="197"/>
        <v>0</v>
      </c>
      <c r="AN337" s="357"/>
      <c r="AP337" s="273">
        <v>26</v>
      </c>
      <c r="AQ337" s="371">
        <v>0</v>
      </c>
      <c r="AR337" s="371">
        <v>0</v>
      </c>
      <c r="AS337" s="371">
        <v>0</v>
      </c>
      <c r="AT337" s="371">
        <v>0</v>
      </c>
      <c r="AU337" s="371">
        <v>0</v>
      </c>
      <c r="AV337" s="371">
        <v>0</v>
      </c>
      <c r="AW337" s="371">
        <v>0</v>
      </c>
      <c r="AX337" s="371">
        <v>0</v>
      </c>
      <c r="AY337" s="371">
        <v>0</v>
      </c>
      <c r="AZ337" s="371">
        <v>0</v>
      </c>
      <c r="BA337" s="371">
        <v>0</v>
      </c>
      <c r="BB337" s="371">
        <v>0</v>
      </c>
      <c r="BC337" s="371">
        <v>0</v>
      </c>
      <c r="BD337" s="371">
        <v>0</v>
      </c>
      <c r="BE337" s="371">
        <v>0.1</v>
      </c>
      <c r="BF337" s="371">
        <v>0.1</v>
      </c>
      <c r="BG337" s="371">
        <v>0.1</v>
      </c>
      <c r="BH337" s="371">
        <v>0.1</v>
      </c>
      <c r="BI337" s="371">
        <v>0.1</v>
      </c>
      <c r="BJ337" s="371">
        <v>0.1</v>
      </c>
      <c r="BK337" s="371">
        <v>0.1</v>
      </c>
      <c r="BL337" s="371">
        <v>0.1</v>
      </c>
      <c r="BM337" s="371">
        <v>0.1</v>
      </c>
      <c r="BN337" s="371">
        <v>0.1</v>
      </c>
      <c r="BO337" s="371">
        <v>0</v>
      </c>
      <c r="BP337" s="371">
        <v>0</v>
      </c>
      <c r="BQ337" s="371">
        <v>0</v>
      </c>
      <c r="BR337" s="371">
        <v>0</v>
      </c>
      <c r="BS337" s="371">
        <v>0</v>
      </c>
      <c r="BT337" s="371">
        <v>0</v>
      </c>
      <c r="BU337" s="371">
        <v>0</v>
      </c>
      <c r="BV337" s="371">
        <v>0</v>
      </c>
      <c r="BW337" s="371">
        <v>0</v>
      </c>
      <c r="BX337" s="371">
        <v>0</v>
      </c>
      <c r="BY337" s="371">
        <v>0</v>
      </c>
    </row>
    <row r="338" spans="2:77" ht="10.15" customHeight="1">
      <c r="B338" s="324" t="s">
        <v>116</v>
      </c>
      <c r="D338" s="357">
        <f t="shared" si="198"/>
        <v>0</v>
      </c>
      <c r="E338" s="357">
        <f t="shared" si="163"/>
        <v>0</v>
      </c>
      <c r="F338" s="357">
        <f t="shared" si="164"/>
        <v>0</v>
      </c>
      <c r="G338" s="357">
        <f t="shared" si="165"/>
        <v>0</v>
      </c>
      <c r="H338" s="357">
        <f t="shared" si="166"/>
        <v>0</v>
      </c>
      <c r="I338" s="357">
        <f t="shared" si="167"/>
        <v>0</v>
      </c>
      <c r="J338" s="357">
        <f t="shared" si="168"/>
        <v>0</v>
      </c>
      <c r="K338" s="357">
        <f t="shared" si="169"/>
        <v>0</v>
      </c>
      <c r="L338" s="357">
        <f t="shared" si="170"/>
        <v>0</v>
      </c>
      <c r="M338" s="357">
        <f t="shared" si="171"/>
        <v>0</v>
      </c>
      <c r="N338" s="357">
        <f t="shared" si="172"/>
        <v>0</v>
      </c>
      <c r="O338" s="357">
        <f t="shared" si="173"/>
        <v>0</v>
      </c>
      <c r="P338" s="357">
        <f t="shared" si="174"/>
        <v>0</v>
      </c>
      <c r="Q338" s="357">
        <f t="shared" si="175"/>
        <v>0</v>
      </c>
      <c r="R338" s="357">
        <f t="shared" si="176"/>
        <v>0</v>
      </c>
      <c r="S338" s="357">
        <f t="shared" si="177"/>
        <v>0</v>
      </c>
      <c r="T338" s="357">
        <f t="shared" si="178"/>
        <v>0</v>
      </c>
      <c r="U338" s="357">
        <f t="shared" si="179"/>
        <v>0</v>
      </c>
      <c r="V338" s="357">
        <f t="shared" si="180"/>
        <v>0</v>
      </c>
      <c r="W338" s="357">
        <f t="shared" si="181"/>
        <v>0</v>
      </c>
      <c r="X338" s="357">
        <f t="shared" si="182"/>
        <v>0</v>
      </c>
      <c r="Y338" s="357">
        <f t="shared" si="183"/>
        <v>0</v>
      </c>
      <c r="Z338" s="357">
        <f t="shared" si="184"/>
        <v>0</v>
      </c>
      <c r="AA338" s="357">
        <f t="shared" si="185"/>
        <v>0</v>
      </c>
      <c r="AB338" s="357">
        <f t="shared" si="186"/>
        <v>0</v>
      </c>
      <c r="AC338" s="357">
        <f t="shared" si="187"/>
        <v>0</v>
      </c>
      <c r="AD338" s="357">
        <f t="shared" si="188"/>
        <v>0</v>
      </c>
      <c r="AE338" s="357">
        <f t="shared" si="189"/>
        <v>0</v>
      </c>
      <c r="AF338" s="357">
        <f t="shared" si="190"/>
        <v>0</v>
      </c>
      <c r="AG338" s="357">
        <f t="shared" si="191"/>
        <v>0</v>
      </c>
      <c r="AH338" s="357">
        <f t="shared" si="192"/>
        <v>0</v>
      </c>
      <c r="AI338" s="357">
        <f t="shared" si="193"/>
        <v>0</v>
      </c>
      <c r="AJ338" s="357">
        <f t="shared" si="194"/>
        <v>0</v>
      </c>
      <c r="AK338" s="357">
        <f t="shared" si="195"/>
        <v>0</v>
      </c>
      <c r="AL338" s="357">
        <f t="shared" si="196"/>
        <v>0</v>
      </c>
      <c r="AM338" s="357">
        <f t="shared" si="197"/>
        <v>0</v>
      </c>
      <c r="AN338" s="357"/>
      <c r="AP338" s="273">
        <v>27</v>
      </c>
      <c r="AQ338" s="371">
        <v>0</v>
      </c>
      <c r="AR338" s="371">
        <v>0</v>
      </c>
      <c r="AS338" s="371">
        <v>0</v>
      </c>
      <c r="AT338" s="371">
        <v>0</v>
      </c>
      <c r="AU338" s="371">
        <v>0</v>
      </c>
      <c r="AV338" s="371">
        <v>0</v>
      </c>
      <c r="AW338" s="371">
        <v>0</v>
      </c>
      <c r="AX338" s="371">
        <v>0</v>
      </c>
      <c r="AY338" s="371">
        <v>0</v>
      </c>
      <c r="AZ338" s="371">
        <v>0</v>
      </c>
      <c r="BA338" s="371">
        <v>0</v>
      </c>
      <c r="BB338" s="371">
        <v>0</v>
      </c>
      <c r="BC338" s="371">
        <v>0</v>
      </c>
      <c r="BD338" s="371">
        <v>0</v>
      </c>
      <c r="BE338" s="371">
        <v>0</v>
      </c>
      <c r="BF338" s="371">
        <v>0.1</v>
      </c>
      <c r="BG338" s="371">
        <v>0.1</v>
      </c>
      <c r="BH338" s="371">
        <v>0.1</v>
      </c>
      <c r="BI338" s="371">
        <v>0.1</v>
      </c>
      <c r="BJ338" s="371">
        <v>0.1</v>
      </c>
      <c r="BK338" s="371">
        <v>0.1</v>
      </c>
      <c r="BL338" s="371">
        <v>0.1</v>
      </c>
      <c r="BM338" s="371">
        <v>0.1</v>
      </c>
      <c r="BN338" s="371">
        <v>0.1</v>
      </c>
      <c r="BO338" s="371">
        <v>0.1</v>
      </c>
      <c r="BP338" s="371">
        <v>0</v>
      </c>
      <c r="BQ338" s="371">
        <v>0</v>
      </c>
      <c r="BR338" s="371">
        <v>0</v>
      </c>
      <c r="BS338" s="371">
        <v>0</v>
      </c>
      <c r="BT338" s="371">
        <v>0</v>
      </c>
      <c r="BU338" s="371">
        <v>0</v>
      </c>
      <c r="BV338" s="371">
        <v>0</v>
      </c>
      <c r="BW338" s="371">
        <v>0</v>
      </c>
      <c r="BX338" s="371">
        <v>0</v>
      </c>
      <c r="BY338" s="371">
        <v>0</v>
      </c>
    </row>
    <row r="339" spans="2:77" ht="10.15" customHeight="1">
      <c r="B339" s="324" t="s">
        <v>117</v>
      </c>
      <c r="D339" s="357">
        <f t="shared" si="198"/>
        <v>0</v>
      </c>
      <c r="E339" s="357">
        <f t="shared" si="163"/>
        <v>0</v>
      </c>
      <c r="F339" s="357">
        <f t="shared" si="164"/>
        <v>0</v>
      </c>
      <c r="G339" s="357">
        <f t="shared" si="165"/>
        <v>0</v>
      </c>
      <c r="H339" s="357">
        <f t="shared" si="166"/>
        <v>0</v>
      </c>
      <c r="I339" s="357">
        <f t="shared" si="167"/>
        <v>0</v>
      </c>
      <c r="J339" s="357">
        <f t="shared" si="168"/>
        <v>0</v>
      </c>
      <c r="K339" s="357">
        <f t="shared" si="169"/>
        <v>0</v>
      </c>
      <c r="L339" s="357">
        <f t="shared" si="170"/>
        <v>0</v>
      </c>
      <c r="M339" s="357">
        <f t="shared" si="171"/>
        <v>0</v>
      </c>
      <c r="N339" s="357">
        <f t="shared" si="172"/>
        <v>0</v>
      </c>
      <c r="O339" s="357">
        <f t="shared" si="173"/>
        <v>0</v>
      </c>
      <c r="P339" s="357">
        <f t="shared" si="174"/>
        <v>0</v>
      </c>
      <c r="Q339" s="357">
        <f t="shared" si="175"/>
        <v>0</v>
      </c>
      <c r="R339" s="357">
        <f t="shared" si="176"/>
        <v>0</v>
      </c>
      <c r="S339" s="357">
        <f t="shared" si="177"/>
        <v>0</v>
      </c>
      <c r="T339" s="357">
        <f t="shared" si="178"/>
        <v>0</v>
      </c>
      <c r="U339" s="357">
        <f t="shared" si="179"/>
        <v>0</v>
      </c>
      <c r="V339" s="357">
        <f t="shared" si="180"/>
        <v>0</v>
      </c>
      <c r="W339" s="357">
        <f t="shared" si="181"/>
        <v>0</v>
      </c>
      <c r="X339" s="357">
        <f t="shared" si="182"/>
        <v>0</v>
      </c>
      <c r="Y339" s="357">
        <f t="shared" si="183"/>
        <v>0</v>
      </c>
      <c r="Z339" s="357">
        <f t="shared" si="184"/>
        <v>0</v>
      </c>
      <c r="AA339" s="357">
        <f t="shared" si="185"/>
        <v>0</v>
      </c>
      <c r="AB339" s="357">
        <f t="shared" si="186"/>
        <v>0</v>
      </c>
      <c r="AC339" s="357">
        <f t="shared" si="187"/>
        <v>0</v>
      </c>
      <c r="AD339" s="357">
        <f t="shared" si="188"/>
        <v>0</v>
      </c>
      <c r="AE339" s="357">
        <f t="shared" si="189"/>
        <v>0</v>
      </c>
      <c r="AF339" s="357">
        <f t="shared" si="190"/>
        <v>0</v>
      </c>
      <c r="AG339" s="357">
        <f t="shared" si="191"/>
        <v>0</v>
      </c>
      <c r="AH339" s="357">
        <f t="shared" si="192"/>
        <v>0</v>
      </c>
      <c r="AI339" s="357">
        <f t="shared" si="193"/>
        <v>0</v>
      </c>
      <c r="AJ339" s="357">
        <f t="shared" si="194"/>
        <v>0</v>
      </c>
      <c r="AK339" s="357">
        <f t="shared" si="195"/>
        <v>0</v>
      </c>
      <c r="AL339" s="357">
        <f t="shared" si="196"/>
        <v>0</v>
      </c>
      <c r="AM339" s="357">
        <f t="shared" si="197"/>
        <v>0</v>
      </c>
      <c r="AN339" s="357"/>
      <c r="AP339" s="273">
        <v>28</v>
      </c>
      <c r="AQ339" s="371">
        <v>0</v>
      </c>
      <c r="AR339" s="371">
        <v>0</v>
      </c>
      <c r="AS339" s="371">
        <v>0</v>
      </c>
      <c r="AT339" s="371">
        <v>0</v>
      </c>
      <c r="AU339" s="371">
        <v>0</v>
      </c>
      <c r="AV339" s="371">
        <v>0</v>
      </c>
      <c r="AW339" s="371">
        <v>0</v>
      </c>
      <c r="AX339" s="371">
        <v>0</v>
      </c>
      <c r="AY339" s="371">
        <v>0</v>
      </c>
      <c r="AZ339" s="371">
        <v>0</v>
      </c>
      <c r="BA339" s="371">
        <v>0</v>
      </c>
      <c r="BB339" s="371">
        <v>0</v>
      </c>
      <c r="BC339" s="371">
        <v>0</v>
      </c>
      <c r="BD339" s="371">
        <v>0</v>
      </c>
      <c r="BE339" s="371">
        <v>0</v>
      </c>
      <c r="BF339" s="371">
        <v>0</v>
      </c>
      <c r="BG339" s="371">
        <v>0.1</v>
      </c>
      <c r="BH339" s="371">
        <v>0.1</v>
      </c>
      <c r="BI339" s="371">
        <v>0.1</v>
      </c>
      <c r="BJ339" s="371">
        <v>0.1</v>
      </c>
      <c r="BK339" s="371">
        <v>0.1</v>
      </c>
      <c r="BL339" s="371">
        <v>0.1</v>
      </c>
      <c r="BM339" s="371">
        <v>0.1</v>
      </c>
      <c r="BN339" s="371">
        <v>0.1</v>
      </c>
      <c r="BO339" s="371">
        <v>0.1</v>
      </c>
      <c r="BP339" s="371">
        <v>0.1</v>
      </c>
      <c r="BQ339" s="371">
        <v>0</v>
      </c>
      <c r="BR339" s="371">
        <v>0</v>
      </c>
      <c r="BS339" s="371">
        <v>0</v>
      </c>
      <c r="BT339" s="371">
        <v>0</v>
      </c>
      <c r="BU339" s="371">
        <v>0</v>
      </c>
      <c r="BV339" s="371">
        <v>0</v>
      </c>
      <c r="BW339" s="371">
        <v>0</v>
      </c>
      <c r="BX339" s="371">
        <v>0</v>
      </c>
      <c r="BY339" s="371">
        <v>0</v>
      </c>
    </row>
    <row r="340" spans="2:77" ht="10.15" customHeight="1">
      <c r="B340" s="324" t="s">
        <v>118</v>
      </c>
      <c r="D340" s="357">
        <f t="shared" si="198"/>
        <v>0</v>
      </c>
      <c r="E340" s="357">
        <f t="shared" si="163"/>
        <v>0</v>
      </c>
      <c r="F340" s="357">
        <f t="shared" si="164"/>
        <v>0</v>
      </c>
      <c r="G340" s="357">
        <f t="shared" si="165"/>
        <v>0</v>
      </c>
      <c r="H340" s="357">
        <f t="shared" si="166"/>
        <v>0</v>
      </c>
      <c r="I340" s="357">
        <f t="shared" si="167"/>
        <v>0</v>
      </c>
      <c r="J340" s="357">
        <f t="shared" si="168"/>
        <v>0</v>
      </c>
      <c r="K340" s="357">
        <f t="shared" si="169"/>
        <v>0</v>
      </c>
      <c r="L340" s="357">
        <f t="shared" si="170"/>
        <v>0</v>
      </c>
      <c r="M340" s="357">
        <f t="shared" si="171"/>
        <v>0</v>
      </c>
      <c r="N340" s="357">
        <f t="shared" si="172"/>
        <v>0</v>
      </c>
      <c r="O340" s="357">
        <f t="shared" si="173"/>
        <v>0</v>
      </c>
      <c r="P340" s="357">
        <f t="shared" si="174"/>
        <v>0</v>
      </c>
      <c r="Q340" s="357">
        <f t="shared" si="175"/>
        <v>0</v>
      </c>
      <c r="R340" s="357">
        <f t="shared" si="176"/>
        <v>0</v>
      </c>
      <c r="S340" s="357">
        <f t="shared" si="177"/>
        <v>0</v>
      </c>
      <c r="T340" s="357">
        <f t="shared" si="178"/>
        <v>0</v>
      </c>
      <c r="U340" s="357">
        <f t="shared" si="179"/>
        <v>0</v>
      </c>
      <c r="V340" s="357">
        <f t="shared" si="180"/>
        <v>0</v>
      </c>
      <c r="W340" s="357">
        <f t="shared" si="181"/>
        <v>0</v>
      </c>
      <c r="X340" s="357">
        <f t="shared" si="182"/>
        <v>0</v>
      </c>
      <c r="Y340" s="357">
        <f t="shared" si="183"/>
        <v>0</v>
      </c>
      <c r="Z340" s="357">
        <f t="shared" si="184"/>
        <v>0</v>
      </c>
      <c r="AA340" s="357">
        <f t="shared" si="185"/>
        <v>0</v>
      </c>
      <c r="AB340" s="357">
        <f t="shared" si="186"/>
        <v>0</v>
      </c>
      <c r="AC340" s="357">
        <f t="shared" si="187"/>
        <v>0</v>
      </c>
      <c r="AD340" s="357">
        <f t="shared" si="188"/>
        <v>0</v>
      </c>
      <c r="AE340" s="357">
        <f t="shared" si="189"/>
        <v>0</v>
      </c>
      <c r="AF340" s="357">
        <f t="shared" si="190"/>
        <v>0</v>
      </c>
      <c r="AG340" s="357">
        <f t="shared" si="191"/>
        <v>0</v>
      </c>
      <c r="AH340" s="357">
        <f t="shared" si="192"/>
        <v>0</v>
      </c>
      <c r="AI340" s="357">
        <f t="shared" si="193"/>
        <v>0</v>
      </c>
      <c r="AJ340" s="357">
        <f t="shared" si="194"/>
        <v>0</v>
      </c>
      <c r="AK340" s="357">
        <f t="shared" si="195"/>
        <v>0</v>
      </c>
      <c r="AL340" s="357">
        <f t="shared" si="196"/>
        <v>0</v>
      </c>
      <c r="AM340" s="357">
        <f t="shared" si="197"/>
        <v>0</v>
      </c>
      <c r="AN340" s="357"/>
      <c r="AP340" s="273">
        <v>29</v>
      </c>
      <c r="AQ340" s="371">
        <v>0</v>
      </c>
      <c r="AR340" s="371">
        <v>0</v>
      </c>
      <c r="AS340" s="371">
        <v>0</v>
      </c>
      <c r="AT340" s="371">
        <v>0</v>
      </c>
      <c r="AU340" s="371">
        <v>0</v>
      </c>
      <c r="AV340" s="371">
        <v>0</v>
      </c>
      <c r="AW340" s="371">
        <v>0</v>
      </c>
      <c r="AX340" s="371">
        <v>0</v>
      </c>
      <c r="AY340" s="371">
        <v>0</v>
      </c>
      <c r="AZ340" s="371">
        <v>0</v>
      </c>
      <c r="BA340" s="371">
        <v>0</v>
      </c>
      <c r="BB340" s="371">
        <v>0</v>
      </c>
      <c r="BC340" s="371">
        <v>0</v>
      </c>
      <c r="BD340" s="371">
        <v>0</v>
      </c>
      <c r="BE340" s="371">
        <v>0</v>
      </c>
      <c r="BF340" s="371">
        <v>0</v>
      </c>
      <c r="BG340" s="371">
        <v>0</v>
      </c>
      <c r="BH340" s="371">
        <v>0.1</v>
      </c>
      <c r="BI340" s="371">
        <v>0.1</v>
      </c>
      <c r="BJ340" s="371">
        <v>0.1</v>
      </c>
      <c r="BK340" s="371">
        <v>0.1</v>
      </c>
      <c r="BL340" s="371">
        <v>0.1</v>
      </c>
      <c r="BM340" s="371">
        <v>0.1</v>
      </c>
      <c r="BN340" s="371">
        <v>0.1</v>
      </c>
      <c r="BO340" s="371">
        <v>0.1</v>
      </c>
      <c r="BP340" s="371">
        <v>0.1</v>
      </c>
      <c r="BQ340" s="371">
        <v>0.1</v>
      </c>
      <c r="BR340" s="371">
        <v>0</v>
      </c>
      <c r="BS340" s="371">
        <v>0</v>
      </c>
      <c r="BT340" s="371">
        <v>0</v>
      </c>
      <c r="BU340" s="371">
        <v>0</v>
      </c>
      <c r="BV340" s="371">
        <v>0</v>
      </c>
      <c r="BW340" s="371">
        <v>0</v>
      </c>
      <c r="BX340" s="371">
        <v>0</v>
      </c>
      <c r="BY340" s="371">
        <v>0</v>
      </c>
    </row>
    <row r="341" spans="2:77" ht="10.15" customHeight="1">
      <c r="B341" s="324" t="s">
        <v>119</v>
      </c>
      <c r="D341" s="357">
        <f t="shared" si="198"/>
        <v>0</v>
      </c>
      <c r="E341" s="357">
        <f t="shared" si="163"/>
        <v>0</v>
      </c>
      <c r="F341" s="357">
        <f t="shared" si="164"/>
        <v>0</v>
      </c>
      <c r="G341" s="357">
        <f t="shared" si="165"/>
        <v>0</v>
      </c>
      <c r="H341" s="357">
        <f t="shared" si="166"/>
        <v>0</v>
      </c>
      <c r="I341" s="357">
        <f t="shared" si="167"/>
        <v>0</v>
      </c>
      <c r="J341" s="357">
        <f t="shared" si="168"/>
        <v>0</v>
      </c>
      <c r="K341" s="357">
        <f t="shared" si="169"/>
        <v>0</v>
      </c>
      <c r="L341" s="357">
        <f t="shared" si="170"/>
        <v>0</v>
      </c>
      <c r="M341" s="357">
        <f t="shared" si="171"/>
        <v>0</v>
      </c>
      <c r="N341" s="357">
        <f t="shared" si="172"/>
        <v>0</v>
      </c>
      <c r="O341" s="357">
        <f t="shared" si="173"/>
        <v>0</v>
      </c>
      <c r="P341" s="357">
        <f t="shared" si="174"/>
        <v>0</v>
      </c>
      <c r="Q341" s="357">
        <f t="shared" si="175"/>
        <v>0</v>
      </c>
      <c r="R341" s="357">
        <f t="shared" si="176"/>
        <v>0</v>
      </c>
      <c r="S341" s="357">
        <f t="shared" si="177"/>
        <v>0</v>
      </c>
      <c r="T341" s="357">
        <f t="shared" si="178"/>
        <v>0</v>
      </c>
      <c r="U341" s="357">
        <f t="shared" si="179"/>
        <v>0</v>
      </c>
      <c r="V341" s="357">
        <f t="shared" si="180"/>
        <v>0</v>
      </c>
      <c r="W341" s="357">
        <f t="shared" si="181"/>
        <v>0</v>
      </c>
      <c r="X341" s="357">
        <f t="shared" si="182"/>
        <v>0</v>
      </c>
      <c r="Y341" s="357">
        <f t="shared" si="183"/>
        <v>0</v>
      </c>
      <c r="Z341" s="357">
        <f t="shared" si="184"/>
        <v>0</v>
      </c>
      <c r="AA341" s="357">
        <f t="shared" si="185"/>
        <v>0</v>
      </c>
      <c r="AB341" s="357">
        <f t="shared" si="186"/>
        <v>0</v>
      </c>
      <c r="AC341" s="357">
        <f t="shared" si="187"/>
        <v>0</v>
      </c>
      <c r="AD341" s="357">
        <f t="shared" si="188"/>
        <v>0</v>
      </c>
      <c r="AE341" s="357">
        <f t="shared" si="189"/>
        <v>0</v>
      </c>
      <c r="AF341" s="357">
        <f t="shared" si="190"/>
        <v>0</v>
      </c>
      <c r="AG341" s="357">
        <f t="shared" si="191"/>
        <v>0</v>
      </c>
      <c r="AH341" s="357">
        <f t="shared" si="192"/>
        <v>0</v>
      </c>
      <c r="AI341" s="357">
        <f t="shared" si="193"/>
        <v>0</v>
      </c>
      <c r="AJ341" s="357">
        <f t="shared" si="194"/>
        <v>0</v>
      </c>
      <c r="AK341" s="357">
        <f t="shared" si="195"/>
        <v>0</v>
      </c>
      <c r="AL341" s="357">
        <f t="shared" si="196"/>
        <v>0</v>
      </c>
      <c r="AM341" s="357">
        <f t="shared" si="197"/>
        <v>0</v>
      </c>
      <c r="AN341" s="357"/>
      <c r="AP341" s="273">
        <v>30</v>
      </c>
      <c r="AQ341" s="371">
        <v>0</v>
      </c>
      <c r="AR341" s="371">
        <v>0</v>
      </c>
      <c r="AS341" s="371">
        <v>0</v>
      </c>
      <c r="AT341" s="371">
        <v>0</v>
      </c>
      <c r="AU341" s="371">
        <v>0</v>
      </c>
      <c r="AV341" s="371">
        <v>0</v>
      </c>
      <c r="AW341" s="371">
        <v>0</v>
      </c>
      <c r="AX341" s="371">
        <v>0</v>
      </c>
      <c r="AY341" s="371">
        <v>0</v>
      </c>
      <c r="AZ341" s="371">
        <v>0</v>
      </c>
      <c r="BA341" s="371">
        <v>0</v>
      </c>
      <c r="BB341" s="371">
        <v>0</v>
      </c>
      <c r="BC341" s="371">
        <v>0</v>
      </c>
      <c r="BD341" s="371">
        <v>0</v>
      </c>
      <c r="BE341" s="371">
        <v>0</v>
      </c>
      <c r="BF341" s="371">
        <v>0</v>
      </c>
      <c r="BG341" s="371">
        <v>0</v>
      </c>
      <c r="BH341" s="371">
        <v>0</v>
      </c>
      <c r="BI341" s="371">
        <v>0.1</v>
      </c>
      <c r="BJ341" s="371">
        <v>0.1</v>
      </c>
      <c r="BK341" s="371">
        <v>0.1</v>
      </c>
      <c r="BL341" s="371">
        <v>0.1</v>
      </c>
      <c r="BM341" s="371">
        <v>0.1</v>
      </c>
      <c r="BN341" s="371">
        <v>0.1</v>
      </c>
      <c r="BO341" s="371">
        <v>0.1</v>
      </c>
      <c r="BP341" s="371">
        <v>0.1</v>
      </c>
      <c r="BQ341" s="371">
        <v>0.1</v>
      </c>
      <c r="BR341" s="371">
        <v>0.1</v>
      </c>
      <c r="BS341" s="371">
        <v>0</v>
      </c>
      <c r="BT341" s="371">
        <v>0</v>
      </c>
      <c r="BU341" s="371">
        <v>0</v>
      </c>
      <c r="BV341" s="371">
        <v>0</v>
      </c>
      <c r="BW341" s="371">
        <v>0</v>
      </c>
      <c r="BX341" s="371">
        <v>0</v>
      </c>
      <c r="BY341" s="371">
        <v>0</v>
      </c>
    </row>
    <row r="342" spans="2:77" ht="10.15" customHeight="1">
      <c r="B342" s="324" t="s">
        <v>120</v>
      </c>
      <c r="D342" s="357">
        <f t="shared" si="198"/>
        <v>0</v>
      </c>
      <c r="E342" s="357">
        <f t="shared" si="163"/>
        <v>0</v>
      </c>
      <c r="F342" s="357">
        <f t="shared" si="164"/>
        <v>0</v>
      </c>
      <c r="G342" s="357">
        <f t="shared" si="165"/>
        <v>0</v>
      </c>
      <c r="H342" s="357">
        <f t="shared" si="166"/>
        <v>0</v>
      </c>
      <c r="I342" s="357">
        <f t="shared" si="167"/>
        <v>0</v>
      </c>
      <c r="J342" s="357">
        <f t="shared" si="168"/>
        <v>0</v>
      </c>
      <c r="K342" s="357">
        <f t="shared" si="169"/>
        <v>0</v>
      </c>
      <c r="L342" s="357">
        <f t="shared" si="170"/>
        <v>0</v>
      </c>
      <c r="M342" s="357">
        <f t="shared" si="171"/>
        <v>0</v>
      </c>
      <c r="N342" s="357">
        <f t="shared" si="172"/>
        <v>0</v>
      </c>
      <c r="O342" s="357">
        <f t="shared" si="173"/>
        <v>0</v>
      </c>
      <c r="P342" s="357">
        <f t="shared" si="174"/>
        <v>0</v>
      </c>
      <c r="Q342" s="357">
        <f t="shared" si="175"/>
        <v>0</v>
      </c>
      <c r="R342" s="357">
        <f t="shared" si="176"/>
        <v>0</v>
      </c>
      <c r="S342" s="357">
        <f t="shared" si="177"/>
        <v>0</v>
      </c>
      <c r="T342" s="357">
        <f t="shared" si="178"/>
        <v>0</v>
      </c>
      <c r="U342" s="357">
        <f t="shared" si="179"/>
        <v>0</v>
      </c>
      <c r="V342" s="357">
        <f t="shared" si="180"/>
        <v>0</v>
      </c>
      <c r="W342" s="357">
        <f t="shared" si="181"/>
        <v>0</v>
      </c>
      <c r="X342" s="357">
        <f t="shared" si="182"/>
        <v>0</v>
      </c>
      <c r="Y342" s="357">
        <f t="shared" si="183"/>
        <v>0</v>
      </c>
      <c r="Z342" s="357">
        <f t="shared" si="184"/>
        <v>0</v>
      </c>
      <c r="AA342" s="357">
        <f t="shared" si="185"/>
        <v>0</v>
      </c>
      <c r="AB342" s="357">
        <f t="shared" si="186"/>
        <v>0</v>
      </c>
      <c r="AC342" s="357">
        <f t="shared" si="187"/>
        <v>0</v>
      </c>
      <c r="AD342" s="357">
        <f t="shared" si="188"/>
        <v>0</v>
      </c>
      <c r="AE342" s="357">
        <f t="shared" si="189"/>
        <v>0</v>
      </c>
      <c r="AF342" s="357">
        <f t="shared" si="190"/>
        <v>0</v>
      </c>
      <c r="AG342" s="357">
        <f t="shared" si="191"/>
        <v>0</v>
      </c>
      <c r="AH342" s="357">
        <f t="shared" si="192"/>
        <v>0</v>
      </c>
      <c r="AI342" s="357">
        <f t="shared" si="193"/>
        <v>0</v>
      </c>
      <c r="AJ342" s="357">
        <f t="shared" si="194"/>
        <v>0</v>
      </c>
      <c r="AK342" s="357">
        <f t="shared" si="195"/>
        <v>0</v>
      </c>
      <c r="AL342" s="357">
        <f t="shared" si="196"/>
        <v>0</v>
      </c>
      <c r="AM342" s="357">
        <f t="shared" si="197"/>
        <v>0</v>
      </c>
      <c r="AN342" s="357"/>
      <c r="AP342" s="273">
        <v>31</v>
      </c>
      <c r="AQ342" s="371">
        <v>0</v>
      </c>
      <c r="AR342" s="371">
        <v>0</v>
      </c>
      <c r="AS342" s="371">
        <v>0</v>
      </c>
      <c r="AT342" s="371">
        <v>0</v>
      </c>
      <c r="AU342" s="371">
        <v>0</v>
      </c>
      <c r="AV342" s="371">
        <v>0</v>
      </c>
      <c r="AW342" s="371">
        <v>0</v>
      </c>
      <c r="AX342" s="371">
        <v>0</v>
      </c>
      <c r="AY342" s="371">
        <v>0</v>
      </c>
      <c r="AZ342" s="371">
        <v>0</v>
      </c>
      <c r="BA342" s="371">
        <v>0</v>
      </c>
      <c r="BB342" s="371">
        <v>0</v>
      </c>
      <c r="BC342" s="371">
        <v>0</v>
      </c>
      <c r="BD342" s="371">
        <v>0</v>
      </c>
      <c r="BE342" s="371">
        <v>0</v>
      </c>
      <c r="BF342" s="371">
        <v>0</v>
      </c>
      <c r="BG342" s="371">
        <v>0</v>
      </c>
      <c r="BH342" s="371">
        <v>0</v>
      </c>
      <c r="BI342" s="371">
        <v>0</v>
      </c>
      <c r="BJ342" s="371">
        <v>0.1</v>
      </c>
      <c r="BK342" s="371">
        <v>0.1</v>
      </c>
      <c r="BL342" s="371">
        <v>0.1</v>
      </c>
      <c r="BM342" s="371">
        <v>0.1</v>
      </c>
      <c r="BN342" s="371">
        <v>0.1</v>
      </c>
      <c r="BO342" s="371">
        <v>0.1</v>
      </c>
      <c r="BP342" s="371">
        <v>0.1</v>
      </c>
      <c r="BQ342" s="371">
        <v>0.1</v>
      </c>
      <c r="BR342" s="371">
        <v>0.1</v>
      </c>
      <c r="BS342" s="371">
        <v>0.1</v>
      </c>
      <c r="BT342" s="371">
        <v>0</v>
      </c>
      <c r="BU342" s="371">
        <v>0</v>
      </c>
      <c r="BV342" s="371">
        <v>0</v>
      </c>
      <c r="BW342" s="371">
        <v>0</v>
      </c>
      <c r="BX342" s="371">
        <v>0</v>
      </c>
      <c r="BY342" s="371">
        <v>0</v>
      </c>
    </row>
    <row r="343" spans="2:77" ht="10.15" customHeight="1">
      <c r="B343" s="324" t="s">
        <v>121</v>
      </c>
      <c r="D343" s="357">
        <f t="shared" si="198"/>
        <v>0</v>
      </c>
      <c r="E343" s="357">
        <f t="shared" si="163"/>
        <v>0</v>
      </c>
      <c r="F343" s="357">
        <f t="shared" si="164"/>
        <v>0</v>
      </c>
      <c r="G343" s="357">
        <f t="shared" si="165"/>
        <v>0</v>
      </c>
      <c r="H343" s="357">
        <f t="shared" si="166"/>
        <v>0</v>
      </c>
      <c r="I343" s="357">
        <f t="shared" si="167"/>
        <v>0</v>
      </c>
      <c r="J343" s="357">
        <f t="shared" si="168"/>
        <v>0</v>
      </c>
      <c r="K343" s="357">
        <f t="shared" si="169"/>
        <v>0</v>
      </c>
      <c r="L343" s="357">
        <f t="shared" si="170"/>
        <v>0</v>
      </c>
      <c r="M343" s="357">
        <f t="shared" si="171"/>
        <v>0</v>
      </c>
      <c r="N343" s="357">
        <f t="shared" si="172"/>
        <v>0</v>
      </c>
      <c r="O343" s="357">
        <f t="shared" si="173"/>
        <v>0</v>
      </c>
      <c r="P343" s="357">
        <f t="shared" si="174"/>
        <v>0</v>
      </c>
      <c r="Q343" s="357">
        <f t="shared" si="175"/>
        <v>0</v>
      </c>
      <c r="R343" s="357">
        <f t="shared" si="176"/>
        <v>0</v>
      </c>
      <c r="S343" s="357">
        <f t="shared" si="177"/>
        <v>0</v>
      </c>
      <c r="T343" s="357">
        <f t="shared" si="178"/>
        <v>0</v>
      </c>
      <c r="U343" s="357">
        <f t="shared" si="179"/>
        <v>0</v>
      </c>
      <c r="V343" s="357">
        <f t="shared" si="180"/>
        <v>0</v>
      </c>
      <c r="W343" s="357">
        <f t="shared" si="181"/>
        <v>0</v>
      </c>
      <c r="X343" s="357">
        <f t="shared" si="182"/>
        <v>0</v>
      </c>
      <c r="Y343" s="357">
        <f t="shared" si="183"/>
        <v>0</v>
      </c>
      <c r="Z343" s="357">
        <f t="shared" si="184"/>
        <v>0</v>
      </c>
      <c r="AA343" s="357">
        <f t="shared" si="185"/>
        <v>0</v>
      </c>
      <c r="AB343" s="357">
        <f t="shared" si="186"/>
        <v>0</v>
      </c>
      <c r="AC343" s="357">
        <f t="shared" si="187"/>
        <v>0</v>
      </c>
      <c r="AD343" s="357">
        <f t="shared" si="188"/>
        <v>0</v>
      </c>
      <c r="AE343" s="357">
        <f t="shared" si="189"/>
        <v>0</v>
      </c>
      <c r="AF343" s="357">
        <f t="shared" si="190"/>
        <v>0</v>
      </c>
      <c r="AG343" s="357">
        <f t="shared" si="191"/>
        <v>0</v>
      </c>
      <c r="AH343" s="357">
        <f t="shared" si="192"/>
        <v>0</v>
      </c>
      <c r="AI343" s="357">
        <f t="shared" si="193"/>
        <v>0</v>
      </c>
      <c r="AJ343" s="357">
        <f t="shared" si="194"/>
        <v>0</v>
      </c>
      <c r="AK343" s="357">
        <f t="shared" si="195"/>
        <v>0</v>
      </c>
      <c r="AL343" s="357">
        <f t="shared" si="196"/>
        <v>0</v>
      </c>
      <c r="AM343" s="357">
        <f t="shared" si="197"/>
        <v>0</v>
      </c>
      <c r="AN343" s="357"/>
      <c r="AP343" s="273">
        <v>32</v>
      </c>
      <c r="AQ343" s="371">
        <v>0</v>
      </c>
      <c r="AR343" s="371">
        <v>0</v>
      </c>
      <c r="AS343" s="371">
        <v>0</v>
      </c>
      <c r="AT343" s="371">
        <v>0</v>
      </c>
      <c r="AU343" s="371">
        <v>0</v>
      </c>
      <c r="AV343" s="371">
        <v>0</v>
      </c>
      <c r="AW343" s="371">
        <v>0</v>
      </c>
      <c r="AX343" s="371">
        <v>0</v>
      </c>
      <c r="AY343" s="371">
        <v>0</v>
      </c>
      <c r="AZ343" s="371">
        <v>0</v>
      </c>
      <c r="BA343" s="371">
        <v>0</v>
      </c>
      <c r="BB343" s="371">
        <v>0</v>
      </c>
      <c r="BC343" s="371">
        <v>0</v>
      </c>
      <c r="BD343" s="371">
        <v>0</v>
      </c>
      <c r="BE343" s="371">
        <v>0</v>
      </c>
      <c r="BF343" s="371">
        <v>0</v>
      </c>
      <c r="BG343" s="371">
        <v>0</v>
      </c>
      <c r="BH343" s="371">
        <v>0</v>
      </c>
      <c r="BI343" s="371">
        <v>0</v>
      </c>
      <c r="BJ343" s="371">
        <v>0</v>
      </c>
      <c r="BK343" s="371">
        <v>0.1</v>
      </c>
      <c r="BL343" s="371">
        <v>0.1</v>
      </c>
      <c r="BM343" s="371">
        <v>0.1</v>
      </c>
      <c r="BN343" s="371">
        <v>0.1</v>
      </c>
      <c r="BO343" s="371">
        <v>0.1</v>
      </c>
      <c r="BP343" s="371">
        <v>0.1</v>
      </c>
      <c r="BQ343" s="371">
        <v>0.1</v>
      </c>
      <c r="BR343" s="371">
        <v>0.1</v>
      </c>
      <c r="BS343" s="371">
        <v>0.1</v>
      </c>
      <c r="BT343" s="371">
        <v>0.1</v>
      </c>
      <c r="BU343" s="371">
        <v>0</v>
      </c>
      <c r="BV343" s="371">
        <v>0</v>
      </c>
      <c r="BW343" s="371">
        <v>0</v>
      </c>
      <c r="BX343" s="371">
        <v>0</v>
      </c>
      <c r="BY343" s="371">
        <v>0</v>
      </c>
    </row>
    <row r="344" spans="2:77" ht="10.15" customHeight="1">
      <c r="B344" s="324" t="s">
        <v>122</v>
      </c>
      <c r="D344" s="357">
        <f t="shared" si="198"/>
        <v>0</v>
      </c>
      <c r="E344" s="357">
        <f t="shared" si="163"/>
        <v>0</v>
      </c>
      <c r="F344" s="357">
        <f t="shared" si="164"/>
        <v>0</v>
      </c>
      <c r="G344" s="357">
        <f t="shared" si="165"/>
        <v>0</v>
      </c>
      <c r="H344" s="357">
        <f t="shared" si="166"/>
        <v>0</v>
      </c>
      <c r="I344" s="357">
        <f t="shared" si="167"/>
        <v>0</v>
      </c>
      <c r="J344" s="357">
        <f t="shared" si="168"/>
        <v>0</v>
      </c>
      <c r="K344" s="357">
        <f t="shared" si="169"/>
        <v>0</v>
      </c>
      <c r="L344" s="357">
        <f t="shared" si="170"/>
        <v>0</v>
      </c>
      <c r="M344" s="357">
        <f t="shared" si="171"/>
        <v>0</v>
      </c>
      <c r="N344" s="357">
        <f t="shared" si="172"/>
        <v>0</v>
      </c>
      <c r="O344" s="357">
        <f t="shared" si="173"/>
        <v>0</v>
      </c>
      <c r="P344" s="357">
        <f t="shared" si="174"/>
        <v>0</v>
      </c>
      <c r="Q344" s="357">
        <f t="shared" si="175"/>
        <v>0</v>
      </c>
      <c r="R344" s="357">
        <f t="shared" si="176"/>
        <v>0</v>
      </c>
      <c r="S344" s="357">
        <f t="shared" si="177"/>
        <v>0</v>
      </c>
      <c r="T344" s="357">
        <f t="shared" si="178"/>
        <v>0</v>
      </c>
      <c r="U344" s="357">
        <f t="shared" si="179"/>
        <v>0</v>
      </c>
      <c r="V344" s="357">
        <f t="shared" si="180"/>
        <v>0</v>
      </c>
      <c r="W344" s="357">
        <f t="shared" si="181"/>
        <v>0</v>
      </c>
      <c r="X344" s="357">
        <f t="shared" si="182"/>
        <v>0</v>
      </c>
      <c r="Y344" s="357">
        <f t="shared" si="183"/>
        <v>0</v>
      </c>
      <c r="Z344" s="357">
        <f t="shared" si="184"/>
        <v>0</v>
      </c>
      <c r="AA344" s="357">
        <f t="shared" si="185"/>
        <v>0</v>
      </c>
      <c r="AB344" s="357">
        <f t="shared" si="186"/>
        <v>0</v>
      </c>
      <c r="AC344" s="357">
        <f t="shared" si="187"/>
        <v>0</v>
      </c>
      <c r="AD344" s="357">
        <f t="shared" si="188"/>
        <v>0</v>
      </c>
      <c r="AE344" s="357">
        <f t="shared" si="189"/>
        <v>0</v>
      </c>
      <c r="AF344" s="357">
        <f t="shared" si="190"/>
        <v>0</v>
      </c>
      <c r="AG344" s="357">
        <f t="shared" si="191"/>
        <v>0</v>
      </c>
      <c r="AH344" s="357">
        <f t="shared" si="192"/>
        <v>0</v>
      </c>
      <c r="AI344" s="357">
        <f t="shared" si="193"/>
        <v>0</v>
      </c>
      <c r="AJ344" s="357">
        <f t="shared" si="194"/>
        <v>0</v>
      </c>
      <c r="AK344" s="357">
        <f t="shared" si="195"/>
        <v>0</v>
      </c>
      <c r="AL344" s="357">
        <f t="shared" si="196"/>
        <v>0</v>
      </c>
      <c r="AM344" s="357">
        <f t="shared" si="197"/>
        <v>0</v>
      </c>
      <c r="AN344" s="357"/>
      <c r="AP344" s="273">
        <v>33</v>
      </c>
      <c r="AQ344" s="371">
        <v>0</v>
      </c>
      <c r="AR344" s="371">
        <v>0</v>
      </c>
      <c r="AS344" s="371">
        <v>0</v>
      </c>
      <c r="AT344" s="371">
        <v>0</v>
      </c>
      <c r="AU344" s="371">
        <v>0</v>
      </c>
      <c r="AV344" s="371">
        <v>0</v>
      </c>
      <c r="AW344" s="371">
        <v>0</v>
      </c>
      <c r="AX344" s="371">
        <v>0</v>
      </c>
      <c r="AY344" s="371">
        <v>0</v>
      </c>
      <c r="AZ344" s="371">
        <v>0</v>
      </c>
      <c r="BA344" s="371">
        <v>0</v>
      </c>
      <c r="BB344" s="371">
        <v>0</v>
      </c>
      <c r="BC344" s="371">
        <v>0</v>
      </c>
      <c r="BD344" s="371">
        <v>0</v>
      </c>
      <c r="BE344" s="371">
        <v>0</v>
      </c>
      <c r="BF344" s="371">
        <v>0</v>
      </c>
      <c r="BG344" s="371">
        <v>0</v>
      </c>
      <c r="BH344" s="371">
        <v>0</v>
      </c>
      <c r="BI344" s="371">
        <v>0</v>
      </c>
      <c r="BJ344" s="371">
        <v>0</v>
      </c>
      <c r="BK344" s="371">
        <v>0</v>
      </c>
      <c r="BL344" s="371">
        <v>0.1</v>
      </c>
      <c r="BM344" s="371">
        <v>0.1</v>
      </c>
      <c r="BN344" s="371">
        <v>0.1</v>
      </c>
      <c r="BO344" s="371">
        <v>0.1</v>
      </c>
      <c r="BP344" s="371">
        <v>0.1</v>
      </c>
      <c r="BQ344" s="371">
        <v>0.1</v>
      </c>
      <c r="BR344" s="371">
        <v>0.1</v>
      </c>
      <c r="BS344" s="371">
        <v>0.1</v>
      </c>
      <c r="BT344" s="371">
        <v>0.1</v>
      </c>
      <c r="BU344" s="371">
        <v>0.1</v>
      </c>
      <c r="BV344" s="371">
        <v>0</v>
      </c>
      <c r="BW344" s="371">
        <v>0</v>
      </c>
      <c r="BX344" s="371">
        <v>0</v>
      </c>
      <c r="BY344" s="371">
        <v>0</v>
      </c>
    </row>
    <row r="345" spans="2:77" ht="10.15" customHeight="1">
      <c r="B345" s="324" t="s">
        <v>123</v>
      </c>
      <c r="D345" s="357">
        <f t="shared" si="198"/>
        <v>0</v>
      </c>
      <c r="E345" s="357">
        <f t="shared" si="163"/>
        <v>0</v>
      </c>
      <c r="F345" s="357">
        <f t="shared" si="164"/>
        <v>0</v>
      </c>
      <c r="G345" s="357">
        <f t="shared" si="165"/>
        <v>0</v>
      </c>
      <c r="H345" s="357">
        <f t="shared" si="166"/>
        <v>0</v>
      </c>
      <c r="I345" s="357">
        <f t="shared" si="167"/>
        <v>0</v>
      </c>
      <c r="J345" s="357">
        <f t="shared" si="168"/>
        <v>0</v>
      </c>
      <c r="K345" s="357">
        <f t="shared" si="169"/>
        <v>0</v>
      </c>
      <c r="L345" s="357">
        <f t="shared" si="170"/>
        <v>0</v>
      </c>
      <c r="M345" s="357">
        <f t="shared" si="171"/>
        <v>0</v>
      </c>
      <c r="N345" s="357">
        <f t="shared" si="172"/>
        <v>0</v>
      </c>
      <c r="O345" s="357">
        <f t="shared" si="173"/>
        <v>0</v>
      </c>
      <c r="P345" s="357">
        <f t="shared" si="174"/>
        <v>0</v>
      </c>
      <c r="Q345" s="357">
        <f t="shared" si="175"/>
        <v>0</v>
      </c>
      <c r="R345" s="357">
        <f t="shared" si="176"/>
        <v>0</v>
      </c>
      <c r="S345" s="357">
        <f t="shared" si="177"/>
        <v>0</v>
      </c>
      <c r="T345" s="357">
        <f t="shared" si="178"/>
        <v>0</v>
      </c>
      <c r="U345" s="357">
        <f t="shared" si="179"/>
        <v>0</v>
      </c>
      <c r="V345" s="357">
        <f t="shared" si="180"/>
        <v>0</v>
      </c>
      <c r="W345" s="357">
        <f t="shared" si="181"/>
        <v>0</v>
      </c>
      <c r="X345" s="357">
        <f t="shared" si="182"/>
        <v>0</v>
      </c>
      <c r="Y345" s="357">
        <f t="shared" si="183"/>
        <v>0</v>
      </c>
      <c r="Z345" s="357">
        <f t="shared" si="184"/>
        <v>0</v>
      </c>
      <c r="AA345" s="357">
        <f t="shared" si="185"/>
        <v>0</v>
      </c>
      <c r="AB345" s="357">
        <f t="shared" si="186"/>
        <v>0</v>
      </c>
      <c r="AC345" s="357">
        <f t="shared" si="187"/>
        <v>0</v>
      </c>
      <c r="AD345" s="357">
        <f t="shared" si="188"/>
        <v>0</v>
      </c>
      <c r="AE345" s="357">
        <f t="shared" si="189"/>
        <v>0</v>
      </c>
      <c r="AF345" s="357">
        <f t="shared" si="190"/>
        <v>0</v>
      </c>
      <c r="AG345" s="357">
        <f t="shared" si="191"/>
        <v>0</v>
      </c>
      <c r="AH345" s="357">
        <f t="shared" si="192"/>
        <v>0</v>
      </c>
      <c r="AI345" s="357">
        <f t="shared" si="193"/>
        <v>0</v>
      </c>
      <c r="AJ345" s="357">
        <f t="shared" si="194"/>
        <v>0</v>
      </c>
      <c r="AK345" s="357">
        <f t="shared" si="195"/>
        <v>0</v>
      </c>
      <c r="AL345" s="357">
        <f t="shared" si="196"/>
        <v>0</v>
      </c>
      <c r="AM345" s="357">
        <f t="shared" si="197"/>
        <v>0</v>
      </c>
      <c r="AN345" s="357"/>
      <c r="AP345" s="273">
        <v>34</v>
      </c>
      <c r="AQ345" s="371">
        <v>0</v>
      </c>
      <c r="AR345" s="371">
        <v>0</v>
      </c>
      <c r="AS345" s="371">
        <v>0</v>
      </c>
      <c r="AT345" s="371">
        <v>0</v>
      </c>
      <c r="AU345" s="371">
        <v>0</v>
      </c>
      <c r="AV345" s="371">
        <v>0</v>
      </c>
      <c r="AW345" s="371">
        <v>0</v>
      </c>
      <c r="AX345" s="371">
        <v>0</v>
      </c>
      <c r="AY345" s="371">
        <v>0</v>
      </c>
      <c r="AZ345" s="371">
        <v>0</v>
      </c>
      <c r="BA345" s="371">
        <v>0</v>
      </c>
      <c r="BB345" s="371">
        <v>0</v>
      </c>
      <c r="BC345" s="371">
        <v>0</v>
      </c>
      <c r="BD345" s="371">
        <v>0</v>
      </c>
      <c r="BE345" s="371">
        <v>0</v>
      </c>
      <c r="BF345" s="371">
        <v>0</v>
      </c>
      <c r="BG345" s="371">
        <v>0</v>
      </c>
      <c r="BH345" s="371">
        <v>0</v>
      </c>
      <c r="BI345" s="371">
        <v>0</v>
      </c>
      <c r="BJ345" s="371">
        <v>0</v>
      </c>
      <c r="BK345" s="371">
        <v>0</v>
      </c>
      <c r="BL345" s="371">
        <v>0</v>
      </c>
      <c r="BM345" s="371">
        <v>0.1</v>
      </c>
      <c r="BN345" s="371">
        <v>0.1</v>
      </c>
      <c r="BO345" s="371">
        <v>0.1</v>
      </c>
      <c r="BP345" s="371">
        <v>0.1</v>
      </c>
      <c r="BQ345" s="371">
        <v>0.1</v>
      </c>
      <c r="BR345" s="371">
        <v>0.1</v>
      </c>
      <c r="BS345" s="371">
        <v>0.1</v>
      </c>
      <c r="BT345" s="371">
        <v>0.1</v>
      </c>
      <c r="BU345" s="371">
        <v>0.1</v>
      </c>
      <c r="BV345" s="371">
        <v>0.1</v>
      </c>
      <c r="BW345" s="371">
        <v>0</v>
      </c>
      <c r="BX345" s="371">
        <v>0</v>
      </c>
      <c r="BY345" s="371">
        <v>0</v>
      </c>
    </row>
    <row r="346" spans="2:77" ht="10.15" customHeight="1">
      <c r="B346" s="324" t="s">
        <v>124</v>
      </c>
      <c r="D346" s="357">
        <f t="shared" si="198"/>
        <v>0</v>
      </c>
      <c r="E346" s="357">
        <f t="shared" si="163"/>
        <v>0</v>
      </c>
      <c r="F346" s="357">
        <f t="shared" si="164"/>
        <v>0</v>
      </c>
      <c r="G346" s="357">
        <f t="shared" si="165"/>
        <v>0</v>
      </c>
      <c r="H346" s="357">
        <f t="shared" si="166"/>
        <v>0</v>
      </c>
      <c r="I346" s="357">
        <f t="shared" si="167"/>
        <v>0</v>
      </c>
      <c r="J346" s="357">
        <f t="shared" si="168"/>
        <v>0</v>
      </c>
      <c r="K346" s="357">
        <f t="shared" si="169"/>
        <v>0</v>
      </c>
      <c r="L346" s="357">
        <f t="shared" si="170"/>
        <v>0</v>
      </c>
      <c r="M346" s="357">
        <f t="shared" si="171"/>
        <v>0</v>
      </c>
      <c r="N346" s="357">
        <f t="shared" si="172"/>
        <v>0</v>
      </c>
      <c r="O346" s="357">
        <f t="shared" si="173"/>
        <v>0</v>
      </c>
      <c r="P346" s="357">
        <f t="shared" si="174"/>
        <v>0</v>
      </c>
      <c r="Q346" s="357">
        <f t="shared" si="175"/>
        <v>0</v>
      </c>
      <c r="R346" s="357">
        <f t="shared" si="176"/>
        <v>0</v>
      </c>
      <c r="S346" s="357">
        <f t="shared" si="177"/>
        <v>0</v>
      </c>
      <c r="T346" s="357">
        <f t="shared" si="178"/>
        <v>0</v>
      </c>
      <c r="U346" s="357">
        <f t="shared" si="179"/>
        <v>0</v>
      </c>
      <c r="V346" s="357">
        <f t="shared" si="180"/>
        <v>0</v>
      </c>
      <c r="W346" s="357">
        <f t="shared" si="181"/>
        <v>0</v>
      </c>
      <c r="X346" s="357">
        <f t="shared" si="182"/>
        <v>0</v>
      </c>
      <c r="Y346" s="357">
        <f t="shared" si="183"/>
        <v>0</v>
      </c>
      <c r="Z346" s="357">
        <f t="shared" si="184"/>
        <v>0</v>
      </c>
      <c r="AA346" s="357">
        <f t="shared" si="185"/>
        <v>0</v>
      </c>
      <c r="AB346" s="357">
        <f t="shared" si="186"/>
        <v>0</v>
      </c>
      <c r="AC346" s="357">
        <f t="shared" si="187"/>
        <v>0</v>
      </c>
      <c r="AD346" s="357">
        <f t="shared" si="188"/>
        <v>0</v>
      </c>
      <c r="AE346" s="357">
        <f t="shared" si="189"/>
        <v>0</v>
      </c>
      <c r="AF346" s="357">
        <f t="shared" si="190"/>
        <v>0</v>
      </c>
      <c r="AG346" s="357">
        <f t="shared" si="191"/>
        <v>0</v>
      </c>
      <c r="AH346" s="357">
        <f t="shared" si="192"/>
        <v>0</v>
      </c>
      <c r="AI346" s="357">
        <f t="shared" si="193"/>
        <v>0</v>
      </c>
      <c r="AJ346" s="357">
        <f t="shared" si="194"/>
        <v>0</v>
      </c>
      <c r="AK346" s="357">
        <f t="shared" si="195"/>
        <v>0</v>
      </c>
      <c r="AL346" s="357">
        <f t="shared" si="196"/>
        <v>0</v>
      </c>
      <c r="AM346" s="357">
        <f t="shared" si="197"/>
        <v>0</v>
      </c>
      <c r="AP346" s="273">
        <v>35</v>
      </c>
      <c r="AQ346" s="371">
        <v>0</v>
      </c>
      <c r="AR346" s="371">
        <v>0</v>
      </c>
      <c r="AS346" s="371">
        <v>0</v>
      </c>
      <c r="AT346" s="371">
        <v>0</v>
      </c>
      <c r="AU346" s="371">
        <v>0</v>
      </c>
      <c r="AV346" s="371">
        <v>0</v>
      </c>
      <c r="AW346" s="371">
        <v>0</v>
      </c>
      <c r="AX346" s="371">
        <v>0</v>
      </c>
      <c r="AY346" s="371">
        <v>0</v>
      </c>
      <c r="AZ346" s="371">
        <v>0</v>
      </c>
      <c r="BA346" s="371">
        <v>0</v>
      </c>
      <c r="BB346" s="371">
        <v>0</v>
      </c>
      <c r="BC346" s="371">
        <v>0</v>
      </c>
      <c r="BD346" s="371">
        <v>0</v>
      </c>
      <c r="BE346" s="371">
        <v>0</v>
      </c>
      <c r="BF346" s="371">
        <v>0</v>
      </c>
      <c r="BG346" s="371">
        <v>0</v>
      </c>
      <c r="BH346" s="371">
        <v>0</v>
      </c>
      <c r="BI346" s="371">
        <v>0</v>
      </c>
      <c r="BJ346" s="371">
        <v>0</v>
      </c>
      <c r="BK346" s="371">
        <v>0</v>
      </c>
      <c r="BL346" s="371">
        <v>0</v>
      </c>
      <c r="BM346" s="371">
        <v>0</v>
      </c>
      <c r="BN346" s="371">
        <v>0.1</v>
      </c>
      <c r="BO346" s="371">
        <v>0.1</v>
      </c>
      <c r="BP346" s="371">
        <v>0.1</v>
      </c>
      <c r="BQ346" s="371">
        <v>0.1</v>
      </c>
      <c r="BR346" s="371">
        <v>0.1</v>
      </c>
      <c r="BS346" s="371">
        <v>0.1</v>
      </c>
      <c r="BT346" s="371">
        <v>0.1</v>
      </c>
      <c r="BU346" s="371">
        <v>0.1</v>
      </c>
      <c r="BV346" s="371">
        <v>0.1</v>
      </c>
      <c r="BW346" s="371">
        <v>0.1</v>
      </c>
      <c r="BX346" s="371">
        <v>0</v>
      </c>
      <c r="BY346" s="371">
        <v>0</v>
      </c>
    </row>
    <row r="347" spans="2:77" ht="10.15" customHeight="1">
      <c r="AP347" s="273"/>
      <c r="AQ347" s="371">
        <f t="shared" ref="AQ347:BY347" si="199">SUM(AQ312:AQ346)</f>
        <v>0.99999999999999989</v>
      </c>
      <c r="AR347" s="371">
        <f t="shared" si="199"/>
        <v>0.99999999999999989</v>
      </c>
      <c r="AS347" s="371">
        <f t="shared" si="199"/>
        <v>0.99999999999999989</v>
      </c>
      <c r="AT347" s="371">
        <f t="shared" si="199"/>
        <v>0.99999999999999989</v>
      </c>
      <c r="AU347" s="371">
        <f t="shared" si="199"/>
        <v>0.99999999999999989</v>
      </c>
      <c r="AV347" s="371">
        <f t="shared" si="199"/>
        <v>0.99999999999999989</v>
      </c>
      <c r="AW347" s="371">
        <f t="shared" si="199"/>
        <v>0.99999999999999989</v>
      </c>
      <c r="AX347" s="371">
        <f t="shared" si="199"/>
        <v>0.99999999999999989</v>
      </c>
      <c r="AY347" s="371">
        <f t="shared" si="199"/>
        <v>0.99999999999999989</v>
      </c>
      <c r="AZ347" s="371">
        <f t="shared" si="199"/>
        <v>0.99999999999999989</v>
      </c>
      <c r="BA347" s="371">
        <f t="shared" si="199"/>
        <v>0.99999999999999989</v>
      </c>
      <c r="BB347" s="371">
        <f t="shared" si="199"/>
        <v>0.99999999999999989</v>
      </c>
      <c r="BC347" s="371">
        <f t="shared" si="199"/>
        <v>0.99999999999999989</v>
      </c>
      <c r="BD347" s="371">
        <f t="shared" si="199"/>
        <v>0.99999999999999989</v>
      </c>
      <c r="BE347" s="371">
        <f t="shared" si="199"/>
        <v>0.99999999999999989</v>
      </c>
      <c r="BF347" s="371">
        <f t="shared" si="199"/>
        <v>0.99999999999999989</v>
      </c>
      <c r="BG347" s="371">
        <f t="shared" si="199"/>
        <v>0.99999999999999989</v>
      </c>
      <c r="BH347" s="371">
        <f t="shared" si="199"/>
        <v>0.99999999999999989</v>
      </c>
      <c r="BI347" s="371">
        <f t="shared" si="199"/>
        <v>0.99999999999999989</v>
      </c>
      <c r="BJ347" s="371">
        <f t="shared" si="199"/>
        <v>0.99999999999999989</v>
      </c>
      <c r="BK347" s="371">
        <f t="shared" si="199"/>
        <v>0.99999999999999989</v>
      </c>
      <c r="BL347" s="371">
        <f t="shared" si="199"/>
        <v>0.99999999999999989</v>
      </c>
      <c r="BM347" s="371">
        <f t="shared" si="199"/>
        <v>0.99999999999999989</v>
      </c>
      <c r="BN347" s="371">
        <f t="shared" si="199"/>
        <v>0.99999999999999989</v>
      </c>
      <c r="BO347" s="371">
        <f t="shared" si="199"/>
        <v>0.89999999999999991</v>
      </c>
      <c r="BP347" s="371">
        <f t="shared" si="199"/>
        <v>0.79999999999999993</v>
      </c>
      <c r="BQ347" s="371">
        <f t="shared" si="199"/>
        <v>0.7</v>
      </c>
      <c r="BR347" s="371">
        <f t="shared" si="199"/>
        <v>0.6</v>
      </c>
      <c r="BS347" s="371">
        <f t="shared" si="199"/>
        <v>0.5</v>
      </c>
      <c r="BT347" s="371">
        <f t="shared" si="199"/>
        <v>0.4</v>
      </c>
      <c r="BU347" s="371">
        <f t="shared" si="199"/>
        <v>0.30000000000000004</v>
      </c>
      <c r="BV347" s="371">
        <f t="shared" si="199"/>
        <v>0.2</v>
      </c>
      <c r="BW347" s="371">
        <f t="shared" si="199"/>
        <v>0.1</v>
      </c>
      <c r="BX347" s="371">
        <f t="shared" si="199"/>
        <v>0</v>
      </c>
      <c r="BY347" s="371">
        <f t="shared" si="199"/>
        <v>0</v>
      </c>
    </row>
    <row r="348" spans="2:77" ht="10.15" customHeight="1">
      <c r="AP348" s="273"/>
      <c r="AQ348" s="371"/>
      <c r="AR348" s="371"/>
      <c r="AS348" s="371"/>
      <c r="AT348" s="371"/>
      <c r="AU348" s="371"/>
      <c r="AV348" s="371"/>
      <c r="AW348" s="371"/>
      <c r="AX348" s="371"/>
      <c r="AY348" s="371"/>
      <c r="AZ348" s="371"/>
      <c r="BA348" s="371"/>
      <c r="BB348" s="371"/>
      <c r="BC348" s="371"/>
      <c r="BD348" s="371"/>
      <c r="BE348" s="371"/>
      <c r="BF348" s="371"/>
      <c r="BG348" s="371"/>
      <c r="BH348" s="371"/>
      <c r="BI348" s="371"/>
      <c r="BJ348" s="371"/>
      <c r="BK348" s="371"/>
      <c r="BL348" s="371"/>
      <c r="BM348" s="371"/>
      <c r="BN348" s="371"/>
      <c r="BO348" s="371"/>
      <c r="BP348" s="371"/>
      <c r="BQ348" s="371"/>
      <c r="BR348" s="371"/>
      <c r="BS348" s="371"/>
      <c r="BT348" s="371"/>
      <c r="BU348" s="371"/>
      <c r="BV348" s="371"/>
      <c r="BW348" s="371"/>
      <c r="BX348" s="371"/>
      <c r="BY348" s="371"/>
    </row>
    <row r="351" spans="2:77" ht="14.45">
      <c r="B351" s="316" t="s">
        <v>1032</v>
      </c>
      <c r="C351" s="316" t="s">
        <v>1037</v>
      </c>
      <c r="D351" s="316" t="s">
        <v>1362</v>
      </c>
      <c r="E351" s="316" t="s">
        <v>1363</v>
      </c>
      <c r="F351" s="316" t="s">
        <v>1364</v>
      </c>
      <c r="G351" s="316" t="s">
        <v>1419</v>
      </c>
      <c r="H351" s="316" t="s">
        <v>1420</v>
      </c>
      <c r="I351" s="316" t="s">
        <v>1421</v>
      </c>
      <c r="J351" s="316" t="s">
        <v>1422</v>
      </c>
      <c r="K351" s="278"/>
      <c r="L351" s="278"/>
      <c r="M351" s="278"/>
      <c r="N351" s="278"/>
      <c r="O351"/>
    </row>
    <row r="352" spans="2:77" ht="14.45">
      <c r="B352" s="278" t="s">
        <v>1437</v>
      </c>
      <c r="C352" s="266">
        <v>4</v>
      </c>
      <c r="D352" s="670">
        <v>3390</v>
      </c>
      <c r="E352" s="670">
        <v>4600</v>
      </c>
      <c r="F352" s="670">
        <v>4500</v>
      </c>
      <c r="G352" s="670">
        <v>3690</v>
      </c>
      <c r="H352" s="670">
        <v>5800</v>
      </c>
      <c r="I352" s="670">
        <v>6290</v>
      </c>
      <c r="J352" s="670">
        <f>(AVERAGE(D352:I352)*C352)*(1+Aux.BDI!G49)</f>
        <v>21710.366785746628</v>
      </c>
      <c r="K352" s="768" t="s">
        <v>1438</v>
      </c>
      <c r="L352" s="278"/>
      <c r="M352" s="278"/>
      <c r="N352" s="278"/>
      <c r="O352"/>
    </row>
    <row r="353" spans="11:15" ht="14.45">
      <c r="K353" s="768" t="s">
        <v>1439</v>
      </c>
      <c r="L353" s="278"/>
      <c r="M353" s="278"/>
      <c r="N353" s="278"/>
      <c r="O353"/>
    </row>
    <row r="354" spans="11:15" ht="14.45">
      <c r="K354" s="768" t="s">
        <v>1440</v>
      </c>
      <c r="L354" s="278"/>
      <c r="M354" s="278"/>
      <c r="N354" s="278"/>
      <c r="O354"/>
    </row>
    <row r="355" spans="11:15" ht="14.45">
      <c r="K355" s="768" t="s">
        <v>1441</v>
      </c>
      <c r="L355" s="278"/>
      <c r="M355" s="278"/>
      <c r="N355" s="278"/>
      <c r="O355"/>
    </row>
    <row r="356" spans="11:15" ht="14.45">
      <c r="K356" s="768" t="s">
        <v>1442</v>
      </c>
      <c r="L356" s="278"/>
      <c r="M356" s="278"/>
      <c r="N356" s="278"/>
      <c r="O356"/>
    </row>
    <row r="357" spans="11:15" ht="14.45">
      <c r="K357" s="768" t="s">
        <v>1443</v>
      </c>
      <c r="L357" s="278"/>
      <c r="M357" s="278"/>
      <c r="N357" s="278"/>
      <c r="O357"/>
    </row>
    <row r="358" spans="11:15">
      <c r="K358" s="768" t="s">
        <v>1444</v>
      </c>
      <c r="L358" s="278"/>
      <c r="M358" s="278"/>
      <c r="N358" s="278"/>
    </row>
    <row r="359" spans="11:15">
      <c r="K359" s="768" t="s">
        <v>1445</v>
      </c>
      <c r="L359" s="278"/>
      <c r="M359" s="278"/>
      <c r="N359" s="278"/>
    </row>
    <row r="360" spans="11:15">
      <c r="K360" s="768" t="s">
        <v>1446</v>
      </c>
      <c r="L360" s="278"/>
      <c r="M360" s="278"/>
      <c r="N360" s="278"/>
    </row>
    <row r="372" spans="10:83">
      <c r="BX372" s="358"/>
      <c r="BY372" s="358"/>
      <c r="BZ372" s="358"/>
      <c r="CA372" s="358"/>
      <c r="CB372" s="358"/>
      <c r="CC372" s="358"/>
      <c r="CD372" s="358"/>
      <c r="CE372" s="358"/>
    </row>
    <row r="373" spans="10:83" ht="14.45">
      <c r="J373" s="177"/>
      <c r="K373" s="177"/>
      <c r="BY373" s="358"/>
      <c r="BZ373" s="358"/>
      <c r="CA373" s="358"/>
      <c r="CB373" s="358"/>
      <c r="CC373" s="358"/>
      <c r="CD373" s="358"/>
      <c r="CE373" s="358"/>
    </row>
    <row r="374" spans="10:83" ht="14.45">
      <c r="J374" s="177"/>
      <c r="K374" s="177"/>
      <c r="BZ374" s="358"/>
      <c r="CA374" s="358"/>
      <c r="CB374" s="358"/>
      <c r="CC374" s="358"/>
      <c r="CD374" s="358"/>
      <c r="CE374" s="358"/>
    </row>
    <row r="375" spans="10:83" ht="14.45">
      <c r="J375" s="177"/>
      <c r="K375" s="177"/>
      <c r="CA375" s="358"/>
      <c r="CB375" s="358"/>
      <c r="CC375" s="358"/>
      <c r="CD375" s="358"/>
      <c r="CE375" s="358"/>
    </row>
    <row r="376" spans="10:83" ht="14.45">
      <c r="J376" s="177"/>
      <c r="K376" s="177"/>
      <c r="L376"/>
      <c r="M376"/>
      <c r="N376"/>
      <c r="O376"/>
      <c r="CB376" s="358"/>
      <c r="CC376" s="358"/>
      <c r="CD376" s="358"/>
      <c r="CE376" s="358"/>
    </row>
    <row r="377" spans="10:83" ht="14.45">
      <c r="J377" s="177"/>
      <c r="K377" s="177"/>
      <c r="L377"/>
      <c r="M377"/>
      <c r="N377"/>
      <c r="O377"/>
      <c r="CC377" s="358"/>
      <c r="CD377" s="358"/>
      <c r="CE377" s="358"/>
    </row>
    <row r="378" spans="10:83" ht="14.45">
      <c r="J378" s="177"/>
      <c r="K378" s="177"/>
      <c r="L378"/>
      <c r="M378"/>
      <c r="N378"/>
      <c r="O378"/>
      <c r="CD378" s="358"/>
      <c r="CE378" s="358"/>
    </row>
    <row r="379" spans="10:83" ht="14.45">
      <c r="J379" s="177"/>
      <c r="K379" s="177"/>
      <c r="L379"/>
      <c r="M379"/>
      <c r="N379"/>
      <c r="O379"/>
      <c r="CE379" s="358"/>
    </row>
    <row r="380" spans="10:83" ht="14.45">
      <c r="J380" s="177"/>
      <c r="K380" s="177"/>
      <c r="L380"/>
      <c r="M380"/>
      <c r="N380"/>
      <c r="O380"/>
    </row>
    <row r="381" spans="10:83" ht="14.45">
      <c r="J381" s="177"/>
      <c r="K381" s="177"/>
      <c r="L381"/>
      <c r="M381"/>
      <c r="N381"/>
      <c r="O381"/>
    </row>
    <row r="382" spans="10:83" ht="14.45">
      <c r="J382" s="177"/>
      <c r="K382" s="177"/>
      <c r="L382"/>
      <c r="M382"/>
      <c r="N382"/>
      <c r="O382"/>
    </row>
    <row r="383" spans="10:83" ht="14.45">
      <c r="J383" s="177"/>
      <c r="K383" s="177"/>
      <c r="L383" s="177"/>
      <c r="M383"/>
      <c r="N383"/>
      <c r="O383"/>
    </row>
    <row r="384" spans="10:83" ht="14.45">
      <c r="J384" s="177"/>
      <c r="K384" s="177"/>
      <c r="L384" s="177"/>
      <c r="M384"/>
      <c r="N384"/>
      <c r="O384"/>
    </row>
    <row r="385" spans="10:26" ht="14.45">
      <c r="J385" s="177"/>
      <c r="K385" s="177"/>
      <c r="L385" s="177"/>
      <c r="M385"/>
      <c r="N385"/>
      <c r="O385"/>
    </row>
    <row r="386" spans="10:26" ht="14.45">
      <c r="J386" s="177"/>
      <c r="K386" s="177"/>
      <c r="L386"/>
      <c r="M386"/>
      <c r="N386"/>
      <c r="O386"/>
    </row>
    <row r="391" spans="10:26" ht="14.45">
      <c r="J391" s="769"/>
      <c r="K391" s="769"/>
      <c r="L391" s="769"/>
      <c r="M391" s="769"/>
      <c r="N391" s="769"/>
      <c r="O391" s="769"/>
      <c r="P391" s="769"/>
      <c r="Q391" s="769"/>
      <c r="R391" s="769"/>
      <c r="S391" s="769"/>
      <c r="T391" s="769"/>
      <c r="U391" s="769"/>
      <c r="V391" s="769"/>
      <c r="W391" s="769"/>
      <c r="X391" s="769"/>
      <c r="Y391" s="769"/>
      <c r="Z391" s="769"/>
    </row>
    <row r="392" spans="10:26" ht="14.45">
      <c r="J392" s="769"/>
      <c r="K392" s="769"/>
      <c r="L392" s="769"/>
      <c r="M392" s="769"/>
      <c r="N392" s="769"/>
      <c r="O392" s="769"/>
      <c r="P392" s="769"/>
      <c r="Q392" s="769"/>
      <c r="R392" s="769"/>
      <c r="S392" s="769"/>
      <c r="T392" s="769"/>
      <c r="U392" s="769"/>
      <c r="V392" s="769"/>
      <c r="W392" s="769"/>
      <c r="X392" s="769"/>
      <c r="Y392" s="769"/>
      <c r="Z392" s="769"/>
    </row>
    <row r="393" spans="10:26" ht="14.45">
      <c r="J393" s="769"/>
      <c r="K393" s="769"/>
      <c r="L393" s="769"/>
      <c r="M393" s="769"/>
      <c r="N393" s="769"/>
      <c r="O393" s="769"/>
      <c r="P393" s="769"/>
      <c r="Q393" s="769"/>
      <c r="R393" s="769"/>
      <c r="S393" s="769"/>
      <c r="T393" s="769"/>
      <c r="U393" s="769"/>
      <c r="V393" s="769"/>
      <c r="W393" s="769"/>
      <c r="X393" s="769"/>
      <c r="Y393" s="769"/>
      <c r="Z393" s="769"/>
    </row>
    <row r="394" spans="10:26" ht="14.45">
      <c r="J394" s="769"/>
      <c r="K394" s="769"/>
      <c r="L394" s="769"/>
      <c r="M394" s="769"/>
      <c r="N394" s="769"/>
      <c r="O394" s="769"/>
      <c r="P394" s="769"/>
      <c r="Q394" s="769"/>
      <c r="R394" s="769"/>
      <c r="S394" s="769"/>
      <c r="T394" s="769"/>
      <c r="U394" s="769"/>
      <c r="V394" s="769"/>
      <c r="W394" s="769"/>
      <c r="X394" s="769"/>
      <c r="Y394" s="769"/>
      <c r="Z394" s="769"/>
    </row>
    <row r="395" spans="10:26" ht="14.45">
      <c r="J395" s="769"/>
      <c r="K395" s="769"/>
      <c r="L395" s="769"/>
      <c r="M395" s="769"/>
      <c r="N395" s="769"/>
      <c r="O395" s="769"/>
      <c r="P395" s="769"/>
      <c r="Q395" s="769"/>
      <c r="R395" s="769"/>
      <c r="S395" s="769"/>
      <c r="T395" s="769"/>
      <c r="U395" s="769"/>
      <c r="V395" s="769"/>
      <c r="W395" s="769"/>
      <c r="X395" s="769"/>
      <c r="Y395" s="769"/>
      <c r="Z395" s="769"/>
    </row>
    <row r="396" spans="10:26" ht="14.45">
      <c r="J396" s="769"/>
      <c r="K396" s="769"/>
      <c r="L396" s="769"/>
      <c r="M396" s="769"/>
      <c r="N396" s="769"/>
      <c r="O396" s="769"/>
      <c r="P396" s="769"/>
      <c r="Q396" s="769"/>
      <c r="R396" s="769"/>
      <c r="S396" s="769"/>
      <c r="T396" s="769"/>
      <c r="U396" s="769"/>
      <c r="V396" s="769"/>
      <c r="W396" s="769"/>
      <c r="X396" s="769"/>
      <c r="Y396" s="769"/>
      <c r="Z396" s="769"/>
    </row>
    <row r="397" spans="10:26" ht="14.45">
      <c r="J397" s="769"/>
      <c r="K397" s="769"/>
      <c r="L397" s="769"/>
      <c r="M397" s="769"/>
      <c r="N397" s="769"/>
      <c r="O397" s="769"/>
      <c r="P397" s="769"/>
      <c r="Q397" s="769"/>
      <c r="R397" s="769"/>
      <c r="S397" s="769"/>
      <c r="T397" s="769"/>
      <c r="U397" s="769"/>
      <c r="V397" s="769"/>
      <c r="W397" s="769"/>
      <c r="X397" s="769"/>
      <c r="Y397" s="769"/>
      <c r="Z397" s="769"/>
    </row>
    <row r="398" spans="10:26" ht="14.45">
      <c r="J398" s="769"/>
      <c r="K398" s="769"/>
      <c r="L398" s="769"/>
      <c r="M398" s="769"/>
      <c r="N398" s="769"/>
      <c r="O398" s="769"/>
      <c r="P398" s="769"/>
      <c r="Q398" s="769"/>
      <c r="R398" s="769"/>
      <c r="S398" s="769"/>
      <c r="T398" s="769"/>
      <c r="U398" s="769"/>
      <c r="V398" s="769"/>
      <c r="W398" s="769"/>
      <c r="X398" s="769"/>
      <c r="Y398" s="769"/>
      <c r="Z398" s="769"/>
    </row>
    <row r="399" spans="10:26" ht="14.45">
      <c r="J399" s="769"/>
      <c r="K399" s="769"/>
      <c r="L399" s="769"/>
      <c r="M399" s="769"/>
      <c r="N399" s="769"/>
      <c r="O399" s="769"/>
      <c r="P399" s="769"/>
      <c r="Q399" s="769"/>
      <c r="R399" s="769"/>
      <c r="S399" s="769"/>
      <c r="T399" s="769"/>
      <c r="U399" s="769"/>
      <c r="V399" s="769"/>
      <c r="W399" s="769"/>
      <c r="X399" s="769"/>
      <c r="Y399" s="769"/>
      <c r="Z399" s="769"/>
    </row>
    <row r="400" spans="10:26" ht="14.45">
      <c r="J400" s="769"/>
      <c r="K400" s="769"/>
      <c r="L400" s="769"/>
      <c r="M400" s="769"/>
      <c r="N400" s="769"/>
      <c r="O400" s="769"/>
      <c r="P400" s="769"/>
      <c r="Q400" s="769"/>
      <c r="R400" s="769"/>
      <c r="S400" s="769"/>
      <c r="T400" s="769"/>
      <c r="U400" s="769"/>
      <c r="V400" s="769"/>
      <c r="W400" s="769"/>
      <c r="X400" s="769"/>
      <c r="Y400" s="769"/>
      <c r="Z400" s="769"/>
    </row>
    <row r="401" spans="10:18" ht="14.45">
      <c r="J401" s="769"/>
      <c r="K401" s="769"/>
      <c r="L401" s="769"/>
      <c r="M401" s="769"/>
      <c r="N401" s="769"/>
      <c r="O401" s="769"/>
      <c r="P401" s="769"/>
      <c r="Q401" s="769"/>
      <c r="R401" s="769"/>
    </row>
  </sheetData>
  <mergeCells count="5">
    <mergeCell ref="B4:C4"/>
    <mergeCell ref="B12:C12"/>
    <mergeCell ref="B16:C16"/>
    <mergeCell ref="B34:D34"/>
    <mergeCell ref="B40:D40"/>
  </mergeCells>
  <phoneticPr fontId="69" type="noConversion"/>
  <conditionalFormatting sqref="AQ132:BY166">
    <cfRule type="cellIs" dxfId="20" priority="12" operator="greaterThan">
      <formula>0</formula>
    </cfRule>
  </conditionalFormatting>
  <conditionalFormatting sqref="AQ174:BY208">
    <cfRule type="cellIs" dxfId="19" priority="11" operator="greaterThan">
      <formula>0</formula>
    </cfRule>
  </conditionalFormatting>
  <conditionalFormatting sqref="AQ213:BY247">
    <cfRule type="cellIs" dxfId="18" priority="8" operator="greaterThan">
      <formula>0</formula>
    </cfRule>
    <cfRule type="cellIs" dxfId="17" priority="9" operator="greaterThan">
      <formula>0</formula>
    </cfRule>
    <cfRule type="cellIs" dxfId="16" priority="10" operator="greaterThan">
      <formula>0</formula>
    </cfRule>
  </conditionalFormatting>
  <conditionalFormatting sqref="AQ255:BY289">
    <cfRule type="cellIs" dxfId="15" priority="1" operator="greaterThan">
      <formula>0</formula>
    </cfRule>
    <cfRule type="cellIs" dxfId="14" priority="2" operator="greaterThan">
      <formula>0</formula>
    </cfRule>
    <cfRule type="cellIs" dxfId="13" priority="3" operator="greaterThan">
      <formula>0</formula>
    </cfRule>
  </conditionalFormatting>
  <hyperlinks>
    <hyperlink ref="K297" r:id="rId1" display="https://akkarnautica.com.br/products/motor-de-popa-mercury-150hp-150-l-3-0l-efi-4-stk-pro-xs-rabeta-20-4-tempos-com-power-trim?variant=45105422598315&amp;country=BR&amp;currency=BRL&amp;utm_medium=product_sync&amp;utm_source=google&amp;utm_content=sag_organic&amp;utm_campaign=sag_organic&amp;gad_source=4&amp;gad_campaignid=22484950286&amp;gbraid=0AAAAA_YNA4eKvwb-t6jCfjP3d_JCHRD48&amp;gclid=CjwKCAjw89jGBhB0EiwA2o1On1_LEySwj1zINZk2iVWqgukmA9T4Y_pZu8h6Q4t7JkUVXTYG-bgQ6RoCQI8QAvD_BwE" xr:uid="{00000000-0004-0000-0C00-000000000000}"/>
    <hyperlink ref="K299" r:id="rId2" display="https://www.martinellimotores.com.br/motor-de-popa-mercury-150hp-pro-xs-4-tempos-preco-produtor-rural-e-pj?utm_source=Site&amp;utm_medium=GoogleMerchant&amp;utm_campaign=GoogleMerchant&amp;gad_source=4&amp;gad_campaignid=9105436307&amp;gbraid=0AAAAACf7FYHqSySVgFhZfiV3AGoebbvCh&amp;gclid=CjwKCAjw89jGBhB0EiwA2o1Onyotrrq91PpDK_uP1s7tDp0He2lTk_kt6peOg2PpQxBgTbN5xKh6KhoC8UkQAvD_BwE" xr:uid="{00000000-0004-0000-0C00-000001000000}"/>
    <hyperlink ref="K300" r:id="rId3" xr:uid="{00000000-0004-0000-0C00-000002000000}"/>
    <hyperlink ref="K301" r:id="rId4" display="https://www.shoppingmaritimo.com.br/motores/motor-de-popa-mercury-150hp-elpt-3-0l-sea-pro-efi-branco-2025-0km?parceiro=3&amp;gad_source=4&amp;gad_campaignid=17336056032&amp;gbraid=0AAAAADE55Ty9wJOoDoAXLedLYzFmqwA3_&amp;gclid=CjwKCAjw89jGBhB0EiwA2o1Onxf6woJuuEROEBn9jWN_aPFMx_63xv9iF675J-hIj0aiudg7XyfvuBoC48wQAvD_BwE" xr:uid="{00000000-0004-0000-0C00-000003000000}"/>
    <hyperlink ref="K302" r:id="rId5" xr:uid="{00000000-0004-0000-0C00-000004000000}"/>
    <hyperlink ref="K298" r:id="rId6" display="https://www.pescaca.com.br/motores-de-popa-mercury/65-a-150hp/motor-mercury-150hp-4-tempos-partida-eletrica?parceiro=3100&amp;gad_source=4&amp;gad_campaignid=22245237063&amp;gbraid=0AAAAApFPEBu4W5FxtnVUaRiST2LszhQ-0&amp;gclid=CjwKCAjw89jGBhB0EiwA2o1On_N4GeusszIKBxBmMRvmqkJbWfDrUgZhzZOuPlEYCXp_EcmbWeCD9RoC-QEQAvD_BwE" xr:uid="{00000000-0004-0000-0C00-000005000000}"/>
    <hyperlink ref="K352" r:id="rId7" location="polycard_client=search-nordic&amp;search_layout=grid&amp;position=5&amp;type=product&amp;tracking_id=e2833f70-b04f-4e92-8605-7f3b19544558&amp;wid=MLB5425724264&amp;sid=search" display="https://www.mercadolivre.com.br/catraca-facial-de-acesso-3mil-face-academia/up/MLBU3232987166 - polycard_client=search-nordic&amp;search_layout=grid&amp;position=5&amp;type=product&amp;tracking_id=e2833f70-b04f-4e92-8605-7f3b19544558&amp;wid=MLB5425724264&amp;sid=search" xr:uid="{00000000-0004-0000-0C00-000006000000}"/>
    <hyperlink ref="K353" r:id="rId8" location="polycard_client=search-nordic&amp;search_layout=grid&amp;position=13&amp;type=product&amp;tracking_id=47b9000b-d5b9-4a01-8751-abef3b53612d&amp;wid=MLB4581867082&amp;sid=search" display="https://www.mercadolivre.com.br/catraca-facial--academia--mais-vendida--1-ano-de-garantia/up/MLBU2727985025 - polycard_client=search-nordic&amp;search_layout=grid&amp;position=13&amp;type=product&amp;tracking_id=47b9000b-d5b9-4a01-8751-abef3b53612d&amp;wid=MLB4581867082&amp;sid=search" xr:uid="{00000000-0004-0000-0C00-000007000000}"/>
    <hyperlink ref="K354" r:id="rId9" location="polycard_client=search-nordic&amp;search_layout=grid&amp;position=30&amp;type=product&amp;tracking_id=5e580efd-47ea-48a4-98b7-80a24b57a6ee&amp;wid=MLB4110878547&amp;sid=search" display="https://www.mercadolivre.com.br/catraca-ponto-system-v7-facial-com-software/up/MLBU3263554933 - polycard_client=search-nordic&amp;search_layout=grid&amp;position=30&amp;type=product&amp;tracking_id=5e580efd-47ea-48a4-98b7-80a24b57a6ee&amp;wid=MLB4110878547&amp;sid=search" xr:uid="{00000000-0004-0000-0C00-000008000000}"/>
    <hyperlink ref="K355" r:id="rId10" location="polycard_client=search-nordic&amp;search_layout=grid&amp;position=37&amp;type=product&amp;tracking_id=48dd88ab-a03e-4921-9f57-0a003588edcf&amp;wid=MLB2776401829&amp;sid=search" display="https://www.mercadolivre.com.br/catraca-de-acesso-facial-e-cartao-proximidade/up/MLBU1426166263 - polycard_client=search-nordic&amp;search_layout=grid&amp;position=37&amp;type=product&amp;tracking_id=48dd88ab-a03e-4921-9f57-0a003588edcf&amp;wid=MLB2776401829&amp;sid=search" xr:uid="{00000000-0004-0000-0C00-000009000000}"/>
    <hyperlink ref="K356" r:id="rId11" location="polycard_client=search-nordic&amp;search_layout=grid&amp;position=41&amp;type=product&amp;tracking_id=dc9369c9-9a14-454a-a8c4-bfdc3222dabd&amp;wid=MLB5520254802&amp;sid=search" display="https://www.mercadolivre.com.br/catraca-revolution-4-topdata-facial/up/MLBU3319294219 - polycard_client=search-nordic&amp;search_layout=grid&amp;position=41&amp;type=product&amp;tracking_id=dc9369c9-9a14-454a-a8c4-bfdc3222dabd&amp;wid=MLB5520254802&amp;sid=search" xr:uid="{00000000-0004-0000-0C00-00000A000000}"/>
    <hyperlink ref="K357" r:id="rId12" location="polycard_client=search-nordic&amp;search_layout=grid&amp;position=50&amp;type=product&amp;tracking_id=debfbeb4-3339-410f-9943-061bda45be05&amp;wid=MLB3651429755&amp;sid=search" display="https://www.mercadolivre.com.br/catraca-facial-controlid-idblock-next-com-duas-leitoras/up/MLBU1976987367 - polycard_client=search-nordic&amp;search_layout=grid&amp;position=50&amp;type=product&amp;tracking_id=debfbeb4-3339-410f-9943-061bda45be05&amp;wid=MLB3651429755&amp;sid=search" xr:uid="{00000000-0004-0000-0C00-00000B000000}"/>
    <hyperlink ref="K358" r:id="rId13" display="https://catracafacial.com.br/catracas-com-leitor-facial" xr:uid="{00000000-0004-0000-0C00-00000C000000}"/>
    <hyperlink ref="K359" r:id="rId14" display="https://www.intelbras.com/pt-br/controle-de-acesso" xr:uid="{00000000-0004-0000-0C00-00000D000000}"/>
    <hyperlink ref="K360" r:id="rId15" display="https://www.controlid.com.br/controle-de-acesso/idblock-next-bqc/" xr:uid="{00000000-0004-0000-0C00-00000E000000}"/>
  </hyperlink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90"/>
  <sheetViews>
    <sheetView showGridLines="0" workbookViewId="0">
      <selection activeCell="B1" sqref="B1"/>
    </sheetView>
  </sheetViews>
  <sheetFormatPr defaultRowHeight="14.45"/>
  <cols>
    <col min="1" max="1" width="8.85546875" style="2"/>
    <col min="3" max="3" width="13.7109375" bestFit="1" customWidth="1"/>
    <col min="4" max="4" width="34.5703125" bestFit="1" customWidth="1"/>
    <col min="5" max="5" width="9.5703125" bestFit="1" customWidth="1"/>
    <col min="7" max="7" width="9.5703125" bestFit="1" customWidth="1"/>
    <col min="9" max="9" width="18.7109375" bestFit="1" customWidth="1"/>
  </cols>
  <sheetData>
    <row r="1" spans="1:24" s="2" customFormat="1" ht="21">
      <c r="B1" s="348" t="s">
        <v>1447</v>
      </c>
    </row>
    <row r="2" spans="1:24" s="2" customFormat="1" ht="13.9"/>
    <row r="3" spans="1:24" ht="15" thickBot="1"/>
    <row r="4" spans="1:24">
      <c r="C4" s="631" t="s">
        <v>1448</v>
      </c>
      <c r="D4" s="632" t="s">
        <v>1449</v>
      </c>
      <c r="E4" s="769"/>
      <c r="F4" s="769"/>
      <c r="G4" s="769"/>
      <c r="H4" s="769"/>
      <c r="I4" s="769"/>
      <c r="J4" s="769"/>
      <c r="K4" s="769"/>
      <c r="L4" s="769"/>
      <c r="M4" s="769"/>
      <c r="N4" s="769"/>
      <c r="O4" s="769"/>
      <c r="P4" s="769"/>
      <c r="Q4" s="769"/>
      <c r="R4" s="769"/>
      <c r="S4" s="769"/>
      <c r="T4" s="769"/>
      <c r="U4" s="769"/>
      <c r="V4" s="769"/>
      <c r="W4" s="769"/>
      <c r="X4" s="769"/>
    </row>
    <row r="5" spans="1:24" ht="28.9">
      <c r="C5" s="633" t="s">
        <v>1450</v>
      </c>
      <c r="D5" s="634" t="s">
        <v>1451</v>
      </c>
      <c r="E5" s="769"/>
      <c r="F5" s="769"/>
      <c r="G5" s="769"/>
      <c r="H5" s="769"/>
      <c r="I5" s="769"/>
      <c r="J5" s="769"/>
      <c r="K5" s="769"/>
      <c r="L5" s="769"/>
      <c r="M5" s="769"/>
      <c r="N5" s="769"/>
      <c r="O5" s="769"/>
      <c r="P5" s="769"/>
      <c r="Q5" s="769"/>
      <c r="R5" s="769"/>
      <c r="S5" s="769"/>
      <c r="T5" s="769"/>
      <c r="U5" s="769"/>
      <c r="V5" s="769"/>
      <c r="W5" s="769"/>
      <c r="X5" s="769"/>
    </row>
    <row r="6" spans="1:24" ht="15" thickBot="1">
      <c r="C6" s="635" t="s">
        <v>1452</v>
      </c>
      <c r="D6" s="636" t="s">
        <v>1453</v>
      </c>
      <c r="E6" s="769"/>
      <c r="F6" s="769"/>
      <c r="G6" s="769"/>
      <c r="H6" s="769"/>
      <c r="I6" s="769"/>
      <c r="J6" s="769"/>
      <c r="K6" s="769"/>
      <c r="L6" s="769"/>
      <c r="M6" s="769"/>
      <c r="N6" s="769"/>
      <c r="O6" s="769"/>
      <c r="P6" s="769"/>
      <c r="Q6" s="769"/>
      <c r="R6" s="769"/>
      <c r="S6" s="769"/>
      <c r="T6" s="769"/>
      <c r="U6" s="769"/>
      <c r="V6" s="769"/>
      <c r="W6" s="769"/>
      <c r="X6" s="769"/>
    </row>
    <row r="7" spans="1:24" ht="15" thickBot="1">
      <c r="C7" s="769"/>
      <c r="D7" s="769"/>
      <c r="E7" s="769"/>
      <c r="F7" s="769"/>
      <c r="G7" s="769"/>
      <c r="H7" s="769"/>
      <c r="I7" s="769"/>
      <c r="J7" s="769"/>
      <c r="K7" s="769"/>
      <c r="L7" s="769"/>
      <c r="M7" s="769"/>
      <c r="N7" s="769"/>
      <c r="O7" s="769"/>
      <c r="P7" s="769"/>
      <c r="Q7" s="769"/>
      <c r="R7" s="769"/>
      <c r="S7" s="769"/>
      <c r="T7" s="769"/>
      <c r="U7" s="769"/>
      <c r="V7" s="769"/>
      <c r="W7" s="769"/>
      <c r="X7" s="769"/>
    </row>
    <row r="8" spans="1:24" ht="15" thickBot="1">
      <c r="C8" s="922" t="s">
        <v>1454</v>
      </c>
      <c r="D8" s="923"/>
      <c r="E8" s="923"/>
      <c r="F8" s="923"/>
      <c r="G8" s="924"/>
      <c r="H8" s="769"/>
      <c r="I8" s="770" t="s">
        <v>235</v>
      </c>
      <c r="J8" s="637">
        <v>2025</v>
      </c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769"/>
      <c r="X8" s="769"/>
    </row>
    <row r="9" spans="1:24">
      <c r="C9" s="638" t="s">
        <v>497</v>
      </c>
      <c r="D9" s="639" t="s">
        <v>1449</v>
      </c>
      <c r="E9" s="639" t="s">
        <v>1455</v>
      </c>
      <c r="F9" s="639" t="s">
        <v>1456</v>
      </c>
      <c r="G9" s="640" t="s">
        <v>1457</v>
      </c>
      <c r="H9" s="769"/>
      <c r="I9" s="771" t="s">
        <v>1458</v>
      </c>
      <c r="J9" s="641">
        <v>0.8</v>
      </c>
      <c r="K9" s="769"/>
      <c r="L9" s="769"/>
      <c r="M9" s="769"/>
      <c r="N9" s="769"/>
      <c r="O9" s="769"/>
      <c r="P9" s="769"/>
      <c r="Q9" s="769"/>
      <c r="R9" s="769"/>
      <c r="S9" s="769"/>
      <c r="T9" s="769"/>
      <c r="U9" s="769"/>
      <c r="V9" s="769"/>
      <c r="W9" s="769"/>
      <c r="X9" s="769"/>
    </row>
    <row r="10" spans="1:24">
      <c r="C10" s="642">
        <v>1</v>
      </c>
      <c r="D10" s="643" t="s">
        <v>1459</v>
      </c>
      <c r="E10" s="644">
        <v>0.03</v>
      </c>
      <c r="F10" s="644">
        <v>0.04</v>
      </c>
      <c r="G10" s="645">
        <v>5.5E-2</v>
      </c>
      <c r="H10" s="769"/>
      <c r="I10" s="646">
        <v>0.01</v>
      </c>
      <c r="J10" s="647">
        <f t="shared" ref="J10:J15" si="0">I10*$J$9</f>
        <v>8.0000000000000002E-3</v>
      </c>
      <c r="K10" s="769"/>
      <c r="L10" s="769"/>
      <c r="M10" s="769"/>
      <c r="N10" s="769"/>
      <c r="O10" s="769"/>
      <c r="P10" s="769"/>
      <c r="Q10" s="769"/>
      <c r="R10" s="769"/>
      <c r="S10" s="769"/>
      <c r="T10" s="769"/>
      <c r="U10" s="769"/>
      <c r="V10" s="769"/>
      <c r="W10" s="769"/>
      <c r="X10" s="769"/>
    </row>
    <row r="11" spans="1:24" ht="21">
      <c r="A11" s="348"/>
      <c r="C11" s="642">
        <v>2</v>
      </c>
      <c r="D11" s="643" t="s">
        <v>1460</v>
      </c>
      <c r="E11" s="644">
        <v>8.0000000000000002E-3</v>
      </c>
      <c r="F11" s="644">
        <v>8.0000000000000002E-3</v>
      </c>
      <c r="G11" s="645">
        <v>0.01</v>
      </c>
      <c r="H11" s="769"/>
      <c r="I11" s="648">
        <v>1.4999999999999999E-2</v>
      </c>
      <c r="J11" s="645">
        <f t="shared" si="0"/>
        <v>1.2E-2</v>
      </c>
      <c r="K11" s="769"/>
      <c r="L11" s="769"/>
      <c r="M11" s="769"/>
      <c r="N11" s="769"/>
      <c r="O11" s="769"/>
      <c r="P11" s="769"/>
      <c r="Q11" s="769"/>
      <c r="R11" s="769"/>
      <c r="S11" s="769"/>
      <c r="T11" s="769"/>
      <c r="U11" s="769"/>
      <c r="V11" s="769"/>
      <c r="W11" s="769"/>
      <c r="X11" s="769"/>
    </row>
    <row r="12" spans="1:24" ht="21">
      <c r="A12" s="348"/>
      <c r="C12" s="642">
        <v>3</v>
      </c>
      <c r="D12" s="643" t="s">
        <v>1461</v>
      </c>
      <c r="E12" s="644">
        <v>9.7000000000000003E-3</v>
      </c>
      <c r="F12" s="644">
        <v>1.2699999999999999E-2</v>
      </c>
      <c r="G12" s="645">
        <v>1.2699999999999999E-2</v>
      </c>
      <c r="H12" s="769"/>
      <c r="I12" s="648">
        <v>0.02</v>
      </c>
      <c r="J12" s="645">
        <f t="shared" si="0"/>
        <v>1.6E-2</v>
      </c>
      <c r="K12" s="769"/>
      <c r="L12" s="769"/>
      <c r="M12" s="769"/>
      <c r="N12" s="769"/>
      <c r="O12" s="769"/>
      <c r="P12" s="769"/>
      <c r="Q12" s="769"/>
      <c r="R12" s="769"/>
      <c r="S12" s="769"/>
      <c r="T12" s="769"/>
      <c r="U12" s="769"/>
      <c r="V12" s="769"/>
      <c r="W12" s="769"/>
      <c r="X12" s="769"/>
    </row>
    <row r="13" spans="1:24">
      <c r="C13" s="642">
        <v>4</v>
      </c>
      <c r="D13" s="643" t="s">
        <v>1462</v>
      </c>
      <c r="E13" s="644">
        <v>5.8999999999999999E-3</v>
      </c>
      <c r="F13" s="644">
        <v>1.23E-2</v>
      </c>
      <c r="G13" s="645">
        <v>1.3899999999999999E-2</v>
      </c>
      <c r="H13" s="769"/>
      <c r="I13" s="648">
        <v>2.5000000000000001E-2</v>
      </c>
      <c r="J13" s="645">
        <f t="shared" si="0"/>
        <v>2.0000000000000004E-2</v>
      </c>
      <c r="K13" s="769"/>
      <c r="L13" s="769"/>
      <c r="M13" s="769"/>
      <c r="N13" s="769"/>
      <c r="O13" s="769"/>
      <c r="P13" s="769"/>
      <c r="Q13" s="769"/>
      <c r="R13" s="769"/>
      <c r="S13" s="769"/>
      <c r="T13" s="769"/>
      <c r="U13" s="769"/>
      <c r="V13" s="769"/>
      <c r="W13" s="769"/>
      <c r="X13" s="769"/>
    </row>
    <row r="14" spans="1:24">
      <c r="C14" s="649">
        <v>5</v>
      </c>
      <c r="D14" s="650" t="s">
        <v>1463</v>
      </c>
      <c r="E14" s="651">
        <v>6.1600000000000002E-2</v>
      </c>
      <c r="F14" s="651">
        <v>7.3999999999999996E-2</v>
      </c>
      <c r="G14" s="652">
        <v>8.9599999999999999E-2</v>
      </c>
      <c r="H14" s="769"/>
      <c r="I14" s="648">
        <v>0.03</v>
      </c>
      <c r="J14" s="645">
        <f t="shared" si="0"/>
        <v>2.4E-2</v>
      </c>
      <c r="K14" s="769"/>
      <c r="L14" s="769"/>
      <c r="M14" s="769"/>
      <c r="N14" s="769"/>
      <c r="O14" s="769"/>
      <c r="P14" s="769"/>
      <c r="Q14" s="769"/>
      <c r="R14" s="769"/>
      <c r="S14" s="769"/>
      <c r="T14" s="769"/>
      <c r="U14" s="769"/>
      <c r="V14" s="769"/>
      <c r="W14" s="769"/>
      <c r="X14" s="769"/>
    </row>
    <row r="15" spans="1:24">
      <c r="C15" s="769"/>
      <c r="D15" s="769"/>
      <c r="E15" s="769"/>
      <c r="F15" s="769"/>
      <c r="G15" s="769"/>
      <c r="H15" s="769"/>
      <c r="I15" s="653">
        <v>4.4999999999999998E-2</v>
      </c>
      <c r="J15" s="652">
        <f t="shared" si="0"/>
        <v>3.5999999999999997E-2</v>
      </c>
      <c r="K15" s="769"/>
      <c r="L15" s="769"/>
      <c r="M15" s="769"/>
      <c r="N15" s="769"/>
      <c r="O15" s="769"/>
      <c r="P15" s="769"/>
      <c r="Q15" s="769"/>
      <c r="R15" s="769"/>
      <c r="S15" s="769"/>
      <c r="T15" s="769"/>
      <c r="U15" s="769"/>
      <c r="V15" s="769"/>
      <c r="W15" s="769"/>
      <c r="X15" s="769"/>
    </row>
    <row r="16" spans="1:24">
      <c r="C16" s="922" t="s">
        <v>1464</v>
      </c>
      <c r="D16" s="923"/>
      <c r="E16" s="923"/>
      <c r="F16" s="923"/>
      <c r="G16" s="924"/>
      <c r="H16" s="769"/>
      <c r="I16" s="769"/>
      <c r="J16" s="769"/>
      <c r="K16" s="769"/>
      <c r="L16" s="769"/>
      <c r="M16" s="769"/>
      <c r="N16" s="769"/>
      <c r="O16" s="769"/>
      <c r="P16" s="769"/>
      <c r="Q16" s="769"/>
      <c r="R16" s="769"/>
      <c r="S16" s="769"/>
      <c r="T16" s="769"/>
      <c r="U16" s="769"/>
      <c r="V16" s="769"/>
      <c r="W16" s="769"/>
      <c r="X16" s="769"/>
    </row>
    <row r="17" spans="3:24">
      <c r="C17" s="638" t="s">
        <v>497</v>
      </c>
      <c r="D17" s="639" t="s">
        <v>1449</v>
      </c>
      <c r="E17" s="639" t="s">
        <v>1455</v>
      </c>
      <c r="F17" s="639" t="s">
        <v>1456</v>
      </c>
      <c r="G17" s="640" t="s">
        <v>1457</v>
      </c>
      <c r="H17" s="769"/>
      <c r="I17" s="769"/>
      <c r="J17" s="769"/>
      <c r="K17" s="769"/>
      <c r="L17" s="769"/>
      <c r="M17" s="769"/>
      <c r="N17" s="769"/>
      <c r="O17" s="769"/>
      <c r="P17" s="769"/>
      <c r="Q17" s="769"/>
      <c r="R17" s="769"/>
      <c r="S17" s="769"/>
      <c r="T17" s="769"/>
      <c r="U17" s="769"/>
      <c r="V17" s="769"/>
      <c r="W17" s="769"/>
      <c r="X17" s="769"/>
    </row>
    <row r="18" spans="3:24">
      <c r="C18" s="642">
        <v>1</v>
      </c>
      <c r="D18" s="643" t="s">
        <v>1459</v>
      </c>
      <c r="E18" s="644">
        <v>1.4999999999999999E-2</v>
      </c>
      <c r="F18" s="644">
        <v>3.4500000000000003E-2</v>
      </c>
      <c r="G18" s="645">
        <v>4.4900000000000002E-2</v>
      </c>
      <c r="H18" s="769"/>
      <c r="I18" s="769"/>
      <c r="J18" s="769"/>
      <c r="K18" s="769"/>
      <c r="L18" s="769"/>
      <c r="M18" s="769"/>
      <c r="N18" s="769"/>
      <c r="O18" s="769"/>
      <c r="P18" s="769"/>
      <c r="Q18" s="769"/>
      <c r="R18" s="769"/>
      <c r="S18" s="769"/>
      <c r="T18" s="769"/>
      <c r="U18" s="769"/>
      <c r="V18" s="769"/>
      <c r="W18" s="769"/>
      <c r="X18" s="769"/>
    </row>
    <row r="19" spans="3:24">
      <c r="C19" s="642">
        <v>2</v>
      </c>
      <c r="D19" s="643" t="s">
        <v>1460</v>
      </c>
      <c r="E19" s="644">
        <v>3.0000000000000001E-3</v>
      </c>
      <c r="F19" s="644">
        <v>4.7999999999999996E-3</v>
      </c>
      <c r="G19" s="645">
        <v>8.2000000000000007E-3</v>
      </c>
      <c r="H19" s="769"/>
      <c r="I19" s="769"/>
      <c r="J19" s="769"/>
      <c r="K19" s="769"/>
      <c r="L19" s="769"/>
      <c r="M19" s="769"/>
      <c r="N19" s="769"/>
      <c r="O19" s="769"/>
      <c r="P19" s="769"/>
      <c r="Q19" s="769"/>
      <c r="R19" s="769"/>
      <c r="S19" s="769"/>
      <c r="T19" s="769"/>
      <c r="U19" s="769"/>
      <c r="V19" s="769"/>
      <c r="W19" s="769"/>
      <c r="X19" s="769"/>
    </row>
    <row r="20" spans="3:24">
      <c r="C20" s="642">
        <v>3</v>
      </c>
      <c r="D20" s="643" t="s">
        <v>1461</v>
      </c>
      <c r="E20" s="644">
        <v>5.5999999999999999E-3</v>
      </c>
      <c r="F20" s="644">
        <v>8.5000000000000006E-3</v>
      </c>
      <c r="G20" s="645">
        <v>8.8999999999999999E-3</v>
      </c>
      <c r="H20" s="769"/>
      <c r="I20" s="769"/>
      <c r="J20" s="769"/>
      <c r="K20" s="769"/>
      <c r="L20" s="769"/>
      <c r="M20" s="769"/>
      <c r="N20" s="769"/>
      <c r="O20" s="769"/>
      <c r="P20" s="769"/>
      <c r="Q20" s="769"/>
      <c r="R20" s="769"/>
      <c r="S20" s="769"/>
      <c r="T20" s="769"/>
      <c r="U20" s="769"/>
      <c r="V20" s="769"/>
      <c r="W20" s="769"/>
      <c r="X20" s="769"/>
    </row>
    <row r="21" spans="3:24">
      <c r="C21" s="642">
        <v>4</v>
      </c>
      <c r="D21" s="643" t="s">
        <v>1462</v>
      </c>
      <c r="E21" s="644">
        <v>8.5000000000000006E-3</v>
      </c>
      <c r="F21" s="644">
        <v>8.5000000000000006E-3</v>
      </c>
      <c r="G21" s="645">
        <v>1.11E-2</v>
      </c>
      <c r="H21" s="769"/>
      <c r="I21" s="769"/>
      <c r="J21" s="769"/>
      <c r="K21" s="769"/>
      <c r="L21" s="769"/>
      <c r="M21" s="769"/>
      <c r="N21" s="769"/>
      <c r="O21" s="769"/>
      <c r="P21" s="769"/>
      <c r="Q21" s="769"/>
      <c r="R21" s="769"/>
      <c r="S21" s="769"/>
      <c r="T21" s="769"/>
      <c r="U21" s="769"/>
      <c r="V21" s="769"/>
      <c r="W21" s="769"/>
      <c r="X21" s="769"/>
    </row>
    <row r="22" spans="3:24">
      <c r="C22" s="649">
        <v>5</v>
      </c>
      <c r="D22" s="650" t="s">
        <v>1463</v>
      </c>
      <c r="E22" s="651">
        <v>3.5000000000000003E-2</v>
      </c>
      <c r="F22" s="651">
        <v>5.11E-2</v>
      </c>
      <c r="G22" s="652">
        <v>6.2199999999999998E-2</v>
      </c>
      <c r="H22" s="769"/>
      <c r="I22" s="769"/>
      <c r="J22" s="769"/>
      <c r="K22" s="769"/>
      <c r="L22" s="769"/>
      <c r="M22" s="769"/>
      <c r="N22" s="769"/>
      <c r="O22" s="769"/>
      <c r="P22" s="769"/>
      <c r="Q22" s="769"/>
      <c r="R22" s="769"/>
      <c r="S22" s="769"/>
      <c r="T22" s="769"/>
      <c r="U22" s="769"/>
      <c r="V22" s="769"/>
      <c r="W22" s="769"/>
      <c r="X22" s="769"/>
    </row>
    <row r="23" spans="3:24">
      <c r="C23" s="769"/>
      <c r="D23" s="769"/>
      <c r="E23" s="769"/>
      <c r="F23" s="769"/>
      <c r="G23" s="769"/>
      <c r="H23" s="769"/>
      <c r="I23" s="769"/>
      <c r="J23" s="769"/>
      <c r="K23" s="769"/>
      <c r="L23" s="769"/>
      <c r="M23" s="769"/>
      <c r="N23" s="769"/>
      <c r="O23" s="769"/>
      <c r="P23" s="769"/>
      <c r="Q23" s="769"/>
      <c r="R23" s="769"/>
      <c r="S23" s="769"/>
      <c r="T23" s="769"/>
      <c r="U23" s="769"/>
      <c r="V23" s="769"/>
      <c r="W23" s="769"/>
      <c r="X23" s="769"/>
    </row>
    <row r="24" spans="3:24">
      <c r="C24" s="922" t="s">
        <v>1465</v>
      </c>
      <c r="D24" s="923"/>
      <c r="E24" s="923"/>
      <c r="F24" s="923"/>
      <c r="G24" s="924"/>
      <c r="H24" s="769"/>
      <c r="I24" s="769"/>
      <c r="J24" s="769"/>
      <c r="K24" s="769"/>
      <c r="L24" s="769"/>
      <c r="M24" s="769"/>
      <c r="N24" s="769"/>
      <c r="O24" s="769"/>
      <c r="P24" s="769"/>
      <c r="Q24" s="769"/>
      <c r="R24" s="769"/>
      <c r="S24" s="769"/>
      <c r="T24" s="769"/>
      <c r="U24" s="769"/>
      <c r="V24" s="769"/>
      <c r="W24" s="769"/>
      <c r="X24" s="769"/>
    </row>
    <row r="25" spans="3:24">
      <c r="C25" s="638">
        <v>1</v>
      </c>
      <c r="D25" s="639" t="s">
        <v>1449</v>
      </c>
      <c r="E25" s="639" t="s">
        <v>1455</v>
      </c>
      <c r="F25" s="639" t="s">
        <v>1456</v>
      </c>
      <c r="G25" s="640" t="s">
        <v>1457</v>
      </c>
      <c r="H25" s="769"/>
      <c r="I25" s="769"/>
      <c r="J25" s="769"/>
      <c r="K25" s="769"/>
      <c r="L25" s="769"/>
      <c r="M25" s="769"/>
      <c r="N25" s="769"/>
      <c r="O25" s="769"/>
      <c r="P25" s="769"/>
      <c r="Q25" s="769"/>
      <c r="R25" s="769"/>
      <c r="S25" s="769"/>
      <c r="T25" s="769"/>
      <c r="U25" s="769"/>
      <c r="V25" s="769"/>
      <c r="W25" s="769"/>
      <c r="X25" s="769"/>
    </row>
    <row r="26" spans="3:24">
      <c r="C26" s="649" t="s">
        <v>1143</v>
      </c>
      <c r="D26" s="650" t="s">
        <v>1466</v>
      </c>
      <c r="E26" s="651">
        <v>0.2034</v>
      </c>
      <c r="F26" s="651">
        <v>0.22120000000000001</v>
      </c>
      <c r="G26" s="652">
        <v>0.25</v>
      </c>
      <c r="H26" s="769"/>
      <c r="I26" s="769"/>
      <c r="J26" s="769"/>
      <c r="K26" s="769"/>
      <c r="L26" s="769"/>
      <c r="M26" s="769"/>
      <c r="N26" s="769"/>
      <c r="O26" s="769"/>
      <c r="P26" s="769"/>
      <c r="Q26" s="769"/>
      <c r="R26" s="769"/>
      <c r="S26" s="769"/>
      <c r="T26" s="769"/>
      <c r="U26" s="769"/>
      <c r="V26" s="769"/>
      <c r="W26" s="769"/>
      <c r="X26" s="769"/>
    </row>
    <row r="27" spans="3:24" ht="15" thickBot="1">
      <c r="C27" s="769"/>
      <c r="D27" s="769"/>
      <c r="E27" s="769"/>
      <c r="F27" s="769"/>
      <c r="G27" s="769"/>
      <c r="H27" s="769"/>
      <c r="I27" s="769"/>
      <c r="J27" s="769"/>
      <c r="K27" s="769"/>
      <c r="L27" s="769"/>
      <c r="M27" s="769"/>
      <c r="N27" s="769"/>
      <c r="O27" s="769"/>
      <c r="P27" s="769"/>
      <c r="Q27" s="769"/>
      <c r="R27" s="769"/>
      <c r="S27" s="769"/>
      <c r="T27" s="769"/>
      <c r="U27" s="769"/>
      <c r="V27" s="769"/>
      <c r="W27" s="769"/>
      <c r="X27" s="769"/>
    </row>
    <row r="28" spans="3:24" ht="15" thickBot="1">
      <c r="C28" s="922" t="s">
        <v>1467</v>
      </c>
      <c r="D28" s="923"/>
      <c r="E28" s="923"/>
      <c r="F28" s="923"/>
      <c r="G28" s="924"/>
      <c r="H28" s="769"/>
      <c r="I28" s="769"/>
      <c r="J28" s="769"/>
      <c r="K28" s="769"/>
      <c r="L28" s="769"/>
      <c r="M28" s="769"/>
      <c r="N28" s="769"/>
      <c r="O28" s="769"/>
      <c r="P28" s="769"/>
      <c r="Q28" s="769"/>
      <c r="R28" s="769"/>
      <c r="S28" s="769"/>
      <c r="T28" s="769"/>
      <c r="U28" s="769"/>
      <c r="V28" s="769"/>
      <c r="W28" s="769"/>
      <c r="X28" s="769"/>
    </row>
    <row r="29" spans="3:24">
      <c r="C29" s="638">
        <v>1</v>
      </c>
      <c r="D29" s="639" t="s">
        <v>1449</v>
      </c>
      <c r="E29" s="639" t="s">
        <v>1455</v>
      </c>
      <c r="F29" s="639" t="s">
        <v>1456</v>
      </c>
      <c r="G29" s="640" t="s">
        <v>1457</v>
      </c>
      <c r="H29" s="769"/>
      <c r="I29" s="769"/>
      <c r="J29" s="769"/>
      <c r="K29" s="769"/>
      <c r="L29" s="769"/>
      <c r="M29" s="769"/>
      <c r="N29" s="769"/>
      <c r="O29" s="769"/>
      <c r="P29" s="769"/>
      <c r="Q29" s="769"/>
      <c r="R29" s="769"/>
      <c r="S29" s="769"/>
      <c r="T29" s="769"/>
      <c r="U29" s="769"/>
      <c r="V29" s="769"/>
      <c r="W29" s="769"/>
      <c r="X29" s="769"/>
    </row>
    <row r="30" spans="3:24" ht="15" thickBot="1">
      <c r="C30" s="649" t="s">
        <v>1143</v>
      </c>
      <c r="D30" s="650" t="s">
        <v>1466</v>
      </c>
      <c r="E30" s="651">
        <v>0.111</v>
      </c>
      <c r="F30" s="651">
        <v>0.14019999999999999</v>
      </c>
      <c r="G30" s="652">
        <v>0.16800000000000001</v>
      </c>
      <c r="H30" s="769"/>
      <c r="I30" s="769"/>
      <c r="J30" s="769"/>
      <c r="K30" s="769"/>
      <c r="L30" s="769"/>
      <c r="M30" s="769"/>
      <c r="N30" s="769"/>
      <c r="O30" s="769"/>
      <c r="P30" s="769"/>
      <c r="Q30" s="769"/>
      <c r="R30" s="769"/>
      <c r="S30" s="769"/>
      <c r="T30" s="769"/>
      <c r="U30" s="769"/>
      <c r="V30" s="769"/>
      <c r="W30" s="769"/>
      <c r="X30" s="769"/>
    </row>
    <row r="31" spans="3:24" ht="15" thickBot="1">
      <c r="C31" s="769"/>
      <c r="D31" s="769"/>
      <c r="E31" s="769"/>
      <c r="F31" s="769"/>
      <c r="G31" s="769"/>
      <c r="H31" s="769"/>
      <c r="I31" s="769"/>
      <c r="J31" s="769"/>
      <c r="K31" s="769"/>
      <c r="L31" s="769"/>
      <c r="M31" s="769"/>
      <c r="N31" s="769"/>
      <c r="O31" s="769"/>
      <c r="P31" s="769"/>
      <c r="Q31" s="769"/>
      <c r="R31" s="769"/>
      <c r="S31" s="769"/>
      <c r="T31" s="769"/>
      <c r="U31" s="769"/>
      <c r="V31" s="769"/>
      <c r="W31" s="769"/>
      <c r="X31" s="769"/>
    </row>
    <row r="32" spans="3:24">
      <c r="C32" s="769"/>
      <c r="D32" s="925" t="s">
        <v>1468</v>
      </c>
      <c r="E32" s="927" t="s">
        <v>1084</v>
      </c>
      <c r="F32" s="929" t="s">
        <v>1469</v>
      </c>
      <c r="G32" s="931" t="s">
        <v>1470</v>
      </c>
      <c r="H32" s="769"/>
      <c r="I32" s="769"/>
      <c r="J32" s="769"/>
      <c r="K32" s="769"/>
      <c r="L32" s="769"/>
      <c r="M32" s="769"/>
      <c r="N32" s="769"/>
      <c r="O32" s="769"/>
      <c r="P32" s="769"/>
      <c r="Q32" s="769"/>
      <c r="R32" s="769"/>
      <c r="S32" s="769"/>
      <c r="T32" s="769"/>
      <c r="U32" s="769"/>
      <c r="V32" s="769"/>
      <c r="W32" s="769"/>
      <c r="X32" s="769"/>
    </row>
    <row r="33" spans="3:24">
      <c r="C33" s="769"/>
      <c r="D33" s="926"/>
      <c r="E33" s="928"/>
      <c r="F33" s="930"/>
      <c r="G33" s="932"/>
      <c r="H33" s="769"/>
      <c r="I33" s="769"/>
      <c r="J33" s="769"/>
      <c r="K33" s="769"/>
      <c r="L33" s="769"/>
      <c r="M33" s="769"/>
      <c r="N33" s="769"/>
      <c r="O33" s="769"/>
      <c r="P33" s="769"/>
      <c r="Q33" s="769"/>
      <c r="R33" s="769"/>
      <c r="S33" s="769"/>
      <c r="T33" s="769"/>
      <c r="U33" s="769"/>
      <c r="V33" s="769"/>
      <c r="W33" s="769"/>
      <c r="X33" s="769"/>
    </row>
    <row r="34" spans="3:24">
      <c r="C34" s="769"/>
      <c r="D34" s="654" t="s">
        <v>1471</v>
      </c>
      <c r="E34" s="655" t="s">
        <v>1472</v>
      </c>
      <c r="F34" s="656">
        <f>SUM(F35:F38)</f>
        <v>3.2099999999999997E-2</v>
      </c>
      <c r="G34" s="657">
        <v>3.2099999999999997E-2</v>
      </c>
      <c r="H34" s="769"/>
      <c r="I34" s="769"/>
      <c r="J34" s="769"/>
      <c r="K34" s="769"/>
      <c r="L34" s="769"/>
      <c r="M34" s="769"/>
      <c r="N34" s="769"/>
      <c r="O34" s="769"/>
      <c r="P34" s="769"/>
      <c r="Q34" s="769"/>
      <c r="R34" s="769"/>
      <c r="S34" s="769"/>
      <c r="T34" s="769"/>
      <c r="U34" s="769"/>
      <c r="V34" s="769"/>
      <c r="W34" s="769"/>
      <c r="X34" s="769"/>
    </row>
    <row r="35" spans="3:24">
      <c r="C35" s="769"/>
      <c r="D35" s="642" t="s">
        <v>1459</v>
      </c>
      <c r="E35" s="643" t="s">
        <v>1473</v>
      </c>
      <c r="F35" s="644">
        <f>E18</f>
        <v>1.4999999999999999E-2</v>
      </c>
      <c r="G35" s="645">
        <f>F35</f>
        <v>1.4999999999999999E-2</v>
      </c>
      <c r="H35" s="769"/>
      <c r="I35" s="769"/>
      <c r="J35" s="769"/>
      <c r="K35" s="769"/>
      <c r="L35" s="769"/>
      <c r="M35" s="769"/>
      <c r="N35" s="769"/>
      <c r="O35" s="769"/>
      <c r="P35" s="769"/>
      <c r="Q35" s="769"/>
      <c r="R35" s="769"/>
      <c r="S35" s="769"/>
      <c r="T35" s="769"/>
      <c r="U35" s="769"/>
      <c r="V35" s="769"/>
      <c r="W35" s="769"/>
      <c r="X35" s="769"/>
    </row>
    <row r="36" spans="3:24">
      <c r="C36" s="769"/>
      <c r="D36" s="642" t="s">
        <v>1474</v>
      </c>
      <c r="E36" s="643" t="s">
        <v>1475</v>
      </c>
      <c r="F36" s="644">
        <f>E21</f>
        <v>8.5000000000000006E-3</v>
      </c>
      <c r="G36" s="645">
        <f>F36</f>
        <v>8.5000000000000006E-3</v>
      </c>
      <c r="H36" s="769"/>
      <c r="I36" s="769"/>
      <c r="J36" s="769"/>
      <c r="K36" s="769"/>
      <c r="L36" s="769"/>
      <c r="M36" s="769"/>
      <c r="N36" s="769"/>
      <c r="O36" s="769"/>
      <c r="P36" s="769"/>
      <c r="Q36" s="769"/>
      <c r="R36" s="769"/>
      <c r="S36" s="769"/>
      <c r="T36" s="769"/>
      <c r="U36" s="769"/>
      <c r="V36" s="769"/>
      <c r="W36" s="769"/>
      <c r="X36" s="769"/>
    </row>
    <row r="37" spans="3:24">
      <c r="C37" s="769"/>
      <c r="D37" s="642" t="s">
        <v>1476</v>
      </c>
      <c r="E37" s="643" t="s">
        <v>1477</v>
      </c>
      <c r="F37" s="644">
        <f>E19</f>
        <v>3.0000000000000001E-3</v>
      </c>
      <c r="G37" s="645">
        <f>F37</f>
        <v>3.0000000000000001E-3</v>
      </c>
      <c r="H37" s="769"/>
      <c r="I37" s="630"/>
      <c r="J37" s="769"/>
      <c r="K37" s="769"/>
      <c r="L37" s="769"/>
      <c r="M37" s="769"/>
      <c r="N37" s="769"/>
      <c r="O37" s="769"/>
      <c r="P37" s="769"/>
      <c r="Q37" s="769"/>
      <c r="R37" s="769"/>
      <c r="S37" s="769"/>
      <c r="T37" s="769"/>
      <c r="U37" s="769"/>
      <c r="V37" s="769"/>
      <c r="W37" s="769"/>
      <c r="X37" s="769"/>
    </row>
    <row r="38" spans="3:24">
      <c r="C38" s="769"/>
      <c r="D38" s="642" t="s">
        <v>1478</v>
      </c>
      <c r="E38" s="643" t="s">
        <v>1479</v>
      </c>
      <c r="F38" s="644">
        <f>E20</f>
        <v>5.5999999999999999E-3</v>
      </c>
      <c r="G38" s="645">
        <f>F38</f>
        <v>5.5999999999999999E-3</v>
      </c>
      <c r="H38" s="769"/>
      <c r="I38" s="769"/>
      <c r="J38" s="769"/>
      <c r="K38" s="769"/>
      <c r="L38" s="769"/>
      <c r="M38" s="769"/>
      <c r="N38" s="769"/>
      <c r="O38" s="769"/>
      <c r="P38" s="769"/>
      <c r="Q38" s="769"/>
      <c r="R38" s="769"/>
      <c r="S38" s="769"/>
      <c r="T38" s="769"/>
      <c r="U38" s="769"/>
      <c r="V38" s="769"/>
      <c r="W38" s="769"/>
      <c r="X38" s="769"/>
    </row>
    <row r="39" spans="3:24">
      <c r="C39" s="769"/>
      <c r="D39" s="642" t="s">
        <v>1480</v>
      </c>
      <c r="E39" s="643" t="s">
        <v>1480</v>
      </c>
      <c r="F39" s="643" t="s">
        <v>1480</v>
      </c>
      <c r="G39" s="634" t="s">
        <v>1480</v>
      </c>
      <c r="H39" s="769"/>
      <c r="I39" s="769"/>
      <c r="J39" s="769"/>
      <c r="K39" s="769"/>
      <c r="L39" s="769"/>
      <c r="M39" s="769"/>
      <c r="N39" s="769"/>
      <c r="O39" s="769"/>
      <c r="P39" s="769"/>
      <c r="Q39" s="769"/>
      <c r="R39" s="769"/>
      <c r="S39" s="769"/>
      <c r="T39" s="769"/>
      <c r="U39" s="769"/>
      <c r="V39" s="769"/>
      <c r="W39" s="769"/>
      <c r="X39" s="769"/>
    </row>
    <row r="40" spans="3:24">
      <c r="C40" s="769"/>
      <c r="D40" s="638" t="s">
        <v>1481</v>
      </c>
      <c r="E40" s="639" t="s">
        <v>1482</v>
      </c>
      <c r="F40" s="658">
        <f>SUM(F41)</f>
        <v>3.5000000000000003E-2</v>
      </c>
      <c r="G40" s="659">
        <f>SUM(G41)</f>
        <v>3.5000000000000003E-2</v>
      </c>
      <c r="H40" s="769"/>
      <c r="I40" s="769"/>
      <c r="J40" s="769"/>
      <c r="K40" s="769"/>
      <c r="L40" s="769"/>
      <c r="M40" s="769"/>
      <c r="N40" s="769"/>
      <c r="O40" s="769"/>
      <c r="P40" s="769"/>
      <c r="Q40" s="769"/>
      <c r="R40" s="769"/>
      <c r="S40" s="769"/>
      <c r="T40" s="769"/>
      <c r="U40" s="769"/>
      <c r="V40" s="769"/>
      <c r="W40" s="769"/>
      <c r="X40" s="769"/>
    </row>
    <row r="41" spans="3:24">
      <c r="C41" s="769"/>
      <c r="D41" s="642" t="s">
        <v>1463</v>
      </c>
      <c r="E41" s="643" t="s">
        <v>1483</v>
      </c>
      <c r="F41" s="644">
        <f>E22</f>
        <v>3.5000000000000003E-2</v>
      </c>
      <c r="G41" s="645">
        <v>3.5000000000000003E-2</v>
      </c>
      <c r="H41" s="769"/>
      <c r="I41" s="769"/>
      <c r="J41" s="769"/>
      <c r="K41" s="769"/>
      <c r="L41" s="769"/>
      <c r="M41" s="769"/>
      <c r="N41" s="769"/>
      <c r="O41" s="769"/>
      <c r="P41" s="769"/>
      <c r="Q41" s="769"/>
      <c r="R41" s="769"/>
      <c r="S41" s="769"/>
      <c r="T41" s="769"/>
      <c r="U41" s="769"/>
      <c r="V41" s="769"/>
      <c r="W41" s="769"/>
      <c r="X41" s="769"/>
    </row>
    <row r="42" spans="3:24">
      <c r="C42" s="769"/>
      <c r="D42" s="642" t="s">
        <v>1480</v>
      </c>
      <c r="E42" s="643" t="s">
        <v>1480</v>
      </c>
      <c r="F42" s="643" t="s">
        <v>1480</v>
      </c>
      <c r="G42" s="634" t="s">
        <v>1480</v>
      </c>
      <c r="H42" s="769"/>
      <c r="I42" s="769"/>
      <c r="J42" s="769"/>
      <c r="K42" s="769"/>
      <c r="L42" s="769"/>
      <c r="M42" s="769"/>
      <c r="N42" s="769"/>
      <c r="O42" s="769"/>
      <c r="P42" s="769"/>
      <c r="Q42" s="769"/>
      <c r="R42" s="769"/>
      <c r="S42" s="769"/>
      <c r="T42" s="769"/>
      <c r="U42" s="769"/>
      <c r="V42" s="769"/>
      <c r="W42" s="769"/>
      <c r="X42" s="769"/>
    </row>
    <row r="43" spans="3:24">
      <c r="C43" s="769"/>
      <c r="D43" s="638" t="s">
        <v>1484</v>
      </c>
      <c r="E43" s="639" t="s">
        <v>1485</v>
      </c>
      <c r="F43" s="658">
        <f>SUM(F44:F47)</f>
        <v>0.10250000000000001</v>
      </c>
      <c r="G43" s="659">
        <f>SUM(G44:G47)</f>
        <v>7.2499999999999995E-2</v>
      </c>
      <c r="H43" s="769"/>
      <c r="I43" s="769"/>
      <c r="J43" s="769"/>
      <c r="K43" s="769"/>
      <c r="L43" s="769"/>
      <c r="M43" s="769"/>
      <c r="N43" s="769"/>
      <c r="O43" s="769"/>
      <c r="P43" s="769"/>
      <c r="Q43" s="769"/>
      <c r="R43" s="769"/>
      <c r="S43" s="769"/>
      <c r="T43" s="769"/>
      <c r="U43" s="769"/>
      <c r="V43" s="769"/>
      <c r="W43" s="769"/>
      <c r="X43" s="769"/>
    </row>
    <row r="44" spans="3:24">
      <c r="C44" s="769"/>
      <c r="D44" s="642" t="s">
        <v>1486</v>
      </c>
      <c r="E44" s="643" t="s">
        <v>1487</v>
      </c>
      <c r="F44" s="644">
        <v>0.03</v>
      </c>
      <c r="G44" s="665" t="s">
        <v>780</v>
      </c>
      <c r="H44" s="769"/>
      <c r="I44" s="918" t="s">
        <v>1488</v>
      </c>
      <c r="J44" s="918"/>
      <c r="K44" s="918"/>
      <c r="L44" s="918"/>
      <c r="M44" s="918"/>
      <c r="N44" s="918"/>
      <c r="O44" s="918"/>
      <c r="P44" s="918"/>
      <c r="Q44" s="918"/>
      <c r="R44" s="918"/>
      <c r="S44" s="918"/>
      <c r="T44" s="918"/>
      <c r="U44" s="918"/>
      <c r="V44" s="918"/>
      <c r="W44" s="918"/>
      <c r="X44" s="918"/>
    </row>
    <row r="45" spans="3:24">
      <c r="C45" s="769"/>
      <c r="D45" s="642" t="s">
        <v>1489</v>
      </c>
      <c r="E45" s="643" t="s">
        <v>1487</v>
      </c>
      <c r="F45" s="644">
        <v>6.4999999999999997E-3</v>
      </c>
      <c r="G45" s="645">
        <v>6.4999999999999997E-3</v>
      </c>
      <c r="H45" s="769"/>
      <c r="I45" s="769"/>
      <c r="J45" s="769"/>
      <c r="K45" s="769"/>
      <c r="L45" s="769"/>
      <c r="M45" s="769"/>
      <c r="N45" s="769"/>
      <c r="O45" s="769"/>
      <c r="P45" s="769"/>
      <c r="Q45" s="769"/>
      <c r="R45" s="769"/>
      <c r="S45" s="769"/>
      <c r="T45" s="769"/>
      <c r="U45" s="769"/>
      <c r="V45" s="769"/>
      <c r="W45" s="769"/>
      <c r="X45" s="769"/>
    </row>
    <row r="46" spans="3:24">
      <c r="C46" s="769"/>
      <c r="D46" s="642" t="s">
        <v>1490</v>
      </c>
      <c r="E46" s="643" t="s">
        <v>1487</v>
      </c>
      <c r="F46" s="644">
        <v>0.03</v>
      </c>
      <c r="G46" s="645">
        <v>0.03</v>
      </c>
      <c r="H46" s="769"/>
      <c r="I46" s="769"/>
      <c r="J46" s="769"/>
      <c r="K46" s="769"/>
      <c r="L46" s="769"/>
      <c r="M46" s="769"/>
      <c r="N46" s="769"/>
      <c r="O46" s="769"/>
      <c r="P46" s="769"/>
      <c r="Q46" s="769"/>
      <c r="R46" s="769"/>
      <c r="S46" s="769"/>
      <c r="T46" s="769"/>
      <c r="U46" s="769"/>
      <c r="V46" s="769"/>
      <c r="W46" s="769"/>
      <c r="X46" s="769"/>
    </row>
    <row r="47" spans="3:24">
      <c r="C47" s="769"/>
      <c r="D47" s="642" t="s">
        <v>1491</v>
      </c>
      <c r="E47" s="643" t="s">
        <v>1487</v>
      </c>
      <c r="F47" s="644">
        <f>J15</f>
        <v>3.5999999999999997E-2</v>
      </c>
      <c r="G47" s="645">
        <v>3.5999999999999997E-2</v>
      </c>
      <c r="H47" s="769"/>
      <c r="I47" s="769"/>
      <c r="J47" s="769"/>
      <c r="K47" s="769"/>
      <c r="L47" s="769"/>
      <c r="M47" s="769"/>
      <c r="N47" s="769"/>
      <c r="O47" s="769"/>
      <c r="P47" s="769"/>
      <c r="Q47" s="769"/>
      <c r="R47" s="769"/>
      <c r="S47" s="769"/>
      <c r="T47" s="769"/>
      <c r="U47" s="769"/>
      <c r="V47" s="769"/>
      <c r="W47" s="769"/>
      <c r="X47" s="769"/>
    </row>
    <row r="48" spans="3:24">
      <c r="C48" s="769"/>
      <c r="D48" s="642" t="s">
        <v>1480</v>
      </c>
      <c r="E48" s="643" t="s">
        <v>1480</v>
      </c>
      <c r="F48" s="643" t="s">
        <v>1480</v>
      </c>
      <c r="G48" s="634" t="s">
        <v>1480</v>
      </c>
      <c r="H48" s="769"/>
      <c r="I48" s="769"/>
      <c r="J48" s="769"/>
      <c r="K48" s="769"/>
      <c r="L48" s="769"/>
      <c r="M48" s="769"/>
      <c r="N48" s="769"/>
      <c r="O48" s="769"/>
      <c r="P48" s="769"/>
      <c r="Q48" s="769"/>
      <c r="R48" s="769"/>
      <c r="S48" s="769"/>
      <c r="T48" s="769"/>
      <c r="U48" s="769"/>
      <c r="V48" s="769"/>
      <c r="W48" s="769"/>
      <c r="X48" s="769"/>
    </row>
    <row r="49" spans="3:24">
      <c r="C49" s="769"/>
      <c r="D49" s="638" t="s">
        <v>1492</v>
      </c>
      <c r="E49" s="639" t="s">
        <v>1480</v>
      </c>
      <c r="F49" s="660">
        <f>((((100%+F35+F37+F38)*(100%+F36)*(100%+F41))/(100%-F43))-100%)</f>
        <v>0.19045250250696344</v>
      </c>
      <c r="G49" s="661">
        <f>((((100%+G35+G37+G38)*(100%+G36)*(100%+G41))/(100%-G43))-100%)</f>
        <v>0.15194730026954151</v>
      </c>
      <c r="H49" s="769"/>
      <c r="I49" s="769"/>
      <c r="J49" s="769"/>
      <c r="K49" s="769"/>
      <c r="L49" s="769"/>
      <c r="M49" s="769"/>
      <c r="N49" s="769"/>
      <c r="O49" s="769"/>
      <c r="P49" s="769"/>
      <c r="Q49" s="769"/>
      <c r="R49" s="769"/>
      <c r="S49" s="769"/>
      <c r="T49" s="769"/>
      <c r="U49" s="769"/>
      <c r="V49" s="769"/>
      <c r="W49" s="769"/>
      <c r="X49" s="769"/>
    </row>
    <row r="50" spans="3:24">
      <c r="C50" s="769"/>
      <c r="D50" s="642" t="s">
        <v>1480</v>
      </c>
      <c r="E50" s="643" t="s">
        <v>1480</v>
      </c>
      <c r="F50" s="643" t="s">
        <v>1480</v>
      </c>
      <c r="G50" s="634" t="s">
        <v>1480</v>
      </c>
      <c r="H50" s="769"/>
      <c r="I50" s="769"/>
      <c r="J50" s="769"/>
      <c r="K50" s="769"/>
      <c r="L50" s="769"/>
      <c r="M50" s="769"/>
      <c r="N50" s="769"/>
      <c r="O50" s="769"/>
      <c r="P50" s="769"/>
      <c r="Q50" s="769"/>
      <c r="R50" s="769"/>
      <c r="S50" s="769"/>
      <c r="T50" s="769"/>
      <c r="U50" s="769"/>
      <c r="V50" s="769"/>
      <c r="W50" s="769"/>
      <c r="X50" s="769"/>
    </row>
    <row r="51" spans="3:24">
      <c r="C51" s="769"/>
      <c r="D51" s="662" t="s">
        <v>1493</v>
      </c>
      <c r="E51" s="663" t="s">
        <v>1480</v>
      </c>
      <c r="F51" s="663" t="s">
        <v>1480</v>
      </c>
      <c r="G51" s="632" t="s">
        <v>1480</v>
      </c>
      <c r="H51" s="769"/>
      <c r="I51" s="769"/>
      <c r="J51" s="769"/>
      <c r="K51" s="769"/>
      <c r="L51" s="769"/>
      <c r="M51" s="769"/>
      <c r="N51" s="769"/>
      <c r="O51" s="769"/>
      <c r="P51" s="769"/>
      <c r="Q51" s="769"/>
      <c r="R51" s="769"/>
      <c r="S51" s="769"/>
      <c r="T51" s="769"/>
      <c r="U51" s="769"/>
      <c r="V51" s="769"/>
      <c r="W51" s="769"/>
      <c r="X51" s="769"/>
    </row>
    <row r="52" spans="3:24">
      <c r="C52" s="769"/>
      <c r="D52" s="919" t="s">
        <v>1494</v>
      </c>
      <c r="E52" s="920"/>
      <c r="F52" s="920"/>
      <c r="G52" s="921"/>
      <c r="H52" s="769"/>
      <c r="I52" s="769"/>
      <c r="J52" s="769"/>
      <c r="K52" s="769"/>
      <c r="L52" s="769"/>
      <c r="M52" s="769"/>
      <c r="N52" s="769"/>
      <c r="O52" s="769"/>
      <c r="P52" s="769"/>
      <c r="Q52" s="769"/>
      <c r="R52" s="769"/>
      <c r="S52" s="769"/>
      <c r="T52" s="769"/>
      <c r="U52" s="769"/>
      <c r="V52" s="769"/>
      <c r="W52" s="769"/>
      <c r="X52" s="769"/>
    </row>
    <row r="53" spans="3:24">
      <c r="C53" s="769"/>
      <c r="D53" s="769"/>
      <c r="E53" s="769"/>
      <c r="F53" s="769"/>
      <c r="G53" s="769"/>
      <c r="H53" s="769"/>
      <c r="I53" s="769"/>
      <c r="J53" s="769"/>
      <c r="K53" s="769"/>
      <c r="L53" s="769"/>
      <c r="M53" s="769"/>
      <c r="N53" s="769"/>
      <c r="O53" s="769"/>
      <c r="P53" s="769"/>
      <c r="Q53" s="769"/>
      <c r="R53" s="769"/>
      <c r="S53" s="769"/>
      <c r="T53" s="769"/>
      <c r="U53" s="769"/>
      <c r="V53" s="769"/>
      <c r="W53" s="769"/>
      <c r="X53" s="769"/>
    </row>
    <row r="54" spans="3:24">
      <c r="C54" s="769"/>
      <c r="D54" s="769"/>
      <c r="E54" s="769"/>
      <c r="F54" s="769"/>
      <c r="G54" s="769"/>
      <c r="H54" s="769"/>
      <c r="I54" s="769"/>
      <c r="J54" s="769"/>
      <c r="K54" s="769"/>
      <c r="L54" s="769"/>
      <c r="M54" s="769"/>
      <c r="N54" s="769"/>
      <c r="O54" s="769"/>
      <c r="P54" s="769"/>
      <c r="Q54" s="769"/>
      <c r="R54" s="769"/>
      <c r="S54" s="769"/>
      <c r="T54" s="769"/>
      <c r="U54" s="769"/>
      <c r="V54" s="769"/>
      <c r="W54" s="769"/>
      <c r="X54" s="769"/>
    </row>
    <row r="55" spans="3:24">
      <c r="C55" s="664" t="s">
        <v>1473</v>
      </c>
      <c r="D55" s="769" t="s">
        <v>1459</v>
      </c>
      <c r="E55" s="769"/>
      <c r="F55" s="769"/>
      <c r="G55" s="769"/>
      <c r="H55" s="769"/>
      <c r="I55" s="769"/>
      <c r="J55" s="769"/>
      <c r="K55" s="769"/>
      <c r="L55" s="769"/>
      <c r="M55" s="769"/>
      <c r="N55" s="769"/>
      <c r="O55" s="769"/>
      <c r="P55" s="769"/>
      <c r="Q55" s="769"/>
      <c r="R55" s="769"/>
      <c r="S55" s="769"/>
      <c r="T55" s="769"/>
      <c r="U55" s="769"/>
      <c r="V55" s="769"/>
      <c r="W55" s="769"/>
      <c r="X55" s="769"/>
    </row>
    <row r="56" spans="3:24">
      <c r="C56" s="664" t="s">
        <v>1495</v>
      </c>
      <c r="D56" s="769" t="s">
        <v>1496</v>
      </c>
      <c r="E56" s="769"/>
      <c r="F56" s="769"/>
      <c r="G56" s="769"/>
      <c r="H56" s="769"/>
      <c r="I56" s="769"/>
      <c r="J56" s="769"/>
      <c r="K56" s="769"/>
      <c r="L56" s="769"/>
      <c r="M56" s="769"/>
      <c r="N56" s="769"/>
      <c r="O56" s="769"/>
      <c r="P56" s="769"/>
      <c r="Q56" s="769"/>
      <c r="R56" s="769"/>
      <c r="S56" s="769"/>
      <c r="T56" s="769"/>
      <c r="U56" s="769"/>
      <c r="V56" s="769"/>
      <c r="W56" s="769"/>
      <c r="X56" s="769"/>
    </row>
    <row r="57" spans="3:24">
      <c r="C57" s="664" t="s">
        <v>1479</v>
      </c>
      <c r="D57" s="769" t="s">
        <v>1461</v>
      </c>
      <c r="E57" s="769"/>
      <c r="F57" s="769"/>
      <c r="G57" s="769"/>
      <c r="H57" s="769"/>
      <c r="I57" s="769"/>
      <c r="J57" s="769"/>
      <c r="K57" s="769"/>
      <c r="L57" s="769"/>
      <c r="M57" s="769"/>
      <c r="N57" s="769"/>
      <c r="O57" s="769"/>
      <c r="P57" s="769"/>
      <c r="Q57" s="769"/>
      <c r="R57" s="769"/>
      <c r="S57" s="769"/>
      <c r="T57" s="769"/>
      <c r="U57" s="769"/>
      <c r="V57" s="769"/>
      <c r="W57" s="769"/>
      <c r="X57" s="769"/>
    </row>
    <row r="58" spans="3:24">
      <c r="C58" s="664" t="s">
        <v>1497</v>
      </c>
      <c r="D58" s="769" t="s">
        <v>1498</v>
      </c>
      <c r="E58" s="769"/>
      <c r="F58" s="769"/>
      <c r="G58" s="769"/>
      <c r="H58" s="769"/>
      <c r="I58" s="769"/>
      <c r="J58" s="769"/>
      <c r="K58" s="769"/>
      <c r="L58" s="769"/>
      <c r="M58" s="769"/>
      <c r="N58" s="769"/>
      <c r="O58" s="769"/>
      <c r="P58" s="769"/>
      <c r="Q58" s="769"/>
      <c r="R58" s="769"/>
      <c r="S58" s="769"/>
      <c r="T58" s="769"/>
      <c r="U58" s="769"/>
      <c r="V58" s="769"/>
      <c r="W58" s="769"/>
      <c r="X58" s="769"/>
    </row>
    <row r="59" spans="3:24">
      <c r="C59" s="664" t="s">
        <v>1475</v>
      </c>
      <c r="D59" s="769" t="s">
        <v>1462</v>
      </c>
      <c r="E59" s="769"/>
      <c r="F59" s="769"/>
      <c r="G59" s="769"/>
      <c r="H59" s="769"/>
      <c r="I59" s="769"/>
      <c r="J59" s="769"/>
      <c r="K59" s="769"/>
      <c r="L59" s="769"/>
      <c r="M59" s="769"/>
      <c r="N59" s="769"/>
      <c r="O59" s="769"/>
      <c r="P59" s="769"/>
      <c r="Q59" s="769"/>
      <c r="R59" s="769"/>
      <c r="S59" s="769"/>
      <c r="T59" s="769"/>
      <c r="U59" s="769"/>
      <c r="V59" s="769"/>
      <c r="W59" s="769"/>
      <c r="X59" s="769"/>
    </row>
    <row r="60" spans="3:24">
      <c r="C60" s="664" t="s">
        <v>1483</v>
      </c>
      <c r="D60" s="769" t="s">
        <v>1463</v>
      </c>
      <c r="E60" s="769"/>
      <c r="F60" s="769"/>
      <c r="G60" s="769"/>
      <c r="H60" s="769"/>
      <c r="I60" s="769"/>
      <c r="J60" s="769"/>
      <c r="K60" s="769"/>
      <c r="L60" s="769"/>
      <c r="M60" s="769"/>
      <c r="N60" s="769"/>
      <c r="O60" s="769"/>
      <c r="P60" s="769"/>
      <c r="Q60" s="769"/>
      <c r="R60" s="769"/>
      <c r="S60" s="769"/>
      <c r="T60" s="769"/>
      <c r="U60" s="769"/>
      <c r="V60" s="769"/>
      <c r="W60" s="769"/>
      <c r="X60" s="769"/>
    </row>
    <row r="61" spans="3:24">
      <c r="C61" s="664" t="s">
        <v>1487</v>
      </c>
      <c r="D61" s="769" t="s">
        <v>1499</v>
      </c>
      <c r="E61" s="769"/>
      <c r="F61" s="769"/>
      <c r="G61" s="769"/>
      <c r="H61" s="769"/>
      <c r="I61" s="769"/>
      <c r="J61" s="769"/>
      <c r="K61" s="769"/>
      <c r="L61" s="769"/>
      <c r="M61" s="769"/>
      <c r="N61" s="769"/>
      <c r="O61" s="769"/>
      <c r="P61" s="769"/>
      <c r="Q61" s="769"/>
      <c r="R61" s="769"/>
      <c r="S61" s="769"/>
      <c r="T61" s="769"/>
      <c r="U61" s="769"/>
      <c r="V61" s="769"/>
      <c r="W61" s="769"/>
      <c r="X61" s="769"/>
    </row>
    <row r="68" spans="1:1" ht="21">
      <c r="A68" s="348"/>
    </row>
    <row r="69" spans="1:1" ht="21">
      <c r="A69" s="348"/>
    </row>
    <row r="89" spans="1:1" ht="21">
      <c r="A89" s="348"/>
    </row>
    <row r="90" spans="1:1" ht="21">
      <c r="A90" s="348"/>
    </row>
  </sheetData>
  <mergeCells count="10">
    <mergeCell ref="I44:X44"/>
    <mergeCell ref="D52:G52"/>
    <mergeCell ref="C8:G8"/>
    <mergeCell ref="C16:G16"/>
    <mergeCell ref="C24:G24"/>
    <mergeCell ref="C28:G28"/>
    <mergeCell ref="D32:D33"/>
    <mergeCell ref="E32:E33"/>
    <mergeCell ref="F32:F33"/>
    <mergeCell ref="G32:G3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1">
    <tabColor rgb="FF002060"/>
  </sheetPr>
  <dimension ref="A1:BL254"/>
  <sheetViews>
    <sheetView showGridLines="0" workbookViewId="0">
      <selection activeCell="H22" sqref="H22"/>
    </sheetView>
  </sheetViews>
  <sheetFormatPr defaultRowHeight="14.45"/>
  <cols>
    <col min="1" max="1" width="13.5703125" style="2" customWidth="1"/>
    <col min="2" max="2" width="4.42578125" customWidth="1"/>
    <col min="3" max="3" width="27.28515625" customWidth="1"/>
    <col min="4" max="4" width="17.28515625" customWidth="1"/>
    <col min="5" max="5" width="21.85546875" customWidth="1"/>
    <col min="6" max="6" width="4.7109375" customWidth="1"/>
    <col min="7" max="7" width="6.5703125" customWidth="1"/>
    <col min="8" max="8" width="26.140625" customWidth="1"/>
    <col min="9" max="9" width="72.85546875" customWidth="1"/>
    <col min="10" max="10" width="79.5703125" customWidth="1"/>
    <col min="11" max="11" width="12.42578125" bestFit="1" customWidth="1"/>
    <col min="12" max="12" width="91.140625" customWidth="1"/>
    <col min="27" max="27" width="13.7109375" customWidth="1"/>
    <col min="28" max="28" width="23.85546875" customWidth="1"/>
    <col min="33" max="33" width="10.140625" customWidth="1"/>
  </cols>
  <sheetData>
    <row r="1" spans="2:64" s="2" customFormat="1" ht="15" customHeight="1">
      <c r="B1" s="348" t="s">
        <v>1500</v>
      </c>
      <c r="C1" s="348"/>
      <c r="D1" s="348"/>
    </row>
    <row r="2" spans="2:64" s="2" customFormat="1" ht="15" customHeight="1">
      <c r="B2" s="348"/>
      <c r="C2" s="348"/>
      <c r="D2" s="348"/>
    </row>
    <row r="4" spans="2:64" ht="15.6" customHeight="1">
      <c r="C4" s="160" t="s">
        <v>1501</v>
      </c>
      <c r="D4" s="160"/>
      <c r="E4" s="161"/>
      <c r="H4" s="162" t="s">
        <v>1502</v>
      </c>
      <c r="I4" s="163" t="s">
        <v>1503</v>
      </c>
      <c r="J4" s="164" t="s">
        <v>1504</v>
      </c>
      <c r="L4" s="165" t="s">
        <v>1505</v>
      </c>
      <c r="Y4" s="933" t="s">
        <v>1506</v>
      </c>
      <c r="Z4" s="933"/>
      <c r="AA4" s="166" t="s">
        <v>1507</v>
      </c>
      <c r="AB4" s="167">
        <f>MEDIAN(Z5:Z254)</f>
        <v>208</v>
      </c>
      <c r="AD4" s="168" t="s">
        <v>1508</v>
      </c>
      <c r="AE4" s="169" t="s">
        <v>1509</v>
      </c>
      <c r="AF4" s="170">
        <f>AD9-1</f>
        <v>3.8928404064361599E-2</v>
      </c>
    </row>
    <row r="5" spans="2:64" ht="15.6" customHeight="1" thickBot="1">
      <c r="C5" t="s">
        <v>1510</v>
      </c>
      <c r="D5" t="s">
        <v>1511</v>
      </c>
      <c r="E5" s="171">
        <f>MAX(M5:M6)</f>
        <v>4.41E-2</v>
      </c>
      <c r="H5" s="172" t="s">
        <v>1512</v>
      </c>
      <c r="I5" s="173" t="s">
        <v>1513</v>
      </c>
      <c r="J5" s="174" t="s">
        <v>1514</v>
      </c>
      <c r="L5" s="175" t="s">
        <v>1515</v>
      </c>
      <c r="M5" s="176">
        <v>4.41E-2</v>
      </c>
      <c r="N5" s="177" t="s">
        <v>1516</v>
      </c>
      <c r="Y5" s="178">
        <v>45503</v>
      </c>
      <c r="Z5" s="179">
        <v>228</v>
      </c>
      <c r="AD5" s="180">
        <v>2025</v>
      </c>
      <c r="AE5" s="180">
        <v>2026</v>
      </c>
      <c r="AF5" s="180">
        <v>2027</v>
      </c>
      <c r="AG5" s="180">
        <v>2028</v>
      </c>
      <c r="AH5" s="180">
        <v>2029</v>
      </c>
      <c r="AI5" s="180">
        <v>2030</v>
      </c>
      <c r="AJ5" s="180">
        <v>2031</v>
      </c>
      <c r="AK5" s="180">
        <v>2032</v>
      </c>
      <c r="AL5" s="180">
        <v>2033</v>
      </c>
      <c r="AM5" s="180">
        <v>2034</v>
      </c>
      <c r="AN5" s="180">
        <v>2035</v>
      </c>
      <c r="AO5" s="180">
        <v>2036</v>
      </c>
      <c r="AP5" s="180">
        <v>2037</v>
      </c>
      <c r="AQ5" s="180">
        <v>2038</v>
      </c>
      <c r="AR5" s="180">
        <v>2039</v>
      </c>
      <c r="AS5" s="180">
        <v>2040</v>
      </c>
      <c r="AT5" s="180">
        <v>2041</v>
      </c>
      <c r="AU5" s="180">
        <v>2042</v>
      </c>
      <c r="AV5" s="180">
        <v>2043</v>
      </c>
      <c r="AW5" s="180">
        <v>2044</v>
      </c>
      <c r="AX5" s="180">
        <v>2045</v>
      </c>
      <c r="AY5" s="180">
        <v>2046</v>
      </c>
      <c r="AZ5" s="180">
        <v>2047</v>
      </c>
      <c r="BA5" s="180">
        <v>2048</v>
      </c>
      <c r="BB5" s="180">
        <v>2049</v>
      </c>
      <c r="BC5" s="180">
        <v>2050</v>
      </c>
      <c r="BD5" s="180">
        <v>2051</v>
      </c>
      <c r="BE5" s="180">
        <v>2052</v>
      </c>
      <c r="BF5" s="180">
        <v>2053</v>
      </c>
      <c r="BG5" s="180">
        <v>2054</v>
      </c>
      <c r="BH5" s="180">
        <v>2055</v>
      </c>
      <c r="BI5" s="180">
        <v>2056</v>
      </c>
      <c r="BJ5" s="180">
        <v>2057</v>
      </c>
      <c r="BK5" s="180">
        <v>2058</v>
      </c>
      <c r="BL5" s="180">
        <v>2059</v>
      </c>
    </row>
    <row r="6" spans="2:64" ht="15.6" customHeight="1" thickBot="1">
      <c r="C6" t="s">
        <v>1517</v>
      </c>
      <c r="D6" t="s">
        <v>1518</v>
      </c>
      <c r="E6" s="181">
        <f>M8</f>
        <v>0.91299999999999992</v>
      </c>
      <c r="H6" s="172" t="s">
        <v>1519</v>
      </c>
      <c r="I6" s="173" t="s">
        <v>1520</v>
      </c>
      <c r="J6" s="174" t="s">
        <v>1521</v>
      </c>
      <c r="L6" s="175" t="s">
        <v>1522</v>
      </c>
      <c r="M6" s="176">
        <v>3.5000000000000003E-2</v>
      </c>
      <c r="N6" s="177" t="s">
        <v>1523</v>
      </c>
      <c r="Y6" s="182">
        <v>45502</v>
      </c>
      <c r="Z6" s="183">
        <v>225</v>
      </c>
      <c r="AD6" s="176">
        <v>5.1999999999999998E-2</v>
      </c>
      <c r="AE6" s="176">
        <v>4.4999999999999998E-2</v>
      </c>
      <c r="AF6" s="176">
        <v>0.04</v>
      </c>
      <c r="AG6" s="176">
        <v>3.8300000000000001E-2</v>
      </c>
      <c r="AH6" s="176">
        <v>3.8300000000000001E-2</v>
      </c>
      <c r="AI6" s="176">
        <v>3.8300000000000001E-2</v>
      </c>
      <c r="AJ6" s="176">
        <v>3.8300000000000001E-2</v>
      </c>
      <c r="AK6" s="176">
        <v>3.8300000000000001E-2</v>
      </c>
      <c r="AL6" s="176">
        <v>3.8300000000000001E-2</v>
      </c>
      <c r="AM6" s="176">
        <v>3.8300000000000001E-2</v>
      </c>
      <c r="AN6" s="176">
        <v>3.8300000000000001E-2</v>
      </c>
      <c r="AO6" s="176">
        <v>3.8300000000000001E-2</v>
      </c>
      <c r="AP6" s="176">
        <v>3.8300000000000001E-2</v>
      </c>
      <c r="AQ6" s="176">
        <v>3.8300000000000001E-2</v>
      </c>
      <c r="AR6" s="176">
        <v>3.8300000000000001E-2</v>
      </c>
      <c r="AS6" s="176">
        <v>3.8300000000000001E-2</v>
      </c>
      <c r="AT6" s="176">
        <v>3.8300000000000001E-2</v>
      </c>
      <c r="AU6" s="176">
        <v>3.8300000000000001E-2</v>
      </c>
      <c r="AV6" s="176">
        <v>3.8300000000000001E-2</v>
      </c>
      <c r="AW6" s="176">
        <v>3.8300000000000001E-2</v>
      </c>
      <c r="AX6" s="176">
        <v>3.8300000000000001E-2</v>
      </c>
      <c r="AY6" s="176">
        <v>3.8300000000000001E-2</v>
      </c>
      <c r="AZ6" s="176">
        <v>3.8300000000000001E-2</v>
      </c>
      <c r="BA6" s="176">
        <v>3.8300000000000001E-2</v>
      </c>
      <c r="BB6" s="176">
        <v>3.8300000000000001E-2</v>
      </c>
      <c r="BC6" s="176">
        <v>3.8300000000000001E-2</v>
      </c>
      <c r="BD6" s="176">
        <v>3.8300000000000001E-2</v>
      </c>
      <c r="BE6" s="176">
        <v>3.8300000000000001E-2</v>
      </c>
      <c r="BF6" s="176">
        <v>3.8300000000000001E-2</v>
      </c>
      <c r="BG6" s="176">
        <v>3.8300000000000001E-2</v>
      </c>
      <c r="BH6" s="176">
        <v>3.8300000000000001E-2</v>
      </c>
      <c r="BI6" s="176">
        <v>3.8300000000000001E-2</v>
      </c>
      <c r="BJ6" s="176">
        <v>3.8300000000000001E-2</v>
      </c>
      <c r="BK6" s="176">
        <v>3.8300000000000001E-2</v>
      </c>
      <c r="BL6" s="176">
        <v>3.8300000000000001E-2</v>
      </c>
    </row>
    <row r="7" spans="2:64" ht="15.6" customHeight="1" thickBot="1">
      <c r="C7" s="184" t="s">
        <v>1524</v>
      </c>
      <c r="E7" s="171">
        <f>M15</f>
        <v>0.33695000000000003</v>
      </c>
      <c r="H7" s="172" t="s">
        <v>1518</v>
      </c>
      <c r="I7" s="185" t="s">
        <v>1525</v>
      </c>
      <c r="J7" s="173" t="s">
        <v>1521</v>
      </c>
      <c r="Y7" s="186">
        <v>45499</v>
      </c>
      <c r="Z7" s="187">
        <v>224</v>
      </c>
      <c r="AD7" s="176">
        <f t="shared" ref="AD7:AR7" si="0">(1+AD6)</f>
        <v>1.052</v>
      </c>
      <c r="AE7" s="176">
        <f t="shared" si="0"/>
        <v>1.0449999999999999</v>
      </c>
      <c r="AF7" s="176">
        <f>(1+AF6)</f>
        <v>1.04</v>
      </c>
      <c r="AG7" s="176">
        <f t="shared" si="0"/>
        <v>1.0383</v>
      </c>
      <c r="AH7" s="176">
        <f t="shared" si="0"/>
        <v>1.0383</v>
      </c>
      <c r="AI7" s="176">
        <f t="shared" si="0"/>
        <v>1.0383</v>
      </c>
      <c r="AJ7" s="176">
        <f t="shared" si="0"/>
        <v>1.0383</v>
      </c>
      <c r="AK7" s="176">
        <f t="shared" si="0"/>
        <v>1.0383</v>
      </c>
      <c r="AL7" s="176">
        <f t="shared" si="0"/>
        <v>1.0383</v>
      </c>
      <c r="AM7" s="176">
        <f t="shared" si="0"/>
        <v>1.0383</v>
      </c>
      <c r="AN7" s="176">
        <f t="shared" si="0"/>
        <v>1.0383</v>
      </c>
      <c r="AO7" s="176">
        <f t="shared" si="0"/>
        <v>1.0383</v>
      </c>
      <c r="AP7" s="176">
        <f t="shared" si="0"/>
        <v>1.0383</v>
      </c>
      <c r="AQ7" s="176">
        <f t="shared" si="0"/>
        <v>1.0383</v>
      </c>
      <c r="AR7" s="176">
        <f t="shared" si="0"/>
        <v>1.0383</v>
      </c>
      <c r="AS7" s="176">
        <f>(1+AS6)</f>
        <v>1.0383</v>
      </c>
      <c r="AT7" s="176">
        <f>(1+AT6)</f>
        <v>1.0383</v>
      </c>
      <c r="AU7" s="176">
        <f t="shared" ref="AU7:BL7" si="1">(1+AU6)</f>
        <v>1.0383</v>
      </c>
      <c r="AV7" s="176">
        <f t="shared" si="1"/>
        <v>1.0383</v>
      </c>
      <c r="AW7" s="176">
        <f t="shared" si="1"/>
        <v>1.0383</v>
      </c>
      <c r="AX7" s="176">
        <f t="shared" si="1"/>
        <v>1.0383</v>
      </c>
      <c r="AY7" s="176">
        <f t="shared" si="1"/>
        <v>1.0383</v>
      </c>
      <c r="AZ7" s="176">
        <f t="shared" si="1"/>
        <v>1.0383</v>
      </c>
      <c r="BA7" s="176">
        <f t="shared" si="1"/>
        <v>1.0383</v>
      </c>
      <c r="BB7" s="176">
        <f t="shared" si="1"/>
        <v>1.0383</v>
      </c>
      <c r="BC7" s="176">
        <f t="shared" si="1"/>
        <v>1.0383</v>
      </c>
      <c r="BD7" s="176">
        <f t="shared" si="1"/>
        <v>1.0383</v>
      </c>
      <c r="BE7" s="176">
        <f t="shared" si="1"/>
        <v>1.0383</v>
      </c>
      <c r="BF7" s="176">
        <f t="shared" si="1"/>
        <v>1.0383</v>
      </c>
      <c r="BG7" s="176">
        <f t="shared" si="1"/>
        <v>1.0383</v>
      </c>
      <c r="BH7" s="176">
        <f t="shared" si="1"/>
        <v>1.0383</v>
      </c>
      <c r="BI7" s="176">
        <f t="shared" si="1"/>
        <v>1.0383</v>
      </c>
      <c r="BJ7" s="176">
        <f t="shared" si="1"/>
        <v>1.0383</v>
      </c>
      <c r="BK7" s="176">
        <f t="shared" si="1"/>
        <v>1.0383</v>
      </c>
      <c r="BL7" s="176">
        <f t="shared" si="1"/>
        <v>1.0383</v>
      </c>
    </row>
    <row r="8" spans="2:64" ht="15.6" customHeight="1" thickBot="1">
      <c r="C8" t="s">
        <v>1526</v>
      </c>
      <c r="D8" t="s">
        <v>1527</v>
      </c>
      <c r="E8" s="188">
        <f>E6*(1+E7*(1-E17))</f>
        <v>1.1160393309999999</v>
      </c>
      <c r="H8" s="189" t="s">
        <v>1511</v>
      </c>
      <c r="I8" s="174" t="s">
        <v>1528</v>
      </c>
      <c r="J8" s="174" t="s">
        <v>1529</v>
      </c>
      <c r="L8" s="165" t="s">
        <v>1530</v>
      </c>
      <c r="M8">
        <f>SUMPRODUCT(M10:M13,N10:N13)/SUM(N10:N13)</f>
        <v>0.91299999999999992</v>
      </c>
      <c r="N8" s="177" t="s">
        <v>1531</v>
      </c>
      <c r="Y8" s="182">
        <v>45498</v>
      </c>
      <c r="Z8" s="183">
        <v>226</v>
      </c>
      <c r="AD8" s="120">
        <f>PRODUCT(AD7:BL7)</f>
        <v>3.8062446365490823</v>
      </c>
    </row>
    <row r="9" spans="2:64" ht="15.6" customHeight="1" thickBot="1">
      <c r="C9" t="s">
        <v>1532</v>
      </c>
      <c r="D9" t="s">
        <v>1533</v>
      </c>
      <c r="E9" s="171">
        <f>AVERAGE(M23:M25)</f>
        <v>4.6166666666666668E-2</v>
      </c>
      <c r="H9" s="172" t="s">
        <v>1533</v>
      </c>
      <c r="I9" s="174" t="s">
        <v>1528</v>
      </c>
      <c r="J9" s="174" t="s">
        <v>1534</v>
      </c>
      <c r="M9" s="15" t="s">
        <v>1535</v>
      </c>
      <c r="N9" s="190" t="s">
        <v>786</v>
      </c>
      <c r="Y9" s="186">
        <v>45497</v>
      </c>
      <c r="Z9" s="187">
        <v>220</v>
      </c>
      <c r="AD9" s="120">
        <f>AD8^(1/35)</f>
        <v>1.0389284040643616</v>
      </c>
    </row>
    <row r="10" spans="2:64" ht="15.6" customHeight="1" thickBot="1">
      <c r="C10" t="s">
        <v>1536</v>
      </c>
      <c r="D10" t="s">
        <v>1537</v>
      </c>
      <c r="E10" s="171">
        <f>MAX(M27:M28)</f>
        <v>3.3399999999999999E-2</v>
      </c>
      <c r="H10" s="191" t="s">
        <v>1538</v>
      </c>
      <c r="I10" s="185" t="s">
        <v>1539</v>
      </c>
      <c r="J10" s="174" t="s">
        <v>1540</v>
      </c>
      <c r="L10" t="s">
        <v>1541</v>
      </c>
      <c r="M10">
        <v>0.9</v>
      </c>
      <c r="N10" s="192">
        <v>3</v>
      </c>
      <c r="Y10" s="182">
        <v>45496</v>
      </c>
      <c r="Z10" s="183">
        <v>224</v>
      </c>
    </row>
    <row r="11" spans="2:64" ht="15.6" customHeight="1" thickBot="1">
      <c r="C11" s="193" t="s">
        <v>1542</v>
      </c>
      <c r="D11" s="194" t="s">
        <v>1543</v>
      </c>
      <c r="E11" s="195">
        <f>E5+E10+E9*E8</f>
        <v>0.12902381578116667</v>
      </c>
      <c r="H11" s="191" t="s">
        <v>1485</v>
      </c>
      <c r="I11" s="185" t="s">
        <v>1544</v>
      </c>
      <c r="J11" s="174" t="s">
        <v>1545</v>
      </c>
      <c r="L11" t="s">
        <v>1546</v>
      </c>
      <c r="M11">
        <v>0.89</v>
      </c>
      <c r="N11" s="192">
        <v>5</v>
      </c>
      <c r="Y11" s="186">
        <v>45495</v>
      </c>
      <c r="Z11" s="187">
        <v>225</v>
      </c>
    </row>
    <row r="12" spans="2:64" ht="15.6" customHeight="1" thickBot="1">
      <c r="C12" t="s">
        <v>1547</v>
      </c>
      <c r="D12" t="s">
        <v>1548</v>
      </c>
      <c r="E12" s="171">
        <f>M34</f>
        <v>2.7E-2</v>
      </c>
      <c r="H12" s="191" t="s">
        <v>1549</v>
      </c>
      <c r="I12" s="185" t="s">
        <v>1550</v>
      </c>
      <c r="J12" s="174" t="s">
        <v>1551</v>
      </c>
      <c r="L12" t="s">
        <v>1552</v>
      </c>
      <c r="M12">
        <v>0.86</v>
      </c>
      <c r="N12" s="192">
        <v>1</v>
      </c>
      <c r="Y12" s="182">
        <v>45492</v>
      </c>
      <c r="Z12" s="183">
        <v>229</v>
      </c>
    </row>
    <row r="13" spans="2:64" ht="15.6" customHeight="1" thickBot="1">
      <c r="C13" t="s">
        <v>1553</v>
      </c>
      <c r="D13" t="s">
        <v>1554</v>
      </c>
      <c r="E13" s="171">
        <f>MAX(M31:M32)</f>
        <v>4.7899999999999998E-2</v>
      </c>
      <c r="H13" s="172" t="s">
        <v>1555</v>
      </c>
      <c r="I13" s="185" t="s">
        <v>1556</v>
      </c>
      <c r="J13" s="196" t="s">
        <v>1557</v>
      </c>
      <c r="L13" t="s">
        <v>29</v>
      </c>
      <c r="M13">
        <v>1.1200000000000001</v>
      </c>
      <c r="N13" s="192">
        <v>1</v>
      </c>
      <c r="Y13" s="186">
        <v>45491</v>
      </c>
      <c r="Z13" s="187">
        <v>232</v>
      </c>
    </row>
    <row r="14" spans="2:64" ht="15.6" customHeight="1" thickBot="1">
      <c r="C14" t="s">
        <v>1558</v>
      </c>
      <c r="D14" s="197" t="s">
        <v>1559</v>
      </c>
      <c r="E14" s="120">
        <f>(1+E13)/(1+E12)-1</f>
        <v>2.0350535540408998E-2</v>
      </c>
      <c r="H14" s="191" t="s">
        <v>1560</v>
      </c>
      <c r="I14" s="173" t="s">
        <v>1561</v>
      </c>
      <c r="J14" s="196" t="s">
        <v>1562</v>
      </c>
      <c r="L14" s="165" t="s">
        <v>1563</v>
      </c>
      <c r="Y14" s="182">
        <v>45490</v>
      </c>
      <c r="Z14" s="183">
        <v>230</v>
      </c>
    </row>
    <row r="15" spans="2:64" ht="19.899999999999999" customHeight="1" thickBot="1">
      <c r="C15" s="198" t="s">
        <v>1564</v>
      </c>
      <c r="D15" s="199" t="s">
        <v>1565</v>
      </c>
      <c r="E15" s="199">
        <f>(1+E11)*(1+E14)-1</f>
        <v>0.15200005507018943</v>
      </c>
      <c r="H15" s="200" t="s">
        <v>1566</v>
      </c>
      <c r="I15" s="201" t="s">
        <v>1567</v>
      </c>
      <c r="J15" s="202" t="s">
        <v>1568</v>
      </c>
      <c r="L15" s="175" t="s">
        <v>1515</v>
      </c>
      <c r="M15" s="176">
        <f>AVERAGE(Q17:Q20)</f>
        <v>0.33695000000000003</v>
      </c>
      <c r="N15" s="177" t="s">
        <v>1569</v>
      </c>
      <c r="Y15" s="186">
        <v>45489</v>
      </c>
      <c r="Z15" s="187">
        <v>226</v>
      </c>
    </row>
    <row r="16" spans="2:64" ht="15.6" customHeight="1" thickBot="1">
      <c r="C16" s="203" t="s">
        <v>1570</v>
      </c>
      <c r="D16" s="193" t="s">
        <v>1549</v>
      </c>
      <c r="E16" s="204">
        <f>7.61%+3.7%</f>
        <v>0.11310000000000001</v>
      </c>
      <c r="M16" s="190" t="s">
        <v>1512</v>
      </c>
      <c r="N16" s="190" t="s">
        <v>786</v>
      </c>
      <c r="O16" s="190" t="s">
        <v>1519</v>
      </c>
      <c r="P16" s="190" t="s">
        <v>1571</v>
      </c>
      <c r="Y16" s="182">
        <v>45488</v>
      </c>
      <c r="Z16" s="183">
        <v>223</v>
      </c>
    </row>
    <row r="17" spans="3:26" ht="15" thickBot="1">
      <c r="C17" t="s">
        <v>1572</v>
      </c>
      <c r="D17" t="s">
        <v>1573</v>
      </c>
      <c r="E17" s="205">
        <v>0.34</v>
      </c>
      <c r="L17" t="s">
        <v>1541</v>
      </c>
      <c r="M17" s="176">
        <v>0.83099999999999996</v>
      </c>
      <c r="N17" s="192">
        <v>3</v>
      </c>
      <c r="O17" s="176">
        <f>1-M17</f>
        <v>0.16900000000000004</v>
      </c>
      <c r="P17" s="176">
        <f>O17/M17</f>
        <v>0.20336943441636587</v>
      </c>
      <c r="Q17" s="176">
        <v>0.2034</v>
      </c>
      <c r="Y17" s="186">
        <v>45485</v>
      </c>
      <c r="Z17" s="187">
        <v>224</v>
      </c>
    </row>
    <row r="18" spans="3:26" ht="15" thickBot="1">
      <c r="C18" s="193" t="s">
        <v>1574</v>
      </c>
      <c r="D18" s="193" t="s">
        <v>1575</v>
      </c>
      <c r="E18" s="206">
        <f>E16*(1-E17)</f>
        <v>7.464599999999999E-2</v>
      </c>
      <c r="L18" t="s">
        <v>1546</v>
      </c>
      <c r="M18" s="176">
        <v>0.60570000000000002</v>
      </c>
      <c r="N18" s="192">
        <v>5</v>
      </c>
      <c r="O18" s="176">
        <f>1-M18</f>
        <v>0.39429999999999998</v>
      </c>
      <c r="P18" s="176">
        <f>O18/M18</f>
        <v>0.65098233448902088</v>
      </c>
      <c r="Q18" s="176">
        <v>0.65100000000000002</v>
      </c>
      <c r="Y18" s="182">
        <v>45484</v>
      </c>
      <c r="Z18" s="183">
        <v>216</v>
      </c>
    </row>
    <row r="19" spans="3:26" ht="15" thickBot="1">
      <c r="C19" t="s">
        <v>1576</v>
      </c>
      <c r="D19" t="s">
        <v>1577</v>
      </c>
      <c r="E19" s="207">
        <f>SUMPRODUCT(M17:M20,N17:N20)/SUM(N17:N20)</f>
        <v>0.7125999999999999</v>
      </c>
      <c r="L19" t="s">
        <v>1552</v>
      </c>
      <c r="M19" s="176">
        <v>0.81210000000000004</v>
      </c>
      <c r="N19" s="192">
        <v>1</v>
      </c>
      <c r="O19" s="176">
        <f>1-M19</f>
        <v>0.18789999999999996</v>
      </c>
      <c r="P19" s="176">
        <f>O19/M19</f>
        <v>0.23137544637359925</v>
      </c>
      <c r="Q19" s="176">
        <v>0.23139999999999999</v>
      </c>
      <c r="Y19" s="186">
        <v>45483</v>
      </c>
      <c r="Z19" s="187">
        <v>224</v>
      </c>
    </row>
    <row r="20" spans="3:26" ht="15" thickBot="1">
      <c r="C20" t="s">
        <v>1578</v>
      </c>
      <c r="D20" t="s">
        <v>1579</v>
      </c>
      <c r="E20" s="120">
        <f>1-E19</f>
        <v>0.2874000000000001</v>
      </c>
      <c r="L20" t="s">
        <v>29</v>
      </c>
      <c r="M20" s="176">
        <v>0.79239999999999999</v>
      </c>
      <c r="N20" s="192">
        <v>1</v>
      </c>
      <c r="O20" s="176">
        <f>1-M20</f>
        <v>0.20760000000000001</v>
      </c>
      <c r="P20" s="176">
        <f>O20/M20</f>
        <v>0.26198889449772844</v>
      </c>
      <c r="Q20" s="176">
        <v>0.26200000000000001</v>
      </c>
      <c r="Y20" s="182">
        <v>45482</v>
      </c>
      <c r="Z20" s="183">
        <v>225</v>
      </c>
    </row>
    <row r="21" spans="3:26" ht="15" thickBot="1">
      <c r="C21" s="193" t="s">
        <v>1580</v>
      </c>
      <c r="D21" s="193" t="s">
        <v>1581</v>
      </c>
      <c r="E21" s="208">
        <f>(E15*E19)+(E18*E20)</f>
        <v>0.12976849964301698</v>
      </c>
      <c r="Y21" s="186">
        <v>45481</v>
      </c>
      <c r="Z21" s="187">
        <v>226</v>
      </c>
    </row>
    <row r="22" spans="3:26" ht="15" thickBot="1">
      <c r="L22" s="165" t="s">
        <v>1582</v>
      </c>
      <c r="Y22" s="182">
        <v>45478</v>
      </c>
      <c r="Z22" s="183">
        <v>230</v>
      </c>
    </row>
    <row r="23" spans="3:26" ht="15" thickBot="1">
      <c r="L23" s="175" t="s">
        <v>1515</v>
      </c>
      <c r="M23" s="176">
        <v>4.02E-2</v>
      </c>
      <c r="N23" s="177" t="s">
        <v>1583</v>
      </c>
      <c r="Y23" s="186">
        <v>45476</v>
      </c>
      <c r="Z23" s="187">
        <v>235</v>
      </c>
    </row>
    <row r="24" spans="3:26" ht="15" thickBot="1">
      <c r="E24" s="188"/>
      <c r="L24" s="175" t="s">
        <v>1522</v>
      </c>
      <c r="M24" s="176">
        <v>5.5E-2</v>
      </c>
      <c r="N24" s="177" t="s">
        <v>1523</v>
      </c>
      <c r="Y24" s="182">
        <v>45475</v>
      </c>
      <c r="Z24" s="183">
        <v>238</v>
      </c>
    </row>
    <row r="25" spans="3:26" ht="15" thickBot="1">
      <c r="H25" s="1" t="s">
        <v>87</v>
      </c>
      <c r="I25" s="2"/>
      <c r="J25" s="3"/>
      <c r="K25" s="4"/>
      <c r="L25" s="5"/>
      <c r="M25" s="176">
        <v>4.3299999999999998E-2</v>
      </c>
      <c r="N25" s="209" t="s">
        <v>1584</v>
      </c>
      <c r="Y25" s="186">
        <v>45474</v>
      </c>
      <c r="Z25" s="187">
        <v>235</v>
      </c>
    </row>
    <row r="26" spans="3:26" ht="15" thickBot="1">
      <c r="L26" s="165" t="s">
        <v>1536</v>
      </c>
      <c r="Y26" s="182">
        <v>45471</v>
      </c>
      <c r="Z26" s="183">
        <v>231</v>
      </c>
    </row>
    <row r="27" spans="3:26" ht="15" thickBot="1">
      <c r="L27" s="175" t="s">
        <v>1585</v>
      </c>
      <c r="M27" s="120">
        <f>AB4/10000</f>
        <v>2.0799999999999999E-2</v>
      </c>
      <c r="N27" s="177" t="s">
        <v>1586</v>
      </c>
      <c r="Y27" s="186">
        <v>45470</v>
      </c>
      <c r="Z27" s="187">
        <v>235</v>
      </c>
    </row>
    <row r="28" spans="3:26" ht="15" thickBot="1">
      <c r="L28" s="175" t="s">
        <v>1515</v>
      </c>
      <c r="M28" s="176">
        <v>3.3399999999999999E-2</v>
      </c>
      <c r="N28" s="177" t="s">
        <v>1587</v>
      </c>
      <c r="Y28" s="182">
        <v>45469</v>
      </c>
      <c r="Z28" s="183">
        <v>233</v>
      </c>
    </row>
    <row r="29" spans="3:26" ht="15" thickBot="1">
      <c r="Y29" s="186">
        <v>45468</v>
      </c>
      <c r="Z29" s="187">
        <v>235</v>
      </c>
    </row>
    <row r="30" spans="3:26" ht="15" thickBot="1">
      <c r="L30" s="165" t="s">
        <v>1588</v>
      </c>
      <c r="Y30" s="182">
        <v>45467</v>
      </c>
      <c r="Z30" s="183">
        <v>236</v>
      </c>
    </row>
    <row r="31" spans="3:26" ht="15" thickBot="1">
      <c r="L31" s="175" t="s">
        <v>1589</v>
      </c>
      <c r="M31" s="120">
        <f>(4.23%+5.35%)/2</f>
        <v>4.7899999999999998E-2</v>
      </c>
      <c r="N31" s="177" t="s">
        <v>1590</v>
      </c>
      <c r="Y31" s="186">
        <v>45464</v>
      </c>
      <c r="Z31" s="187">
        <v>235</v>
      </c>
    </row>
    <row r="32" spans="3:26" ht="15" thickBot="1">
      <c r="L32" s="175" t="s">
        <v>1591</v>
      </c>
      <c r="M32" s="176">
        <f>AF4</f>
        <v>3.8928404064361599E-2</v>
      </c>
      <c r="N32" t="s">
        <v>1592</v>
      </c>
      <c r="Y32" s="182">
        <v>45463</v>
      </c>
      <c r="Z32" s="183">
        <v>234</v>
      </c>
    </row>
    <row r="33" spans="10:45" ht="15" thickBot="1">
      <c r="Y33" s="186">
        <v>45461</v>
      </c>
      <c r="Z33" s="187">
        <v>235</v>
      </c>
    </row>
    <row r="34" spans="10:45" ht="15" thickBot="1">
      <c r="L34" s="165" t="s">
        <v>1593</v>
      </c>
      <c r="M34" s="176">
        <v>2.7E-2</v>
      </c>
      <c r="N34" s="177" t="s">
        <v>1594</v>
      </c>
      <c r="Y34" s="182">
        <v>45460</v>
      </c>
      <c r="Z34" s="183">
        <v>234</v>
      </c>
    </row>
    <row r="35" spans="10:45" ht="15" thickBot="1">
      <c r="N35" s="177" t="s">
        <v>1595</v>
      </c>
      <c r="Y35" s="186">
        <v>45457</v>
      </c>
      <c r="Z35" s="187">
        <v>234</v>
      </c>
      <c r="AS35" s="176"/>
    </row>
    <row r="36" spans="10:45" ht="15" thickBot="1">
      <c r="Y36" s="182">
        <v>45456</v>
      </c>
      <c r="Z36" s="183">
        <v>230</v>
      </c>
      <c r="AS36" s="176"/>
    </row>
    <row r="37" spans="10:45" ht="15" thickBot="1">
      <c r="Y37" s="186">
        <v>45455</v>
      </c>
      <c r="Z37" s="187">
        <v>223</v>
      </c>
    </row>
    <row r="38" spans="10:45" ht="15" thickBot="1">
      <c r="Y38" s="182">
        <v>45454</v>
      </c>
      <c r="Z38" s="183">
        <v>225</v>
      </c>
    </row>
    <row r="39" spans="10:45" ht="15" thickBot="1">
      <c r="J39" s="176"/>
      <c r="Y39" s="186">
        <v>45453</v>
      </c>
      <c r="Z39" s="187">
        <v>216</v>
      </c>
    </row>
    <row r="40" spans="10:45" ht="15" thickBot="1">
      <c r="Y40" s="182">
        <v>45450</v>
      </c>
      <c r="Z40" s="183">
        <v>221</v>
      </c>
    </row>
    <row r="41" spans="10:45" ht="15" thickBot="1">
      <c r="Y41" s="186">
        <v>45449</v>
      </c>
      <c r="Z41" s="187">
        <v>227</v>
      </c>
    </row>
    <row r="42" spans="10:45" ht="15" thickBot="1">
      <c r="Y42" s="182">
        <v>45448</v>
      </c>
      <c r="Z42" s="183">
        <v>224</v>
      </c>
    </row>
    <row r="43" spans="10:45" ht="15" thickBot="1">
      <c r="Y43" s="186">
        <v>45447</v>
      </c>
      <c r="Z43" s="187">
        <v>220</v>
      </c>
    </row>
    <row r="44" spans="10:45" ht="15" thickBot="1">
      <c r="Y44" s="182">
        <v>45446</v>
      </c>
      <c r="Z44" s="183">
        <v>217</v>
      </c>
    </row>
    <row r="45" spans="10:45" ht="15" thickBot="1">
      <c r="Y45" s="186">
        <v>45443</v>
      </c>
      <c r="Z45" s="187">
        <v>213</v>
      </c>
    </row>
    <row r="46" spans="10:45" ht="15" thickBot="1">
      <c r="Y46" s="182">
        <v>45442</v>
      </c>
      <c r="Z46" s="183">
        <v>210</v>
      </c>
    </row>
    <row r="47" spans="10:45" ht="15" thickBot="1">
      <c r="Y47" s="186">
        <v>45441</v>
      </c>
      <c r="Z47" s="187">
        <v>210</v>
      </c>
    </row>
    <row r="48" spans="10:45" ht="15" thickBot="1">
      <c r="Y48" s="182">
        <v>45440</v>
      </c>
      <c r="Z48" s="183">
        <v>219</v>
      </c>
    </row>
    <row r="49" spans="25:26" ht="15" thickBot="1">
      <c r="Y49" s="186">
        <v>45436</v>
      </c>
      <c r="Z49" s="187">
        <v>212</v>
      </c>
    </row>
    <row r="50" spans="25:26" ht="15" thickBot="1">
      <c r="Y50" s="182">
        <v>45435</v>
      </c>
      <c r="Z50" s="183">
        <v>213</v>
      </c>
    </row>
    <row r="51" spans="25:26" ht="15" thickBot="1">
      <c r="Y51" s="186">
        <v>45434</v>
      </c>
      <c r="Z51" s="187">
        <v>214</v>
      </c>
    </row>
    <row r="52" spans="25:26" ht="15" thickBot="1">
      <c r="Y52" s="182">
        <v>45433</v>
      </c>
      <c r="Z52" s="183">
        <v>212</v>
      </c>
    </row>
    <row r="53" spans="25:26" ht="15" thickBot="1">
      <c r="Y53" s="186">
        <v>45432</v>
      </c>
      <c r="Z53" s="187">
        <v>212</v>
      </c>
    </row>
    <row r="54" spans="25:26" ht="15" thickBot="1">
      <c r="Y54" s="182">
        <v>45429</v>
      </c>
      <c r="Z54" s="183">
        <v>217</v>
      </c>
    </row>
    <row r="55" spans="25:26" ht="15" thickBot="1">
      <c r="Y55" s="186">
        <v>45428</v>
      </c>
      <c r="Z55" s="187">
        <v>217</v>
      </c>
    </row>
    <row r="56" spans="25:26" ht="15" thickBot="1">
      <c r="Y56" s="182">
        <v>45427</v>
      </c>
      <c r="Z56" s="183">
        <v>221</v>
      </c>
    </row>
    <row r="57" spans="25:26" ht="15" thickBot="1">
      <c r="Y57" s="186">
        <v>45426</v>
      </c>
      <c r="Z57" s="187">
        <v>216</v>
      </c>
    </row>
    <row r="58" spans="25:26" ht="15" thickBot="1">
      <c r="Y58" s="182">
        <v>45425</v>
      </c>
      <c r="Z58" s="183">
        <v>211</v>
      </c>
    </row>
    <row r="59" spans="25:26" ht="15" thickBot="1">
      <c r="Y59" s="186">
        <v>45422</v>
      </c>
      <c r="Z59" s="187">
        <v>210</v>
      </c>
    </row>
    <row r="60" spans="25:26" ht="15" thickBot="1">
      <c r="Y60" s="182">
        <v>45421</v>
      </c>
      <c r="Z60" s="183">
        <v>209</v>
      </c>
    </row>
    <row r="61" spans="25:26" ht="15" thickBot="1">
      <c r="Y61" s="186">
        <v>45420</v>
      </c>
      <c r="Z61" s="187">
        <v>206</v>
      </c>
    </row>
    <row r="62" spans="25:26" ht="15" thickBot="1">
      <c r="Y62" s="182">
        <v>45419</v>
      </c>
      <c r="Z62" s="183">
        <v>204</v>
      </c>
    </row>
    <row r="63" spans="25:26" ht="15" thickBot="1">
      <c r="Y63" s="186">
        <v>45418</v>
      </c>
      <c r="Z63" s="187">
        <v>201</v>
      </c>
    </row>
    <row r="64" spans="25:26" ht="15" thickBot="1">
      <c r="Y64" s="182">
        <v>45415</v>
      </c>
      <c r="Z64" s="183">
        <v>204</v>
      </c>
    </row>
    <row r="65" spans="25:26" ht="15" thickBot="1">
      <c r="Y65" s="186">
        <v>45414</v>
      </c>
      <c r="Z65" s="187">
        <v>208</v>
      </c>
    </row>
    <row r="66" spans="25:26" ht="15" thickBot="1">
      <c r="Y66" s="182">
        <v>45413</v>
      </c>
      <c r="Z66" s="183">
        <v>209</v>
      </c>
    </row>
    <row r="67" spans="25:26" ht="15" thickBot="1">
      <c r="Y67" s="186">
        <v>45412</v>
      </c>
      <c r="Z67" s="187">
        <v>210</v>
      </c>
    </row>
    <row r="68" spans="25:26" ht="15" thickBot="1">
      <c r="Y68" s="182">
        <v>45411</v>
      </c>
      <c r="Z68" s="183">
        <v>212</v>
      </c>
    </row>
    <row r="69" spans="25:26" ht="15" thickBot="1">
      <c r="Y69" s="186">
        <v>45408</v>
      </c>
      <c r="Z69" s="187">
        <v>212</v>
      </c>
    </row>
    <row r="70" spans="25:26" ht="15" thickBot="1">
      <c r="Y70" s="182">
        <v>45407</v>
      </c>
      <c r="Z70" s="183">
        <v>214</v>
      </c>
    </row>
    <row r="71" spans="25:26" ht="15" thickBot="1">
      <c r="Y71" s="186">
        <v>45406</v>
      </c>
      <c r="Z71" s="187">
        <v>214</v>
      </c>
    </row>
    <row r="72" spans="25:26" ht="15" thickBot="1">
      <c r="Y72" s="182">
        <v>45405</v>
      </c>
      <c r="Z72" s="183">
        <v>213</v>
      </c>
    </row>
    <row r="73" spans="25:26" ht="15" thickBot="1">
      <c r="Y73" s="186">
        <v>45404</v>
      </c>
      <c r="Z73" s="187">
        <v>215</v>
      </c>
    </row>
    <row r="74" spans="25:26" ht="15" thickBot="1">
      <c r="Y74" s="182">
        <v>45401</v>
      </c>
      <c r="Z74" s="183">
        <v>217</v>
      </c>
    </row>
    <row r="75" spans="25:26" ht="15" thickBot="1">
      <c r="Y75" s="186">
        <v>45400</v>
      </c>
      <c r="Z75" s="187">
        <v>218</v>
      </c>
    </row>
    <row r="76" spans="25:26" ht="15" thickBot="1">
      <c r="Y76" s="182">
        <v>45399</v>
      </c>
      <c r="Z76" s="183">
        <v>220</v>
      </c>
    </row>
    <row r="77" spans="25:26" ht="15" thickBot="1">
      <c r="Y77" s="186">
        <v>45398</v>
      </c>
      <c r="Z77" s="187">
        <v>221</v>
      </c>
    </row>
    <row r="78" spans="25:26" ht="15" thickBot="1">
      <c r="Y78" s="182">
        <v>45397</v>
      </c>
      <c r="Z78" s="183">
        <v>216</v>
      </c>
    </row>
    <row r="79" spans="25:26" ht="15" thickBot="1">
      <c r="Y79" s="186">
        <v>45394</v>
      </c>
      <c r="Z79" s="187">
        <v>211</v>
      </c>
    </row>
    <row r="80" spans="25:26" ht="15" thickBot="1">
      <c r="Y80" s="182">
        <v>45393</v>
      </c>
      <c r="Z80" s="183">
        <v>205</v>
      </c>
    </row>
    <row r="81" spans="25:26" ht="15" thickBot="1">
      <c r="Y81" s="186">
        <v>45392</v>
      </c>
      <c r="Z81" s="187">
        <v>206</v>
      </c>
    </row>
    <row r="82" spans="25:26" ht="15" thickBot="1">
      <c r="Y82" s="182">
        <v>45391</v>
      </c>
      <c r="Z82" s="183">
        <v>209</v>
      </c>
    </row>
    <row r="83" spans="25:26" ht="15" thickBot="1">
      <c r="Y83" s="186">
        <v>45390</v>
      </c>
      <c r="Z83" s="187">
        <v>208</v>
      </c>
    </row>
    <row r="84" spans="25:26" ht="15" thickBot="1">
      <c r="Y84" s="182">
        <v>45387</v>
      </c>
      <c r="Z84" s="183">
        <v>206</v>
      </c>
    </row>
    <row r="85" spans="25:26" ht="15" thickBot="1">
      <c r="Y85" s="186">
        <v>45386</v>
      </c>
      <c r="Z85" s="187">
        <v>210</v>
      </c>
    </row>
    <row r="86" spans="25:26" ht="15" thickBot="1">
      <c r="Y86" s="182">
        <v>45385</v>
      </c>
      <c r="Z86" s="183">
        <v>214</v>
      </c>
    </row>
    <row r="87" spans="25:26" ht="15" thickBot="1">
      <c r="Y87" s="186">
        <v>45384</v>
      </c>
      <c r="Z87" s="187">
        <v>210</v>
      </c>
    </row>
    <row r="88" spans="25:26" ht="15" thickBot="1">
      <c r="Y88" s="182">
        <v>45383</v>
      </c>
      <c r="Z88" s="183">
        <v>208</v>
      </c>
    </row>
    <row r="89" spans="25:26" ht="15" thickBot="1">
      <c r="Y89" s="186">
        <v>45379</v>
      </c>
      <c r="Z89" s="187">
        <v>210</v>
      </c>
    </row>
    <row r="90" spans="25:26" ht="15" thickBot="1">
      <c r="Y90" s="182">
        <v>45378</v>
      </c>
      <c r="Z90" s="183">
        <v>205</v>
      </c>
    </row>
    <row r="91" spans="25:26" ht="15" thickBot="1">
      <c r="Y91" s="186">
        <v>45377</v>
      </c>
      <c r="Z91" s="187">
        <v>202</v>
      </c>
    </row>
    <row r="92" spans="25:26" ht="15" thickBot="1">
      <c r="Y92" s="182">
        <v>45376</v>
      </c>
      <c r="Z92" s="183">
        <v>202</v>
      </c>
    </row>
    <row r="93" spans="25:26" ht="15" thickBot="1">
      <c r="Y93" s="186">
        <v>45373</v>
      </c>
      <c r="Z93" s="187">
        <v>201</v>
      </c>
    </row>
    <row r="94" spans="25:26" ht="15" thickBot="1">
      <c r="Y94" s="182">
        <v>45372</v>
      </c>
      <c r="Z94" s="183">
        <v>200</v>
      </c>
    </row>
    <row r="95" spans="25:26" ht="15" thickBot="1">
      <c r="Y95" s="186">
        <v>45371</v>
      </c>
      <c r="Z95" s="187">
        <v>205</v>
      </c>
    </row>
    <row r="96" spans="25:26" ht="15" thickBot="1">
      <c r="Y96" s="182">
        <v>45370</v>
      </c>
      <c r="Z96" s="183">
        <v>206</v>
      </c>
    </row>
    <row r="97" spans="25:26" ht="15" thickBot="1">
      <c r="Y97" s="186">
        <v>45369</v>
      </c>
      <c r="Z97" s="187">
        <v>204</v>
      </c>
    </row>
    <row r="98" spans="25:26" ht="15" thickBot="1">
      <c r="Y98" s="182">
        <v>45366</v>
      </c>
      <c r="Z98" s="183">
        <v>205</v>
      </c>
    </row>
    <row r="99" spans="25:26" ht="15" thickBot="1">
      <c r="Y99" s="186">
        <v>45365</v>
      </c>
      <c r="Z99" s="187">
        <v>205</v>
      </c>
    </row>
    <row r="100" spans="25:26" ht="15" thickBot="1">
      <c r="Y100" s="182">
        <v>45364</v>
      </c>
      <c r="Z100" s="183">
        <v>208</v>
      </c>
    </row>
    <row r="101" spans="25:26" ht="15" thickBot="1">
      <c r="Y101" s="186">
        <v>45363</v>
      </c>
      <c r="Z101" s="187">
        <v>210</v>
      </c>
    </row>
    <row r="102" spans="25:26" ht="15" thickBot="1">
      <c r="Y102" s="182">
        <v>45362</v>
      </c>
      <c r="Z102" s="183">
        <v>213</v>
      </c>
    </row>
    <row r="103" spans="25:26" ht="15" thickBot="1">
      <c r="Y103" s="186">
        <v>45359</v>
      </c>
      <c r="Z103" s="187">
        <v>214</v>
      </c>
    </row>
    <row r="104" spans="25:26" ht="15" thickBot="1">
      <c r="Y104" s="182">
        <v>45358</v>
      </c>
      <c r="Z104" s="183">
        <v>215</v>
      </c>
    </row>
    <row r="105" spans="25:26" ht="15" thickBot="1">
      <c r="Y105" s="186">
        <v>45357</v>
      </c>
      <c r="Z105" s="187">
        <v>213</v>
      </c>
    </row>
    <row r="106" spans="25:26" ht="15" thickBot="1">
      <c r="Y106" s="182">
        <v>45356</v>
      </c>
      <c r="Z106" s="183">
        <v>213</v>
      </c>
    </row>
    <row r="107" spans="25:26" ht="15" thickBot="1">
      <c r="Y107" s="186">
        <v>45355</v>
      </c>
      <c r="Z107" s="187">
        <v>208</v>
      </c>
    </row>
    <row r="108" spans="25:26" ht="15" thickBot="1">
      <c r="Y108" s="182">
        <v>45352</v>
      </c>
      <c r="Z108" s="183">
        <v>207</v>
      </c>
    </row>
    <row r="109" spans="25:26" ht="15" thickBot="1">
      <c r="Y109" s="186">
        <v>45351</v>
      </c>
      <c r="Z109" s="187">
        <v>208</v>
      </c>
    </row>
    <row r="110" spans="25:26" ht="15" thickBot="1">
      <c r="Y110" s="182">
        <v>45350</v>
      </c>
      <c r="Z110" s="183">
        <v>208</v>
      </c>
    </row>
    <row r="111" spans="25:26" ht="15" thickBot="1">
      <c r="Y111" s="186">
        <v>45349</v>
      </c>
      <c r="Z111" s="187">
        <v>202</v>
      </c>
    </row>
    <row r="112" spans="25:26" ht="15" thickBot="1">
      <c r="Y112" s="182">
        <v>45348</v>
      </c>
      <c r="Z112" s="183">
        <v>203</v>
      </c>
    </row>
    <row r="113" spans="25:26" ht="15" thickBot="1">
      <c r="Y113" s="186">
        <v>45345</v>
      </c>
      <c r="Z113" s="187">
        <v>205</v>
      </c>
    </row>
    <row r="114" spans="25:26" ht="15" thickBot="1">
      <c r="Y114" s="182">
        <v>45344</v>
      </c>
      <c r="Z114" s="183">
        <v>205</v>
      </c>
    </row>
    <row r="115" spans="25:26" ht="15" thickBot="1">
      <c r="Y115" s="186">
        <v>45343</v>
      </c>
      <c r="Z115" s="187">
        <v>205</v>
      </c>
    </row>
    <row r="116" spans="25:26" ht="15" thickBot="1">
      <c r="Y116" s="182">
        <v>45342</v>
      </c>
      <c r="Z116" s="183">
        <v>207</v>
      </c>
    </row>
    <row r="117" spans="25:26" ht="15" thickBot="1">
      <c r="Y117" s="186">
        <v>45338</v>
      </c>
      <c r="Z117" s="187">
        <v>208</v>
      </c>
    </row>
    <row r="118" spans="25:26" ht="15" thickBot="1">
      <c r="Y118" s="182">
        <v>45337</v>
      </c>
      <c r="Z118" s="183">
        <v>208</v>
      </c>
    </row>
    <row r="119" spans="25:26" ht="15" thickBot="1">
      <c r="Y119" s="186">
        <v>45336</v>
      </c>
      <c r="Z119" s="187">
        <v>209</v>
      </c>
    </row>
    <row r="120" spans="25:26" ht="15" thickBot="1">
      <c r="Y120" s="182">
        <v>45335</v>
      </c>
      <c r="Z120" s="183">
        <v>206</v>
      </c>
    </row>
    <row r="121" spans="25:26" ht="15" thickBot="1">
      <c r="Y121" s="186">
        <v>45334</v>
      </c>
      <c r="Z121" s="187">
        <v>210</v>
      </c>
    </row>
    <row r="122" spans="25:26" ht="15" thickBot="1">
      <c r="Y122" s="182">
        <v>45331</v>
      </c>
      <c r="Z122" s="183">
        <v>211</v>
      </c>
    </row>
    <row r="123" spans="25:26" ht="15" thickBot="1">
      <c r="Y123" s="186">
        <v>45330</v>
      </c>
      <c r="Z123" s="187">
        <v>211</v>
      </c>
    </row>
    <row r="124" spans="25:26" ht="15" thickBot="1">
      <c r="Y124" s="182">
        <v>45329</v>
      </c>
      <c r="Z124" s="183">
        <v>212</v>
      </c>
    </row>
    <row r="125" spans="25:26" ht="15" thickBot="1">
      <c r="Y125" s="186">
        <v>45328</v>
      </c>
      <c r="Z125" s="187">
        <v>215</v>
      </c>
    </row>
    <row r="126" spans="25:26" ht="15" thickBot="1">
      <c r="Y126" s="182">
        <v>45327</v>
      </c>
      <c r="Z126" s="183">
        <v>216</v>
      </c>
    </row>
    <row r="127" spans="25:26" ht="15" thickBot="1">
      <c r="Y127" s="186">
        <v>45324</v>
      </c>
      <c r="Z127" s="187">
        <v>220</v>
      </c>
    </row>
    <row r="128" spans="25:26" ht="15" thickBot="1">
      <c r="Y128" s="182">
        <v>45323</v>
      </c>
      <c r="Z128" s="183">
        <v>225</v>
      </c>
    </row>
    <row r="129" spans="25:26" ht="15" thickBot="1">
      <c r="Y129" s="186">
        <v>45322</v>
      </c>
      <c r="Z129" s="187">
        <v>230</v>
      </c>
    </row>
    <row r="130" spans="25:26" ht="15" thickBot="1">
      <c r="Y130" s="182">
        <v>45321</v>
      </c>
      <c r="Z130" s="183">
        <v>205</v>
      </c>
    </row>
    <row r="131" spans="25:26" ht="15" thickBot="1">
      <c r="Y131" s="186">
        <v>45320</v>
      </c>
      <c r="Z131" s="187">
        <v>202</v>
      </c>
    </row>
    <row r="132" spans="25:26" ht="15" thickBot="1">
      <c r="Y132" s="182">
        <v>45317</v>
      </c>
      <c r="Z132" s="183">
        <v>201</v>
      </c>
    </row>
    <row r="133" spans="25:26" ht="15" thickBot="1">
      <c r="Y133" s="186">
        <v>45316</v>
      </c>
      <c r="Z133" s="187">
        <v>202</v>
      </c>
    </row>
    <row r="134" spans="25:26" ht="15" thickBot="1">
      <c r="Y134" s="182">
        <v>45315</v>
      </c>
      <c r="Z134" s="183">
        <v>201</v>
      </c>
    </row>
    <row r="135" spans="25:26" ht="15" thickBot="1">
      <c r="Y135" s="186">
        <v>45314</v>
      </c>
      <c r="Z135" s="187">
        <v>205</v>
      </c>
    </row>
    <row r="136" spans="25:26" ht="15" thickBot="1">
      <c r="Y136" s="182">
        <v>45313</v>
      </c>
      <c r="Z136" s="183">
        <v>201</v>
      </c>
    </row>
    <row r="137" spans="25:26" ht="15" thickBot="1">
      <c r="Y137" s="186">
        <v>45310</v>
      </c>
      <c r="Z137" s="187">
        <v>190</v>
      </c>
    </row>
    <row r="138" spans="25:26" ht="15" thickBot="1">
      <c r="Y138" s="182">
        <v>45309</v>
      </c>
      <c r="Z138" s="183">
        <v>186</v>
      </c>
    </row>
    <row r="139" spans="25:26" ht="15" thickBot="1">
      <c r="Y139" s="186">
        <v>45308</v>
      </c>
      <c r="Z139" s="187">
        <v>187</v>
      </c>
    </row>
    <row r="140" spans="25:26" ht="15" thickBot="1">
      <c r="Y140" s="182">
        <v>45307</v>
      </c>
      <c r="Z140" s="183">
        <v>186</v>
      </c>
    </row>
    <row r="141" spans="25:26" ht="15" thickBot="1">
      <c r="Y141" s="186">
        <v>45303</v>
      </c>
      <c r="Z141" s="187">
        <v>191</v>
      </c>
    </row>
    <row r="142" spans="25:26" ht="15" thickBot="1">
      <c r="Y142" s="182">
        <v>45302</v>
      </c>
      <c r="Z142" s="183">
        <v>194</v>
      </c>
    </row>
    <row r="143" spans="25:26" ht="15" thickBot="1">
      <c r="Y143" s="186">
        <v>45301</v>
      </c>
      <c r="Z143" s="187">
        <v>197</v>
      </c>
    </row>
    <row r="144" spans="25:26" ht="15" thickBot="1">
      <c r="Y144" s="182">
        <v>45300</v>
      </c>
      <c r="Z144" s="183">
        <v>203</v>
      </c>
    </row>
    <row r="145" spans="25:26" ht="15" thickBot="1">
      <c r="Y145" s="186">
        <v>45299</v>
      </c>
      <c r="Z145" s="187">
        <v>205</v>
      </c>
    </row>
    <row r="146" spans="25:26" ht="15" thickBot="1">
      <c r="Y146" s="182">
        <v>45296</v>
      </c>
      <c r="Z146" s="183">
        <v>206</v>
      </c>
    </row>
    <row r="147" spans="25:26" ht="15" thickBot="1">
      <c r="Y147" s="186">
        <v>45295</v>
      </c>
      <c r="Z147" s="187">
        <v>209</v>
      </c>
    </row>
    <row r="148" spans="25:26" ht="15" thickBot="1">
      <c r="Y148" s="182">
        <v>45294</v>
      </c>
      <c r="Z148" s="183">
        <v>211</v>
      </c>
    </row>
    <row r="149" spans="25:26" ht="15" thickBot="1">
      <c r="Y149" s="186">
        <v>45293</v>
      </c>
      <c r="Z149" s="187">
        <v>202</v>
      </c>
    </row>
    <row r="150" spans="25:26" ht="15" thickBot="1">
      <c r="Y150" s="182">
        <v>45289</v>
      </c>
      <c r="Z150" s="183">
        <v>195</v>
      </c>
    </row>
    <row r="151" spans="25:26" ht="15" thickBot="1">
      <c r="Y151" s="186">
        <v>45288</v>
      </c>
      <c r="Z151" s="187">
        <v>197</v>
      </c>
    </row>
    <row r="152" spans="25:26" ht="15" thickBot="1">
      <c r="Y152" s="182">
        <v>45287</v>
      </c>
      <c r="Z152" s="183">
        <v>201</v>
      </c>
    </row>
    <row r="153" spans="25:26" ht="15" thickBot="1">
      <c r="Y153" s="186">
        <v>45286</v>
      </c>
      <c r="Z153" s="187">
        <v>195</v>
      </c>
    </row>
    <row r="154" spans="25:26" ht="15" thickBot="1">
      <c r="Y154" s="182">
        <v>45282</v>
      </c>
      <c r="Z154" s="183">
        <v>193</v>
      </c>
    </row>
    <row r="155" spans="25:26" ht="15" thickBot="1">
      <c r="Y155" s="186">
        <v>45281</v>
      </c>
      <c r="Z155" s="187">
        <v>194</v>
      </c>
    </row>
    <row r="156" spans="25:26" ht="15" thickBot="1">
      <c r="Y156" s="182">
        <v>45280</v>
      </c>
      <c r="Z156" s="183">
        <v>195</v>
      </c>
    </row>
    <row r="157" spans="25:26" ht="15" thickBot="1">
      <c r="Y157" s="186">
        <v>45279</v>
      </c>
      <c r="Z157" s="187">
        <v>192</v>
      </c>
    </row>
    <row r="158" spans="25:26" ht="15" thickBot="1">
      <c r="Y158" s="182">
        <v>45278</v>
      </c>
      <c r="Z158" s="183">
        <v>191</v>
      </c>
    </row>
    <row r="159" spans="25:26" ht="15" thickBot="1">
      <c r="Y159" s="186">
        <v>45275</v>
      </c>
      <c r="Z159" s="187">
        <v>192</v>
      </c>
    </row>
    <row r="160" spans="25:26" ht="15" thickBot="1">
      <c r="Y160" s="182">
        <v>45274</v>
      </c>
      <c r="Z160" s="183">
        <v>192</v>
      </c>
    </row>
    <row r="161" spans="25:26" ht="15" thickBot="1">
      <c r="Y161" s="186">
        <v>45273</v>
      </c>
      <c r="Z161" s="187">
        <v>197</v>
      </c>
    </row>
    <row r="162" spans="25:26" ht="15" thickBot="1">
      <c r="Y162" s="182">
        <v>45272</v>
      </c>
      <c r="Z162" s="183">
        <v>196</v>
      </c>
    </row>
    <row r="163" spans="25:26" ht="15" thickBot="1">
      <c r="Y163" s="186">
        <v>45271</v>
      </c>
      <c r="Z163" s="187">
        <v>195</v>
      </c>
    </row>
    <row r="164" spans="25:26" ht="15" thickBot="1">
      <c r="Y164" s="182">
        <v>45268</v>
      </c>
      <c r="Z164" s="183">
        <v>195</v>
      </c>
    </row>
    <row r="165" spans="25:26" ht="15" thickBot="1">
      <c r="Y165" s="186">
        <v>45267</v>
      </c>
      <c r="Z165" s="187">
        <v>196</v>
      </c>
    </row>
    <row r="166" spans="25:26" ht="15" thickBot="1">
      <c r="Y166" s="182">
        <v>45266</v>
      </c>
      <c r="Z166" s="183">
        <v>196</v>
      </c>
    </row>
    <row r="167" spans="25:26" ht="15" thickBot="1">
      <c r="Y167" s="186">
        <v>45265</v>
      </c>
      <c r="Z167" s="187">
        <v>193</v>
      </c>
    </row>
    <row r="168" spans="25:26" ht="15" thickBot="1">
      <c r="Y168" s="182">
        <v>45264</v>
      </c>
      <c r="Z168" s="183">
        <v>192</v>
      </c>
    </row>
    <row r="169" spans="25:26" ht="15" thickBot="1">
      <c r="Y169" s="186">
        <v>45261</v>
      </c>
      <c r="Z169" s="187">
        <v>193</v>
      </c>
    </row>
    <row r="170" spans="25:26" ht="15" thickBot="1">
      <c r="Y170" s="182">
        <v>45260</v>
      </c>
      <c r="Z170" s="183">
        <v>189</v>
      </c>
    </row>
    <row r="171" spans="25:26" ht="15" thickBot="1">
      <c r="Y171" s="186">
        <v>45259</v>
      </c>
      <c r="Z171" s="187">
        <v>196</v>
      </c>
    </row>
    <row r="172" spans="25:26" ht="15" thickBot="1">
      <c r="Y172" s="182">
        <v>45258</v>
      </c>
      <c r="Z172" s="183">
        <v>198</v>
      </c>
    </row>
    <row r="173" spans="25:26" ht="15" thickBot="1">
      <c r="Y173" s="186">
        <v>45257</v>
      </c>
      <c r="Z173" s="187">
        <v>199</v>
      </c>
    </row>
    <row r="174" spans="25:26" ht="15" thickBot="1">
      <c r="Y174" s="182">
        <v>45254</v>
      </c>
      <c r="Z174" s="183">
        <v>196</v>
      </c>
    </row>
    <row r="175" spans="25:26" ht="15" thickBot="1">
      <c r="Y175" s="186">
        <v>45252</v>
      </c>
      <c r="Z175" s="187">
        <v>197</v>
      </c>
    </row>
    <row r="176" spans="25:26" ht="15" thickBot="1">
      <c r="Y176" s="182">
        <v>45251</v>
      </c>
      <c r="Z176" s="183">
        <v>199</v>
      </c>
    </row>
    <row r="177" spans="25:26" ht="15" thickBot="1">
      <c r="Y177" s="186">
        <v>45250</v>
      </c>
      <c r="Z177" s="187">
        <v>200</v>
      </c>
    </row>
    <row r="178" spans="25:26" ht="15" thickBot="1">
      <c r="Y178" s="182">
        <v>45247</v>
      </c>
      <c r="Z178" s="183">
        <v>203</v>
      </c>
    </row>
    <row r="179" spans="25:26" ht="15" thickBot="1">
      <c r="Y179" s="186">
        <v>45246</v>
      </c>
      <c r="Z179" s="187">
        <v>203</v>
      </c>
    </row>
    <row r="180" spans="25:26" ht="15" thickBot="1">
      <c r="Y180" s="182">
        <v>45245</v>
      </c>
      <c r="Z180" s="183">
        <v>202</v>
      </c>
    </row>
    <row r="181" spans="25:26" ht="15" thickBot="1">
      <c r="Y181" s="186">
        <v>45244</v>
      </c>
      <c r="Z181" s="187">
        <v>207</v>
      </c>
    </row>
    <row r="182" spans="25:26" ht="15" thickBot="1">
      <c r="Y182" s="182">
        <v>45243</v>
      </c>
      <c r="Z182" s="183">
        <v>207</v>
      </c>
    </row>
    <row r="183" spans="25:26" ht="15" thickBot="1">
      <c r="Y183" s="186">
        <v>45240</v>
      </c>
      <c r="Z183" s="187">
        <v>203</v>
      </c>
    </row>
    <row r="184" spans="25:26" ht="15" thickBot="1">
      <c r="Y184" s="182">
        <v>45239</v>
      </c>
      <c r="Z184" s="183">
        <v>204</v>
      </c>
    </row>
    <row r="185" spans="25:26" ht="15" thickBot="1">
      <c r="Y185" s="186">
        <v>45238</v>
      </c>
      <c r="Z185" s="187">
        <v>207</v>
      </c>
    </row>
    <row r="186" spans="25:26" ht="15" thickBot="1">
      <c r="Y186" s="182">
        <v>45237</v>
      </c>
      <c r="Z186" s="183">
        <v>202</v>
      </c>
    </row>
    <row r="187" spans="25:26" ht="15" thickBot="1">
      <c r="Y187" s="186">
        <v>45236</v>
      </c>
      <c r="Z187" s="187">
        <v>196</v>
      </c>
    </row>
    <row r="188" spans="25:26" ht="15" thickBot="1">
      <c r="Y188" s="182">
        <v>45233</v>
      </c>
      <c r="Z188" s="183">
        <v>194</v>
      </c>
    </row>
    <row r="189" spans="25:26" ht="15" thickBot="1">
      <c r="Y189" s="186">
        <v>45232</v>
      </c>
      <c r="Z189" s="187">
        <v>195</v>
      </c>
    </row>
    <row r="190" spans="25:26" ht="15" thickBot="1">
      <c r="Y190" s="182">
        <v>45231</v>
      </c>
      <c r="Z190" s="183">
        <v>200</v>
      </c>
    </row>
    <row r="191" spans="25:26" ht="15" thickBot="1">
      <c r="Y191" s="186">
        <v>45229</v>
      </c>
      <c r="Z191" s="187">
        <v>201</v>
      </c>
    </row>
    <row r="192" spans="25:26" ht="15" thickBot="1">
      <c r="Y192" s="182">
        <v>45226</v>
      </c>
      <c r="Z192" s="183">
        <v>203</v>
      </c>
    </row>
    <row r="193" spans="25:26" ht="15" thickBot="1">
      <c r="Y193" s="186">
        <v>45225</v>
      </c>
      <c r="Z193" s="187">
        <v>201</v>
      </c>
    </row>
    <row r="194" spans="25:26" ht="15" thickBot="1">
      <c r="Y194" s="182">
        <v>45224</v>
      </c>
      <c r="Z194" s="183">
        <v>194</v>
      </c>
    </row>
    <row r="195" spans="25:26" ht="15" thickBot="1">
      <c r="Y195" s="186">
        <v>45223</v>
      </c>
      <c r="Z195" s="187">
        <v>198</v>
      </c>
    </row>
    <row r="196" spans="25:26" ht="15" thickBot="1">
      <c r="Y196" s="182">
        <v>45222</v>
      </c>
      <c r="Z196" s="183">
        <v>200</v>
      </c>
    </row>
    <row r="197" spans="25:26" ht="15" thickBot="1">
      <c r="Y197" s="186">
        <v>45219</v>
      </c>
      <c r="Z197" s="187">
        <v>200</v>
      </c>
    </row>
    <row r="198" spans="25:26" ht="15" thickBot="1">
      <c r="Y198" s="182">
        <v>45218</v>
      </c>
      <c r="Z198" s="183">
        <v>199</v>
      </c>
    </row>
    <row r="199" spans="25:26" ht="15" thickBot="1">
      <c r="Y199" s="186">
        <v>45217</v>
      </c>
      <c r="Z199" s="187">
        <v>198</v>
      </c>
    </row>
    <row r="200" spans="25:26" ht="15" thickBot="1">
      <c r="Y200" s="182">
        <v>45216</v>
      </c>
      <c r="Z200" s="183">
        <v>200</v>
      </c>
    </row>
    <row r="201" spans="25:26" ht="15" thickBot="1">
      <c r="Y201" s="186">
        <v>45215</v>
      </c>
      <c r="Z201" s="187">
        <v>200</v>
      </c>
    </row>
    <row r="202" spans="25:26" ht="15" thickBot="1">
      <c r="Y202" s="182">
        <v>45212</v>
      </c>
      <c r="Z202" s="183">
        <v>200</v>
      </c>
    </row>
    <row r="203" spans="25:26" ht="15" thickBot="1">
      <c r="Y203" s="186">
        <v>45211</v>
      </c>
      <c r="Z203" s="187">
        <v>198</v>
      </c>
    </row>
    <row r="204" spans="25:26" ht="15" thickBot="1">
      <c r="Y204" s="182">
        <v>45210</v>
      </c>
      <c r="Z204" s="183">
        <v>202</v>
      </c>
    </row>
    <row r="205" spans="25:26" ht="15" thickBot="1">
      <c r="Y205" s="186">
        <v>45209</v>
      </c>
      <c r="Z205" s="187">
        <v>204</v>
      </c>
    </row>
    <row r="206" spans="25:26" ht="15" thickBot="1">
      <c r="Y206" s="182">
        <v>45205</v>
      </c>
      <c r="Z206" s="183">
        <v>208</v>
      </c>
    </row>
    <row r="207" spans="25:26" ht="15" thickBot="1">
      <c r="Y207" s="186">
        <v>45204</v>
      </c>
      <c r="Z207" s="187">
        <v>211</v>
      </c>
    </row>
    <row r="208" spans="25:26" ht="15" thickBot="1">
      <c r="Y208" s="182">
        <v>45203</v>
      </c>
      <c r="Z208" s="183">
        <v>209</v>
      </c>
    </row>
    <row r="209" spans="25:26" ht="15" thickBot="1">
      <c r="Y209" s="186">
        <v>45202</v>
      </c>
      <c r="Z209" s="187">
        <v>205</v>
      </c>
    </row>
    <row r="210" spans="25:26" ht="15" thickBot="1">
      <c r="Y210" s="182">
        <v>45201</v>
      </c>
      <c r="Z210" s="183">
        <v>200</v>
      </c>
    </row>
    <row r="211" spans="25:26" ht="15" thickBot="1">
      <c r="Y211" s="186">
        <v>45198</v>
      </c>
      <c r="Z211" s="187">
        <v>201</v>
      </c>
    </row>
    <row r="212" spans="25:26" ht="15" thickBot="1">
      <c r="Y212" s="182">
        <v>45197</v>
      </c>
      <c r="Z212" s="183">
        <v>204</v>
      </c>
    </row>
    <row r="213" spans="25:26" ht="15" thickBot="1">
      <c r="Y213" s="186">
        <v>45196</v>
      </c>
      <c r="Z213" s="187">
        <v>202</v>
      </c>
    </row>
    <row r="214" spans="25:26" ht="15" thickBot="1">
      <c r="Y214" s="182">
        <v>45195</v>
      </c>
      <c r="Z214" s="183">
        <v>203</v>
      </c>
    </row>
    <row r="215" spans="25:26" ht="15" thickBot="1">
      <c r="Y215" s="186">
        <v>45194</v>
      </c>
      <c r="Z215" s="187">
        <v>201</v>
      </c>
    </row>
    <row r="216" spans="25:26" ht="15" thickBot="1">
      <c r="Y216" s="182">
        <v>45191</v>
      </c>
      <c r="Z216" s="183">
        <v>205</v>
      </c>
    </row>
    <row r="217" spans="25:26" ht="15" thickBot="1">
      <c r="Y217" s="186">
        <v>45190</v>
      </c>
      <c r="Z217" s="187">
        <v>205</v>
      </c>
    </row>
    <row r="218" spans="25:26" ht="15" thickBot="1">
      <c r="Y218" s="182">
        <v>45189</v>
      </c>
      <c r="Z218" s="183">
        <v>201</v>
      </c>
    </row>
    <row r="219" spans="25:26" ht="15" thickBot="1">
      <c r="Y219" s="186">
        <v>45188</v>
      </c>
      <c r="Z219" s="187">
        <v>204</v>
      </c>
    </row>
    <row r="220" spans="25:26" ht="15" thickBot="1">
      <c r="Y220" s="182">
        <v>45187</v>
      </c>
      <c r="Z220" s="183">
        <v>207</v>
      </c>
    </row>
    <row r="221" spans="25:26" ht="15" thickBot="1">
      <c r="Y221" s="186">
        <v>45184</v>
      </c>
      <c r="Z221" s="187">
        <v>205</v>
      </c>
    </row>
    <row r="222" spans="25:26" ht="15" thickBot="1">
      <c r="Y222" s="182">
        <v>45183</v>
      </c>
      <c r="Z222" s="183">
        <v>204</v>
      </c>
    </row>
    <row r="223" spans="25:26" ht="15" thickBot="1">
      <c r="Y223" s="186">
        <v>45182</v>
      </c>
      <c r="Z223" s="187">
        <v>208</v>
      </c>
    </row>
    <row r="224" spans="25:26" ht="15" thickBot="1">
      <c r="Y224" s="182">
        <v>45181</v>
      </c>
      <c r="Z224" s="183">
        <v>211</v>
      </c>
    </row>
    <row r="225" spans="25:26" ht="15" thickBot="1">
      <c r="Y225" s="186">
        <v>45180</v>
      </c>
      <c r="Z225" s="187">
        <v>208</v>
      </c>
    </row>
    <row r="226" spans="25:26" ht="15" thickBot="1">
      <c r="Y226" s="182">
        <v>45177</v>
      </c>
      <c r="Z226" s="183">
        <v>209</v>
      </c>
    </row>
    <row r="227" spans="25:26" ht="15" thickBot="1">
      <c r="Y227" s="186">
        <v>45176</v>
      </c>
      <c r="Z227" s="187">
        <v>213</v>
      </c>
    </row>
    <row r="228" spans="25:26" ht="15" thickBot="1">
      <c r="Y228" s="182">
        <v>45175</v>
      </c>
      <c r="Z228" s="183">
        <v>210</v>
      </c>
    </row>
    <row r="229" spans="25:26" ht="15" thickBot="1">
      <c r="Y229" s="186">
        <v>45174</v>
      </c>
      <c r="Z229" s="187">
        <v>208</v>
      </c>
    </row>
    <row r="230" spans="25:26" ht="15" thickBot="1">
      <c r="Y230" s="182">
        <v>45170</v>
      </c>
      <c r="Z230" s="183">
        <v>208</v>
      </c>
    </row>
    <row r="231" spans="25:26" ht="15" thickBot="1">
      <c r="Y231" s="186">
        <v>45169</v>
      </c>
      <c r="Z231" s="187">
        <v>209</v>
      </c>
    </row>
    <row r="232" spans="25:26" ht="15" thickBot="1">
      <c r="Y232" s="182">
        <v>45168</v>
      </c>
      <c r="Z232" s="183">
        <v>207</v>
      </c>
    </row>
    <row r="233" spans="25:26" ht="15" thickBot="1">
      <c r="Y233" s="186">
        <v>45167</v>
      </c>
      <c r="Z233" s="187">
        <v>209</v>
      </c>
    </row>
    <row r="234" spans="25:26" ht="15" thickBot="1">
      <c r="Y234" s="182">
        <v>45166</v>
      </c>
      <c r="Z234" s="183">
        <v>209</v>
      </c>
    </row>
    <row r="235" spans="25:26" ht="15" thickBot="1">
      <c r="Y235" s="186">
        <v>45163</v>
      </c>
      <c r="Z235" s="187">
        <v>210</v>
      </c>
    </row>
    <row r="236" spans="25:26" ht="15" thickBot="1">
      <c r="Y236" s="182">
        <v>45162</v>
      </c>
      <c r="Z236" s="183">
        <v>212</v>
      </c>
    </row>
    <row r="237" spans="25:26" ht="15" thickBot="1">
      <c r="Y237" s="186">
        <v>45161</v>
      </c>
      <c r="Z237" s="187">
        <v>217</v>
      </c>
    </row>
    <row r="238" spans="25:26" ht="15" thickBot="1">
      <c r="Y238" s="182">
        <v>45160</v>
      </c>
      <c r="Z238" s="183">
        <v>215</v>
      </c>
    </row>
    <row r="239" spans="25:26" ht="15" thickBot="1">
      <c r="Y239" s="186">
        <v>45159</v>
      </c>
      <c r="Z239" s="187">
        <v>218</v>
      </c>
    </row>
    <row r="240" spans="25:26" ht="15" thickBot="1">
      <c r="Y240" s="182">
        <v>45156</v>
      </c>
      <c r="Z240" s="183">
        <v>221</v>
      </c>
    </row>
    <row r="241" spans="25:26" ht="15" thickBot="1">
      <c r="Y241" s="186">
        <v>45155</v>
      </c>
      <c r="Z241" s="187">
        <v>219</v>
      </c>
    </row>
    <row r="242" spans="25:26" ht="15" thickBot="1">
      <c r="Y242" s="182">
        <v>45154</v>
      </c>
      <c r="Z242" s="183">
        <v>213</v>
      </c>
    </row>
    <row r="243" spans="25:26" ht="15" thickBot="1">
      <c r="Y243" s="186">
        <v>45153</v>
      </c>
      <c r="Z243" s="187">
        <v>216</v>
      </c>
    </row>
    <row r="244" spans="25:26" ht="15" thickBot="1">
      <c r="Y244" s="182">
        <v>45152</v>
      </c>
      <c r="Z244" s="183">
        <v>207</v>
      </c>
    </row>
    <row r="245" spans="25:26" ht="15" thickBot="1">
      <c r="Y245" s="186">
        <v>45149</v>
      </c>
      <c r="Z245" s="187">
        <v>204</v>
      </c>
    </row>
    <row r="246" spans="25:26" ht="15" thickBot="1">
      <c r="Y246" s="182">
        <v>45148</v>
      </c>
      <c r="Z246" s="183">
        <v>207</v>
      </c>
    </row>
    <row r="247" spans="25:26" ht="15" thickBot="1">
      <c r="Y247" s="186">
        <v>45147</v>
      </c>
      <c r="Z247" s="187">
        <v>216</v>
      </c>
    </row>
    <row r="248" spans="25:26" ht="15" thickBot="1">
      <c r="Y248" s="182">
        <v>45146</v>
      </c>
      <c r="Z248" s="183">
        <v>213</v>
      </c>
    </row>
    <row r="249" spans="25:26" ht="15" thickBot="1">
      <c r="Y249" s="186">
        <v>45145</v>
      </c>
      <c r="Z249" s="187">
        <v>211</v>
      </c>
    </row>
    <row r="250" spans="25:26" ht="15" thickBot="1">
      <c r="Y250" s="182">
        <v>45142</v>
      </c>
      <c r="Z250" s="183">
        <v>211</v>
      </c>
    </row>
    <row r="251" spans="25:26" ht="15" thickBot="1">
      <c r="Y251" s="186">
        <v>45141</v>
      </c>
      <c r="Z251" s="187">
        <v>204</v>
      </c>
    </row>
    <row r="252" spans="25:26" ht="15" thickBot="1">
      <c r="Y252" s="182">
        <v>45140</v>
      </c>
      <c r="Z252" s="183">
        <v>204</v>
      </c>
    </row>
    <row r="253" spans="25:26" ht="15" thickBot="1">
      <c r="Y253" s="186">
        <v>45139</v>
      </c>
      <c r="Z253" s="187">
        <v>198</v>
      </c>
    </row>
    <row r="254" spans="25:26" ht="15" thickBot="1">
      <c r="Y254" s="182">
        <v>45138</v>
      </c>
      <c r="Z254" s="183">
        <v>199</v>
      </c>
    </row>
  </sheetData>
  <mergeCells count="1">
    <mergeCell ref="Y4:Z4"/>
  </mergeCells>
  <hyperlinks>
    <hyperlink ref="N6" r:id="rId1" display="https://www.kroll.com/en/insights/publications/cost-of-capital/recommended-us-equity-risk-premium-and-corresponding-risk-free-rates" xr:uid="{00000000-0004-0000-0D00-000000000000}"/>
    <hyperlink ref="N5" r:id="rId2" display="10 year US treasury - 01/09/2024 em &quot;ERP in 2024&quot; ou T bond. Rate (Coluna C)  em 01/09/2024" xr:uid="{00000000-0004-0000-0D00-000001000000}"/>
    <hyperlink ref="N8" r:id="rId3" display="Unlevered Beta - Coluna F" xr:uid="{00000000-0004-0000-0D00-000002000000}"/>
    <hyperlink ref="N15" r:id="rId4" xr:uid="{00000000-0004-0000-0D00-000003000000}"/>
    <hyperlink ref="N24" r:id="rId5" display="https://www.kroll.com/en/insights/publications/cost-of-capital/recommended-us-equity-risk-premium-and-corresponding-risk-free-rates" xr:uid="{00000000-0004-0000-0D00-000004000000}"/>
    <hyperlink ref="N23" r:id="rId6" display="10 year US treasury - 01/09/2024 em &quot;ERP in 2024&quot; ou T bond. Rate (Coluna C)  em 01/09/2024" xr:uid="{00000000-0004-0000-0D00-000005000000}"/>
    <hyperlink ref="N27" r:id="rId7" display="http://www.ipeadata.gov.br/ExibeSerie.aspx?serid=40940&amp;module=M" xr:uid="{00000000-0004-0000-0D00-000006000000}"/>
    <hyperlink ref="N25" r:id="rId8" xr:uid="{00000000-0004-0000-0D00-000007000000}"/>
    <hyperlink ref="N28" r:id="rId9" xr:uid="{00000000-0004-0000-0D00-000008000000}"/>
    <hyperlink ref="N31" r:id="rId10" display="Média dos ultimos dois anos (2022-2023), conforme o IBGE" xr:uid="{00000000-0004-0000-0D00-000009000000}"/>
    <hyperlink ref="I5" r:id="rId11" display="Base Dados Damodaran (Jan. 2024) " xr:uid="{00000000-0004-0000-0D00-00000A000000}"/>
    <hyperlink ref="I6" r:id="rId12" display="Base Dados Damodaran (Jan. 2024) " xr:uid="{00000000-0004-0000-0D00-00000B000000}"/>
    <hyperlink ref="I7" r:id="rId13" xr:uid="{00000000-0004-0000-0D00-00000C000000}"/>
    <hyperlink ref="I10" r:id="rId14" display="IPEA DATA - Risco País (2010 -2024)" xr:uid="{00000000-0004-0000-0D00-00000D000000}"/>
    <hyperlink ref="I14" r:id="rId15" display="IPCA - IBGE " xr:uid="{00000000-0004-0000-0D00-00000E000000}"/>
    <hyperlink ref="I15" r:id="rId16" xr:uid="{00000000-0004-0000-0D00-00000F000000}"/>
    <hyperlink ref="I13" r:id="rId17" xr:uid="{00000000-0004-0000-0D00-000010000000}"/>
    <hyperlink ref="I11" r:id="rId18" display="Base de Dados Damodan (Jan. 2024) - Corporate Tax Rate" xr:uid="{00000000-0004-0000-0D00-000011000000}"/>
    <hyperlink ref="AD4" r:id="rId19" xr:uid="{00000000-0004-0000-0D00-000012000000}"/>
    <hyperlink ref="N34" r:id="rId20" display="https://br.investing.com/economic-calendar/cpi-733/" xr:uid="{00000000-0004-0000-0D00-000013000000}"/>
    <hyperlink ref="N35" r:id="rId21" display="https://www.global-rates.com/en/inflation/cpi/4/united-states/" xr:uid="{00000000-0004-0000-0D00-000014000000}"/>
    <hyperlink ref="I12" r:id="rId22" display="Parcela de juro real Fixa da TLP em Junho de 2025" xr:uid="{00000000-0004-0000-0D00-000015000000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2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2">
    <tabColor rgb="FFFFFF00"/>
  </sheetPr>
  <dimension ref="B2:K46"/>
  <sheetViews>
    <sheetView showGridLines="0" workbookViewId="0">
      <selection activeCell="C3" sqref="C3"/>
    </sheetView>
  </sheetViews>
  <sheetFormatPr defaultColWidth="9.140625" defaultRowHeight="10.15"/>
  <cols>
    <col min="1" max="1" width="9.140625" style="278"/>
    <col min="2" max="2" width="16.5703125" style="278" bestFit="1" customWidth="1"/>
    <col min="3" max="3" width="29.7109375" style="278" bestFit="1" customWidth="1"/>
    <col min="4" max="4" width="14.28515625" style="278" bestFit="1" customWidth="1"/>
    <col min="5" max="11" width="24.85546875" style="278" bestFit="1" customWidth="1"/>
    <col min="12" max="16384" width="9.140625" style="278"/>
  </cols>
  <sheetData>
    <row r="2" spans="2:8">
      <c r="B2" s="934" t="s">
        <v>662</v>
      </c>
      <c r="C2" s="934"/>
    </row>
    <row r="3" spans="2:8" ht="10.9" thickBot="1">
      <c r="B3" s="279" t="s">
        <v>1596</v>
      </c>
      <c r="C3" s="280">
        <f>WACC!E20*CAPEX!C11</f>
        <v>2221631.818385859</v>
      </c>
    </row>
    <row r="4" spans="2:8" ht="10.9" thickBot="1">
      <c r="B4" s="279" t="s">
        <v>1597</v>
      </c>
      <c r="C4" s="792">
        <v>12</v>
      </c>
      <c r="D4" s="935" t="s">
        <v>1598</v>
      </c>
      <c r="E4" s="935"/>
    </row>
    <row r="5" spans="2:8" ht="10.9" thickBot="1">
      <c r="B5" s="281" t="s">
        <v>1599</v>
      </c>
      <c r="C5" s="282">
        <v>4</v>
      </c>
      <c r="D5" s="935"/>
      <c r="E5" s="935"/>
    </row>
    <row r="6" spans="2:8" ht="10.9" thickBot="1">
      <c r="B6" s="279" t="s">
        <v>1600</v>
      </c>
      <c r="C6" s="283">
        <v>7.6100000000000001E-2</v>
      </c>
    </row>
    <row r="7" spans="2:8" ht="10.9" thickBot="1">
      <c r="B7" s="279" t="s">
        <v>1601</v>
      </c>
      <c r="C7" s="792">
        <f>SUM(C4:C5)</f>
        <v>16</v>
      </c>
    </row>
    <row r="10" spans="2:8" ht="18" customHeight="1">
      <c r="B10" s="284" t="s">
        <v>1602</v>
      </c>
      <c r="C10" s="284" t="s">
        <v>1603</v>
      </c>
      <c r="D10" s="284" t="s">
        <v>1604</v>
      </c>
      <c r="E10" s="284" t="s">
        <v>1605</v>
      </c>
      <c r="F10" s="284" t="s">
        <v>1606</v>
      </c>
      <c r="G10" s="284" t="s">
        <v>1607</v>
      </c>
      <c r="H10" s="284" t="s">
        <v>1608</v>
      </c>
    </row>
    <row r="11" spans="2:8">
      <c r="B11" s="11">
        <v>1</v>
      </c>
      <c r="C11" s="11">
        <v>0</v>
      </c>
      <c r="D11" s="12"/>
      <c r="E11" s="12"/>
      <c r="F11" s="12"/>
      <c r="G11" s="12"/>
      <c r="H11" s="12">
        <f>C3</f>
        <v>2221631.818385859</v>
      </c>
    </row>
    <row r="12" spans="2:8">
      <c r="B12" s="11">
        <v>2</v>
      </c>
      <c r="C12" s="11">
        <v>1</v>
      </c>
      <c r="D12" s="12">
        <f>IF(C12&lt;=$C$5,0,SUM(E12:F12))</f>
        <v>0</v>
      </c>
      <c r="E12" s="12">
        <f t="shared" ref="E12:E45" ca="1" si="0">IF(AND(C12&gt;$C$5,C12&lt;=$C$4+$C$5),IF(C12&lt;=$C$5,0,OFFSET($H$11,$C$5,0)/$C$4),0)</f>
        <v>0</v>
      </c>
      <c r="F12" s="12">
        <f>$C$6*H11</f>
        <v>169066.18137916387</v>
      </c>
      <c r="G12" s="12">
        <f>IF(IF(C12&gt;$C$5,1,0),F12,0)</f>
        <v>0</v>
      </c>
      <c r="H12" s="12">
        <f ca="1">IF(E12=0,H11+F12,H11-E12)</f>
        <v>2390697.9997650227</v>
      </c>
    </row>
    <row r="13" spans="2:8">
      <c r="B13" s="11">
        <v>3</v>
      </c>
      <c r="C13" s="11">
        <v>2</v>
      </c>
      <c r="D13" s="12">
        <f t="shared" ref="D13:D45" si="1">IF(C13&lt;=$C$5,0,SUM(E13:F13))</f>
        <v>0</v>
      </c>
      <c r="E13" s="12">
        <f t="shared" ca="1" si="0"/>
        <v>0</v>
      </c>
      <c r="F13" s="12">
        <f t="shared" ref="F13:F45" ca="1" si="2">$C$6*H12</f>
        <v>181932.11778211824</v>
      </c>
      <c r="G13" s="12">
        <f t="shared" ref="G13:G45" si="3">IF(IF(C13&gt;$C$5,1,0),F13,0)</f>
        <v>0</v>
      </c>
      <c r="H13" s="12">
        <f t="shared" ref="H13:H45" ca="1" si="4">IF(E13=0,H12+F13,H12-E13)</f>
        <v>2572630.1175471409</v>
      </c>
    </row>
    <row r="14" spans="2:8">
      <c r="B14" s="11">
        <v>4</v>
      </c>
      <c r="C14" s="11">
        <v>3</v>
      </c>
      <c r="D14" s="12">
        <f t="shared" si="1"/>
        <v>0</v>
      </c>
      <c r="E14" s="12">
        <f t="shared" ca="1" si="0"/>
        <v>0</v>
      </c>
      <c r="F14" s="12">
        <f t="shared" ca="1" si="2"/>
        <v>195777.15194533742</v>
      </c>
      <c r="G14" s="12">
        <f t="shared" si="3"/>
        <v>0</v>
      </c>
      <c r="H14" s="12">
        <f t="shared" ca="1" si="4"/>
        <v>2768407.2694924781</v>
      </c>
    </row>
    <row r="15" spans="2:8">
      <c r="B15" s="11">
        <v>5</v>
      </c>
      <c r="C15" s="11">
        <v>4</v>
      </c>
      <c r="D15" s="12">
        <f t="shared" si="1"/>
        <v>0</v>
      </c>
      <c r="E15" s="12">
        <f t="shared" ca="1" si="0"/>
        <v>0</v>
      </c>
      <c r="F15" s="12">
        <f t="shared" ca="1" si="2"/>
        <v>210675.79320837758</v>
      </c>
      <c r="G15" s="12">
        <f t="shared" si="3"/>
        <v>0</v>
      </c>
      <c r="H15" s="12">
        <f t="shared" ca="1" si="4"/>
        <v>2979083.0627008555</v>
      </c>
    </row>
    <row r="16" spans="2:8">
      <c r="B16" s="11">
        <v>6</v>
      </c>
      <c r="C16" s="11">
        <v>5</v>
      </c>
      <c r="D16" s="12">
        <f t="shared" ca="1" si="1"/>
        <v>474965.1429632731</v>
      </c>
      <c r="E16" s="12">
        <f t="shared" ca="1" si="0"/>
        <v>248256.92189173796</v>
      </c>
      <c r="F16" s="12">
        <f t="shared" ca="1" si="2"/>
        <v>226708.22107153511</v>
      </c>
      <c r="G16" s="12">
        <f t="shared" ca="1" si="3"/>
        <v>226708.22107153511</v>
      </c>
      <c r="H16" s="12">
        <f t="shared" ca="1" si="4"/>
        <v>2730826.1408091178</v>
      </c>
    </row>
    <row r="17" spans="2:8">
      <c r="B17" s="11">
        <v>7</v>
      </c>
      <c r="C17" s="11">
        <v>6</v>
      </c>
      <c r="D17" s="12">
        <f t="shared" ca="1" si="1"/>
        <v>456072.79120731179</v>
      </c>
      <c r="E17" s="12">
        <f t="shared" ca="1" si="0"/>
        <v>248256.92189173796</v>
      </c>
      <c r="F17" s="12">
        <f t="shared" ca="1" si="2"/>
        <v>207815.86931557386</v>
      </c>
      <c r="G17" s="12">
        <f t="shared" ca="1" si="3"/>
        <v>207815.86931557386</v>
      </c>
      <c r="H17" s="12">
        <f t="shared" ca="1" si="4"/>
        <v>2482569.2189173801</v>
      </c>
    </row>
    <row r="18" spans="2:8">
      <c r="B18" s="11">
        <v>8</v>
      </c>
      <c r="C18" s="11">
        <v>7</v>
      </c>
      <c r="D18" s="12">
        <f t="shared" ca="1" si="1"/>
        <v>437180.4394513506</v>
      </c>
      <c r="E18" s="12">
        <f t="shared" ca="1" si="0"/>
        <v>248256.92189173796</v>
      </c>
      <c r="F18" s="12">
        <f t="shared" ca="1" si="2"/>
        <v>188923.51755961264</v>
      </c>
      <c r="G18" s="12">
        <f t="shared" ca="1" si="3"/>
        <v>188923.51755961264</v>
      </c>
      <c r="H18" s="12">
        <f t="shared" ca="1" si="4"/>
        <v>2234312.2970256424</v>
      </c>
    </row>
    <row r="19" spans="2:8">
      <c r="B19" s="11">
        <v>9</v>
      </c>
      <c r="C19" s="11">
        <v>8</v>
      </c>
      <c r="D19" s="12">
        <f t="shared" ca="1" si="1"/>
        <v>418288.08769538935</v>
      </c>
      <c r="E19" s="12">
        <f t="shared" ca="1" si="0"/>
        <v>248256.92189173796</v>
      </c>
      <c r="F19" s="12">
        <f t="shared" ca="1" si="2"/>
        <v>170031.16580365138</v>
      </c>
      <c r="G19" s="12">
        <f t="shared" ca="1" si="3"/>
        <v>170031.16580365138</v>
      </c>
      <c r="H19" s="12">
        <f t="shared" ca="1" si="4"/>
        <v>1986055.3751339044</v>
      </c>
    </row>
    <row r="20" spans="2:8">
      <c r="B20" s="11">
        <v>10</v>
      </c>
      <c r="C20" s="11">
        <v>9</v>
      </c>
      <c r="D20" s="12">
        <f t="shared" ca="1" si="1"/>
        <v>399395.73593942809</v>
      </c>
      <c r="E20" s="12">
        <f t="shared" ca="1" si="0"/>
        <v>248256.92189173796</v>
      </c>
      <c r="F20" s="12">
        <f t="shared" ca="1" si="2"/>
        <v>151138.81404769013</v>
      </c>
      <c r="G20" s="12">
        <f t="shared" ca="1" si="3"/>
        <v>151138.81404769013</v>
      </c>
      <c r="H20" s="12">
        <f t="shared" ca="1" si="4"/>
        <v>1737798.4532421664</v>
      </c>
    </row>
    <row r="21" spans="2:8">
      <c r="B21" s="11">
        <v>11</v>
      </c>
      <c r="C21" s="11">
        <v>10</v>
      </c>
      <c r="D21" s="12">
        <f t="shared" ca="1" si="1"/>
        <v>380503.38418346684</v>
      </c>
      <c r="E21" s="12">
        <f t="shared" ca="1" si="0"/>
        <v>248256.92189173796</v>
      </c>
      <c r="F21" s="12">
        <f t="shared" ca="1" si="2"/>
        <v>132246.46229172888</v>
      </c>
      <c r="G21" s="12">
        <f t="shared" ca="1" si="3"/>
        <v>132246.46229172888</v>
      </c>
      <c r="H21" s="12">
        <f t="shared" ca="1" si="4"/>
        <v>1489541.5313504285</v>
      </c>
    </row>
    <row r="22" spans="2:8">
      <c r="B22" s="11">
        <v>12</v>
      </c>
      <c r="C22" s="11">
        <v>11</v>
      </c>
      <c r="D22" s="12">
        <f t="shared" ca="1" si="1"/>
        <v>361611.03242750559</v>
      </c>
      <c r="E22" s="12">
        <f t="shared" ca="1" si="0"/>
        <v>248256.92189173796</v>
      </c>
      <c r="F22" s="12">
        <f t="shared" ca="1" si="2"/>
        <v>113354.11053576761</v>
      </c>
      <c r="G22" s="12">
        <f t="shared" ca="1" si="3"/>
        <v>113354.11053576761</v>
      </c>
      <c r="H22" s="12">
        <f t="shared" ca="1" si="4"/>
        <v>1241284.6094586905</v>
      </c>
    </row>
    <row r="23" spans="2:8">
      <c r="B23" s="11">
        <v>13</v>
      </c>
      <c r="C23" s="11">
        <v>12</v>
      </c>
      <c r="D23" s="12">
        <f t="shared" ca="1" si="1"/>
        <v>342718.68067154428</v>
      </c>
      <c r="E23" s="12">
        <f t="shared" ca="1" si="0"/>
        <v>248256.92189173796</v>
      </c>
      <c r="F23" s="12">
        <f t="shared" ca="1" si="2"/>
        <v>94461.758779806347</v>
      </c>
      <c r="G23" s="12">
        <f t="shared" ca="1" si="3"/>
        <v>94461.758779806347</v>
      </c>
      <c r="H23" s="12">
        <f t="shared" ca="1" si="4"/>
        <v>993027.68756695255</v>
      </c>
    </row>
    <row r="24" spans="2:8">
      <c r="B24" s="11">
        <v>14</v>
      </c>
      <c r="C24" s="11">
        <v>13</v>
      </c>
      <c r="D24" s="12">
        <f t="shared" ca="1" si="1"/>
        <v>323826.32891558309</v>
      </c>
      <c r="E24" s="12">
        <f t="shared" ca="1" si="0"/>
        <v>248256.92189173796</v>
      </c>
      <c r="F24" s="12">
        <f t="shared" ca="1" si="2"/>
        <v>75569.407023845095</v>
      </c>
      <c r="G24" s="12">
        <f t="shared" ca="1" si="3"/>
        <v>75569.407023845095</v>
      </c>
      <c r="H24" s="12">
        <f t="shared" ca="1" si="4"/>
        <v>744770.76567521458</v>
      </c>
    </row>
    <row r="25" spans="2:8">
      <c r="B25" s="11">
        <v>15</v>
      </c>
      <c r="C25" s="11">
        <v>14</v>
      </c>
      <c r="D25" s="12">
        <f t="shared" ca="1" si="1"/>
        <v>304933.97715962178</v>
      </c>
      <c r="E25" s="12">
        <f t="shared" ca="1" si="0"/>
        <v>248256.92189173796</v>
      </c>
      <c r="F25" s="12">
        <f t="shared" ca="1" si="2"/>
        <v>56677.055267883828</v>
      </c>
      <c r="G25" s="12">
        <f t="shared" ca="1" si="3"/>
        <v>56677.055267883828</v>
      </c>
      <c r="H25" s="12">
        <f t="shared" ca="1" si="4"/>
        <v>496513.84378347662</v>
      </c>
    </row>
    <row r="26" spans="2:8">
      <c r="B26" s="11">
        <v>16</v>
      </c>
      <c r="C26" s="11">
        <v>15</v>
      </c>
      <c r="D26" s="12">
        <f t="shared" ca="1" si="1"/>
        <v>286041.62540366052</v>
      </c>
      <c r="E26" s="12">
        <f t="shared" ca="1" si="0"/>
        <v>248256.92189173796</v>
      </c>
      <c r="F26" s="12">
        <f t="shared" ca="1" si="2"/>
        <v>37784.703511922569</v>
      </c>
      <c r="G26" s="12">
        <f t="shared" ca="1" si="3"/>
        <v>37784.703511922569</v>
      </c>
      <c r="H26" s="12">
        <f t="shared" ca="1" si="4"/>
        <v>248256.92189173866</v>
      </c>
    </row>
    <row r="27" spans="2:8">
      <c r="B27" s="11">
        <v>17</v>
      </c>
      <c r="C27" s="11">
        <v>16</v>
      </c>
      <c r="D27" s="12">
        <f t="shared" ca="1" si="1"/>
        <v>267149.27364769927</v>
      </c>
      <c r="E27" s="12">
        <f t="shared" ca="1" si="0"/>
        <v>248256.92189173796</v>
      </c>
      <c r="F27" s="12">
        <f t="shared" ca="1" si="2"/>
        <v>18892.351755961314</v>
      </c>
      <c r="G27" s="12">
        <f t="shared" ca="1" si="3"/>
        <v>18892.351755961314</v>
      </c>
      <c r="H27" s="12">
        <f t="shared" ca="1" si="4"/>
        <v>6.9849193096160889E-10</v>
      </c>
    </row>
    <row r="28" spans="2:8">
      <c r="B28" s="11">
        <v>18</v>
      </c>
      <c r="C28" s="11">
        <v>17</v>
      </c>
      <c r="D28" s="12">
        <f t="shared" ca="1" si="1"/>
        <v>5.3155235946178437E-11</v>
      </c>
      <c r="E28" s="12">
        <f t="shared" ca="1" si="0"/>
        <v>0</v>
      </c>
      <c r="F28" s="12">
        <f t="shared" ca="1" si="2"/>
        <v>5.3155235946178437E-11</v>
      </c>
      <c r="G28" s="12">
        <f t="shared" ca="1" si="3"/>
        <v>5.3155235946178437E-11</v>
      </c>
      <c r="H28" s="12">
        <f t="shared" ca="1" si="4"/>
        <v>7.5164716690778731E-10</v>
      </c>
    </row>
    <row r="29" spans="2:8">
      <c r="B29" s="11">
        <v>19</v>
      </c>
      <c r="C29" s="11">
        <v>18</v>
      </c>
      <c r="D29" s="12">
        <f t="shared" ca="1" si="1"/>
        <v>5.7200349401682616E-11</v>
      </c>
      <c r="E29" s="12">
        <f t="shared" ca="1" si="0"/>
        <v>0</v>
      </c>
      <c r="F29" s="12">
        <f t="shared" ca="1" si="2"/>
        <v>5.7200349401682616E-11</v>
      </c>
      <c r="G29" s="12">
        <f t="shared" ca="1" si="3"/>
        <v>5.7200349401682616E-11</v>
      </c>
      <c r="H29" s="12">
        <f t="shared" ca="1" si="4"/>
        <v>8.0884751630946997E-10</v>
      </c>
    </row>
    <row r="30" spans="2:8">
      <c r="B30" s="11">
        <v>20</v>
      </c>
      <c r="C30" s="11">
        <v>19</v>
      </c>
      <c r="D30" s="12">
        <f t="shared" ca="1" si="1"/>
        <v>6.1553295991150666E-11</v>
      </c>
      <c r="E30" s="12">
        <f t="shared" ca="1" si="0"/>
        <v>0</v>
      </c>
      <c r="F30" s="12">
        <f t="shared" ca="1" si="2"/>
        <v>6.1553295991150666E-11</v>
      </c>
      <c r="G30" s="12">
        <f t="shared" ca="1" si="3"/>
        <v>6.1553295991150666E-11</v>
      </c>
      <c r="H30" s="12">
        <f t="shared" ca="1" si="4"/>
        <v>8.7040081230062059E-10</v>
      </c>
    </row>
    <row r="31" spans="2:8">
      <c r="B31" s="11">
        <v>21</v>
      </c>
      <c r="C31" s="11">
        <v>20</v>
      </c>
      <c r="D31" s="12">
        <f t="shared" ca="1" si="1"/>
        <v>6.6237501816077232E-11</v>
      </c>
      <c r="E31" s="12">
        <f t="shared" ca="1" si="0"/>
        <v>0</v>
      </c>
      <c r="F31" s="12">
        <f t="shared" ca="1" si="2"/>
        <v>6.6237501816077232E-11</v>
      </c>
      <c r="G31" s="12">
        <f t="shared" ca="1" si="3"/>
        <v>6.6237501816077232E-11</v>
      </c>
      <c r="H31" s="12">
        <f t="shared" ca="1" si="4"/>
        <v>9.366383141166979E-10</v>
      </c>
    </row>
    <row r="32" spans="2:8">
      <c r="B32" s="11">
        <v>22</v>
      </c>
      <c r="C32" s="11">
        <v>21</v>
      </c>
      <c r="D32" s="12">
        <f t="shared" ca="1" si="1"/>
        <v>7.1278175704280713E-11</v>
      </c>
      <c r="E32" s="12">
        <f t="shared" ca="1" si="0"/>
        <v>0</v>
      </c>
      <c r="F32" s="12">
        <f t="shared" ca="1" si="2"/>
        <v>7.1278175704280713E-11</v>
      </c>
      <c r="G32" s="12">
        <f t="shared" ca="1" si="3"/>
        <v>7.1278175704280713E-11</v>
      </c>
      <c r="H32" s="12">
        <f t="shared" ca="1" si="4"/>
        <v>1.0079164898209785E-9</v>
      </c>
    </row>
    <row r="33" spans="2:11">
      <c r="B33" s="11">
        <v>23</v>
      </c>
      <c r="C33" s="11">
        <v>22</v>
      </c>
      <c r="D33" s="12">
        <f t="shared" ca="1" si="1"/>
        <v>7.6702444875376465E-11</v>
      </c>
      <c r="E33" s="12">
        <f t="shared" ca="1" si="0"/>
        <v>0</v>
      </c>
      <c r="F33" s="12">
        <f t="shared" ca="1" si="2"/>
        <v>7.6702444875376465E-11</v>
      </c>
      <c r="G33" s="12">
        <f t="shared" ca="1" si="3"/>
        <v>7.6702444875376465E-11</v>
      </c>
      <c r="H33" s="12">
        <f t="shared" ca="1" si="4"/>
        <v>1.0846189346963551E-9</v>
      </c>
    </row>
    <row r="34" spans="2:11">
      <c r="B34" s="11">
        <v>24</v>
      </c>
      <c r="C34" s="11">
        <v>23</v>
      </c>
      <c r="D34" s="12">
        <f t="shared" ca="1" si="1"/>
        <v>8.2539500930392619E-11</v>
      </c>
      <c r="E34" s="12">
        <f t="shared" ca="1" si="0"/>
        <v>0</v>
      </c>
      <c r="F34" s="12">
        <f t="shared" ca="1" si="2"/>
        <v>8.2539500930392619E-11</v>
      </c>
      <c r="G34" s="12">
        <f t="shared" ca="1" si="3"/>
        <v>8.2539500930392619E-11</v>
      </c>
      <c r="H34" s="12">
        <f t="shared" ca="1" si="4"/>
        <v>1.1671584356267476E-9</v>
      </c>
    </row>
    <row r="35" spans="2:11">
      <c r="B35" s="11">
        <v>25</v>
      </c>
      <c r="C35" s="11">
        <v>24</v>
      </c>
      <c r="D35" s="12">
        <f t="shared" ca="1" si="1"/>
        <v>8.8820756951195492E-11</v>
      </c>
      <c r="E35" s="12">
        <f t="shared" ca="1" si="0"/>
        <v>0</v>
      </c>
      <c r="F35" s="12">
        <f t="shared" ca="1" si="2"/>
        <v>8.8820756951195492E-11</v>
      </c>
      <c r="G35" s="12">
        <f t="shared" ca="1" si="3"/>
        <v>8.8820756951195492E-11</v>
      </c>
      <c r="H35" s="12">
        <f t="shared" ca="1" si="4"/>
        <v>1.2559791925779431E-9</v>
      </c>
    </row>
    <row r="36" spans="2:11">
      <c r="B36" s="11">
        <v>26</v>
      </c>
      <c r="C36" s="11">
        <v>25</v>
      </c>
      <c r="D36" s="12">
        <f t="shared" ca="1" si="1"/>
        <v>9.5580016555181465E-11</v>
      </c>
      <c r="E36" s="12">
        <f t="shared" ca="1" si="0"/>
        <v>0</v>
      </c>
      <c r="F36" s="12">
        <f t="shared" ca="1" si="2"/>
        <v>9.5580016555181465E-11</v>
      </c>
      <c r="G36" s="12">
        <f t="shared" ca="1" si="3"/>
        <v>9.5580016555181465E-11</v>
      </c>
      <c r="H36" s="12">
        <f t="shared" ca="1" si="4"/>
        <v>1.3515592091331245E-9</v>
      </c>
    </row>
    <row r="37" spans="2:11">
      <c r="B37" s="11">
        <v>27</v>
      </c>
      <c r="C37" s="11">
        <v>26</v>
      </c>
      <c r="D37" s="12">
        <f t="shared" ca="1" si="1"/>
        <v>1.0285365581503077E-10</v>
      </c>
      <c r="E37" s="12">
        <f t="shared" ca="1" si="0"/>
        <v>0</v>
      </c>
      <c r="F37" s="12">
        <f t="shared" ca="1" si="2"/>
        <v>1.0285365581503077E-10</v>
      </c>
      <c r="G37" s="12">
        <f t="shared" ca="1" si="3"/>
        <v>1.0285365581503077E-10</v>
      </c>
      <c r="H37" s="12">
        <f t="shared" ca="1" si="4"/>
        <v>1.4544128649481552E-9</v>
      </c>
    </row>
    <row r="38" spans="2:11">
      <c r="B38" s="11">
        <v>28</v>
      </c>
      <c r="C38" s="11">
        <v>27</v>
      </c>
      <c r="D38" s="12">
        <f t="shared" ca="1" si="1"/>
        <v>1.1068081902255462E-10</v>
      </c>
      <c r="E38" s="12">
        <f t="shared" ca="1" si="0"/>
        <v>0</v>
      </c>
      <c r="F38" s="12">
        <f t="shared" ca="1" si="2"/>
        <v>1.1068081902255462E-10</v>
      </c>
      <c r="G38" s="12">
        <f t="shared" ca="1" si="3"/>
        <v>1.1068081902255462E-10</v>
      </c>
      <c r="H38" s="12">
        <f t="shared" ca="1" si="4"/>
        <v>1.5650936839707098E-9</v>
      </c>
    </row>
    <row r="39" spans="2:11">
      <c r="B39" s="11">
        <v>29</v>
      </c>
      <c r="C39" s="11">
        <v>28</v>
      </c>
      <c r="D39" s="12">
        <f t="shared" ca="1" si="1"/>
        <v>1.1910362935017102E-10</v>
      </c>
      <c r="E39" s="12">
        <f t="shared" ca="1" si="0"/>
        <v>0</v>
      </c>
      <c r="F39" s="12">
        <f t="shared" ca="1" si="2"/>
        <v>1.1910362935017102E-10</v>
      </c>
      <c r="G39" s="12">
        <f t="shared" ca="1" si="3"/>
        <v>1.1910362935017102E-10</v>
      </c>
      <c r="H39" s="12">
        <f t="shared" ca="1" si="4"/>
        <v>1.6841973133208808E-9</v>
      </c>
    </row>
    <row r="40" spans="2:11">
      <c r="B40" s="11">
        <v>30</v>
      </c>
      <c r="C40" s="11">
        <v>29</v>
      </c>
      <c r="D40" s="12">
        <f t="shared" ca="1" si="1"/>
        <v>1.2816741554371902E-10</v>
      </c>
      <c r="E40" s="12">
        <f t="shared" ca="1" si="0"/>
        <v>0</v>
      </c>
      <c r="F40" s="12">
        <f t="shared" ca="1" si="2"/>
        <v>1.2816741554371902E-10</v>
      </c>
      <c r="G40" s="12">
        <f t="shared" ca="1" si="3"/>
        <v>1.2816741554371902E-10</v>
      </c>
      <c r="H40" s="12">
        <f t="shared" ca="1" si="4"/>
        <v>1.8123647288645998E-9</v>
      </c>
    </row>
    <row r="41" spans="2:11">
      <c r="B41" s="11">
        <v>31</v>
      </c>
      <c r="C41" s="11">
        <v>30</v>
      </c>
      <c r="D41" s="12">
        <f t="shared" ca="1" si="1"/>
        <v>1.3792095586659604E-10</v>
      </c>
      <c r="E41" s="12">
        <f t="shared" ca="1" si="0"/>
        <v>0</v>
      </c>
      <c r="F41" s="12">
        <f t="shared" ca="1" si="2"/>
        <v>1.3792095586659604E-10</v>
      </c>
      <c r="G41" s="12">
        <f t="shared" ca="1" si="3"/>
        <v>1.3792095586659604E-10</v>
      </c>
      <c r="H41" s="12">
        <f t="shared" ca="1" si="4"/>
        <v>1.9502856847311957E-9</v>
      </c>
    </row>
    <row r="42" spans="2:11">
      <c r="B42" s="11">
        <v>32</v>
      </c>
      <c r="C42" s="11">
        <v>31</v>
      </c>
      <c r="D42" s="12">
        <f t="shared" ca="1" si="1"/>
        <v>1.48416740608044E-10</v>
      </c>
      <c r="E42" s="12">
        <f t="shared" ca="1" si="0"/>
        <v>0</v>
      </c>
      <c r="F42" s="12">
        <f t="shared" ca="1" si="2"/>
        <v>1.48416740608044E-10</v>
      </c>
      <c r="G42" s="12">
        <f t="shared" ca="1" si="3"/>
        <v>1.48416740608044E-10</v>
      </c>
      <c r="H42" s="12">
        <f t="shared" ca="1" si="4"/>
        <v>2.0987024253392397E-9</v>
      </c>
    </row>
    <row r="43" spans="2:11">
      <c r="B43" s="11">
        <v>33</v>
      </c>
      <c r="C43" s="11">
        <v>32</v>
      </c>
      <c r="D43" s="12">
        <f t="shared" ca="1" si="1"/>
        <v>1.5971125456831614E-10</v>
      </c>
      <c r="E43" s="12">
        <f t="shared" ca="1" si="0"/>
        <v>0</v>
      </c>
      <c r="F43" s="12">
        <f t="shared" ca="1" si="2"/>
        <v>1.5971125456831614E-10</v>
      </c>
      <c r="G43" s="12">
        <f t="shared" ca="1" si="3"/>
        <v>1.5971125456831614E-10</v>
      </c>
      <c r="H43" s="12">
        <f t="shared" ca="1" si="4"/>
        <v>2.2584136799075561E-9</v>
      </c>
    </row>
    <row r="44" spans="2:11">
      <c r="B44" s="11">
        <v>34</v>
      </c>
      <c r="C44" s="11">
        <v>33</v>
      </c>
      <c r="D44" s="12">
        <f t="shared" ca="1" si="1"/>
        <v>1.7186528104096501E-10</v>
      </c>
      <c r="E44" s="12">
        <f t="shared" ca="1" si="0"/>
        <v>0</v>
      </c>
      <c r="F44" s="12">
        <f t="shared" ca="1" si="2"/>
        <v>1.7186528104096501E-10</v>
      </c>
      <c r="G44" s="12">
        <f t="shared" ca="1" si="3"/>
        <v>1.7186528104096501E-10</v>
      </c>
      <c r="H44" s="12">
        <f t="shared" ca="1" si="4"/>
        <v>2.4302789609485209E-9</v>
      </c>
    </row>
    <row r="45" spans="2:11">
      <c r="B45" s="11">
        <v>35</v>
      </c>
      <c r="C45" s="11">
        <v>34</v>
      </c>
      <c r="D45" s="12">
        <f t="shared" ca="1" si="1"/>
        <v>1.8494422892818244E-10</v>
      </c>
      <c r="E45" s="12">
        <f t="shared" ca="1" si="0"/>
        <v>0</v>
      </c>
      <c r="F45" s="12">
        <f t="shared" ca="1" si="2"/>
        <v>1.8494422892818244E-10</v>
      </c>
      <c r="G45" s="12">
        <f t="shared" ca="1" si="3"/>
        <v>1.8494422892818244E-10</v>
      </c>
      <c r="H45" s="12">
        <f t="shared" ca="1" si="4"/>
        <v>2.6152231898767033E-9</v>
      </c>
    </row>
    <row r="46" spans="2:11">
      <c r="G46" s="285"/>
      <c r="H46" s="285"/>
      <c r="I46" s="285"/>
      <c r="J46" s="285"/>
      <c r="K46" s="285"/>
    </row>
  </sheetData>
  <mergeCells count="2">
    <mergeCell ref="B2:C2"/>
    <mergeCell ref="D4:E5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3">
    <tabColor rgb="FF90A1B2"/>
  </sheetPr>
  <dimension ref="B3:AO27"/>
  <sheetViews>
    <sheetView showGridLines="0" workbookViewId="0">
      <selection activeCell="I11" sqref="I11"/>
    </sheetView>
  </sheetViews>
  <sheetFormatPr defaultColWidth="9.140625" defaultRowHeight="10.15"/>
  <cols>
    <col min="1" max="1" width="4" style="266" customWidth="1"/>
    <col min="2" max="2" width="31.5703125" style="266" bestFit="1" customWidth="1"/>
    <col min="3" max="3" width="13.28515625" style="266" bestFit="1" customWidth="1"/>
    <col min="4" max="4" width="12.140625" style="266" customWidth="1"/>
    <col min="5" max="5" width="19.5703125" style="266" bestFit="1" customWidth="1"/>
    <col min="6" max="41" width="13.28515625" style="266" bestFit="1" customWidth="1"/>
    <col min="42" max="16384" width="9.140625" style="266"/>
  </cols>
  <sheetData>
    <row r="3" spans="2:41" ht="10.9" thickBot="1">
      <c r="B3" s="937" t="s">
        <v>1609</v>
      </c>
      <c r="C3" s="937"/>
    </row>
    <row r="4" spans="2:41" ht="10.9" thickBot="1">
      <c r="B4" s="936" t="s">
        <v>1610</v>
      </c>
      <c r="C4" s="936"/>
    </row>
    <row r="5" spans="2:41">
      <c r="B5" s="267" t="s">
        <v>1499</v>
      </c>
      <c r="C5" s="548" t="s">
        <v>1611</v>
      </c>
      <c r="F5" s="268" t="s">
        <v>224</v>
      </c>
      <c r="G5" s="268" t="s">
        <v>84</v>
      </c>
      <c r="H5" s="268" t="s">
        <v>86</v>
      </c>
      <c r="I5" s="268" t="s">
        <v>92</v>
      </c>
      <c r="J5" s="268" t="s">
        <v>93</v>
      </c>
      <c r="K5" s="268" t="s">
        <v>94</v>
      </c>
      <c r="L5" s="268" t="s">
        <v>95</v>
      </c>
      <c r="M5" s="268" t="s">
        <v>96</v>
      </c>
      <c r="N5" s="268" t="s">
        <v>97</v>
      </c>
      <c r="O5" s="268" t="s">
        <v>98</v>
      </c>
      <c r="P5" s="268" t="s">
        <v>99</v>
      </c>
      <c r="Q5" s="268" t="s">
        <v>100</v>
      </c>
      <c r="R5" s="268" t="s">
        <v>101</v>
      </c>
      <c r="S5" s="268" t="s">
        <v>102</v>
      </c>
      <c r="T5" s="268" t="s">
        <v>103</v>
      </c>
      <c r="U5" s="268" t="s">
        <v>104</v>
      </c>
      <c r="V5" s="268" t="s">
        <v>105</v>
      </c>
      <c r="W5" s="268" t="s">
        <v>106</v>
      </c>
      <c r="X5" s="268" t="s">
        <v>107</v>
      </c>
      <c r="Y5" s="268" t="s">
        <v>108</v>
      </c>
      <c r="Z5" s="268" t="s">
        <v>109</v>
      </c>
      <c r="AA5" s="268" t="s">
        <v>110</v>
      </c>
      <c r="AB5" s="268" t="s">
        <v>111</v>
      </c>
      <c r="AC5" s="268" t="s">
        <v>112</v>
      </c>
      <c r="AD5" s="268" t="s">
        <v>113</v>
      </c>
      <c r="AE5" s="268" t="s">
        <v>114</v>
      </c>
      <c r="AF5" s="268" t="s">
        <v>115</v>
      </c>
      <c r="AG5" s="268" t="s">
        <v>116</v>
      </c>
      <c r="AH5" s="268" t="s">
        <v>117</v>
      </c>
      <c r="AI5" s="268" t="s">
        <v>118</v>
      </c>
      <c r="AJ5" s="268" t="s">
        <v>119</v>
      </c>
      <c r="AK5" s="268" t="s">
        <v>120</v>
      </c>
      <c r="AL5" s="268" t="s">
        <v>121</v>
      </c>
      <c r="AM5" s="268" t="s">
        <v>122</v>
      </c>
      <c r="AN5" s="268" t="s">
        <v>123</v>
      </c>
      <c r="AO5" s="268" t="s">
        <v>124</v>
      </c>
    </row>
    <row r="6" spans="2:41">
      <c r="B6" s="267" t="s">
        <v>1489</v>
      </c>
      <c r="C6" s="269">
        <v>6.4999999999999997E-3</v>
      </c>
      <c r="F6" s="268">
        <v>2025</v>
      </c>
      <c r="G6" s="268">
        <v>2026</v>
      </c>
      <c r="H6" s="268">
        <v>2027</v>
      </c>
      <c r="I6" s="268">
        <v>2028</v>
      </c>
      <c r="J6" s="268">
        <v>2029</v>
      </c>
      <c r="K6" s="268">
        <v>2030</v>
      </c>
      <c r="L6" s="268">
        <v>2031</v>
      </c>
      <c r="M6" s="268">
        <v>2032</v>
      </c>
      <c r="N6" s="268">
        <v>2033</v>
      </c>
      <c r="O6" s="268">
        <v>2034</v>
      </c>
      <c r="P6" s="268">
        <v>2035</v>
      </c>
      <c r="Q6" s="268">
        <v>2036</v>
      </c>
      <c r="R6" s="268">
        <v>2037</v>
      </c>
      <c r="S6" s="268">
        <v>2038</v>
      </c>
      <c r="T6" s="268">
        <v>2039</v>
      </c>
      <c r="U6" s="268">
        <v>2040</v>
      </c>
      <c r="V6" s="268">
        <v>2041</v>
      </c>
      <c r="W6" s="268">
        <v>2042</v>
      </c>
      <c r="X6" s="268">
        <v>2043</v>
      </c>
      <c r="Y6" s="268">
        <v>2044</v>
      </c>
      <c r="Z6" s="268">
        <v>2045</v>
      </c>
      <c r="AA6" s="268">
        <v>2046</v>
      </c>
      <c r="AB6" s="268">
        <v>2047</v>
      </c>
      <c r="AC6" s="268">
        <v>2048</v>
      </c>
      <c r="AD6" s="268">
        <v>2049</v>
      </c>
      <c r="AE6" s="268">
        <v>2050</v>
      </c>
      <c r="AF6" s="268">
        <v>2051</v>
      </c>
      <c r="AG6" s="268">
        <v>2052</v>
      </c>
      <c r="AH6" s="268">
        <v>2053</v>
      </c>
      <c r="AI6" s="268">
        <v>2054</v>
      </c>
      <c r="AJ6" s="268">
        <v>2055</v>
      </c>
      <c r="AK6" s="268">
        <v>2056</v>
      </c>
      <c r="AL6" s="268">
        <v>2057</v>
      </c>
      <c r="AM6" s="268">
        <v>2058</v>
      </c>
      <c r="AN6" s="268">
        <v>2059</v>
      </c>
      <c r="AO6" s="268">
        <v>2060</v>
      </c>
    </row>
    <row r="7" spans="2:41">
      <c r="B7" s="267" t="s">
        <v>1490</v>
      </c>
      <c r="C7" s="270">
        <v>0.03</v>
      </c>
      <c r="E7" s="271" t="s">
        <v>1612</v>
      </c>
      <c r="F7" s="272">
        <f>'RECEITAS '!D6</f>
        <v>0</v>
      </c>
      <c r="G7" s="272">
        <f>'RECEITAS '!E6</f>
        <v>0</v>
      </c>
      <c r="H7" s="272">
        <f>'RECEITAS '!F6</f>
        <v>0</v>
      </c>
      <c r="I7" s="272">
        <f>'RECEITAS '!G6</f>
        <v>6892816.8338978458</v>
      </c>
      <c r="J7" s="272">
        <f>'RECEITAS '!H6</f>
        <v>6892816.8338978458</v>
      </c>
      <c r="K7" s="272">
        <f>'RECEITAS '!I6</f>
        <v>6892816.8338978458</v>
      </c>
      <c r="L7" s="272">
        <f>'RECEITAS '!J6</f>
        <v>6892816.8338978458</v>
      </c>
      <c r="M7" s="272">
        <f>'RECEITAS '!K6</f>
        <v>6892816.8338978458</v>
      </c>
      <c r="N7" s="272">
        <f>'RECEITAS '!L6</f>
        <v>6892816.8338978458</v>
      </c>
      <c r="O7" s="272">
        <f>'RECEITAS '!M6</f>
        <v>6892816.8338978458</v>
      </c>
      <c r="P7" s="272">
        <f>'RECEITAS '!N6</f>
        <v>6892816.8338978458</v>
      </c>
      <c r="Q7" s="272">
        <f>'RECEITAS '!O6</f>
        <v>6892816.8338978458</v>
      </c>
      <c r="R7" s="272">
        <f>'RECEITAS '!P6</f>
        <v>6892816.8338978458</v>
      </c>
      <c r="S7" s="272">
        <f>'RECEITAS '!Q6</f>
        <v>6892816.8338978458</v>
      </c>
      <c r="T7" s="272">
        <f>'RECEITAS '!R6</f>
        <v>6892816.8338978458</v>
      </c>
      <c r="U7" s="272">
        <f>'RECEITAS '!S6</f>
        <v>6892816.8338978458</v>
      </c>
      <c r="V7" s="272">
        <f>'RECEITAS '!T6</f>
        <v>6892816.8338978458</v>
      </c>
      <c r="W7" s="272">
        <f>'RECEITAS '!U6</f>
        <v>6892816.8338978458</v>
      </c>
      <c r="X7" s="272">
        <f>'RECEITAS '!V6</f>
        <v>6892816.8338978458</v>
      </c>
      <c r="Y7" s="272">
        <f>'RECEITAS '!W6</f>
        <v>6892816.8338978458</v>
      </c>
      <c r="Z7" s="272">
        <f>'RECEITAS '!X6</f>
        <v>6892816.8338978458</v>
      </c>
      <c r="AA7" s="272">
        <f>'RECEITAS '!Y6</f>
        <v>6892816.8338978458</v>
      </c>
      <c r="AB7" s="272">
        <f>'RECEITAS '!Z6</f>
        <v>6892816.8338978458</v>
      </c>
      <c r="AC7" s="272">
        <f>'RECEITAS '!AA6</f>
        <v>6892816.8338978458</v>
      </c>
      <c r="AD7" s="272">
        <f>'RECEITAS '!AB6</f>
        <v>6892816.8338978458</v>
      </c>
      <c r="AE7" s="272">
        <f>'RECEITAS '!AC6</f>
        <v>6892816.8338978458</v>
      </c>
      <c r="AF7" s="272">
        <f>'RECEITAS '!AD6</f>
        <v>6892816.8338978458</v>
      </c>
      <c r="AG7" s="272">
        <f>'RECEITAS '!AE6</f>
        <v>6892816.8338978458</v>
      </c>
      <c r="AH7" s="272">
        <f>'RECEITAS '!AF6</f>
        <v>6892816.8338978458</v>
      </c>
      <c r="AI7" s="272">
        <f>'RECEITAS '!AG6</f>
        <v>6892816.8338978458</v>
      </c>
      <c r="AJ7" s="272">
        <f>'RECEITAS '!AH6</f>
        <v>6892816.8338978458</v>
      </c>
      <c r="AK7" s="272">
        <f>'RECEITAS '!AI6</f>
        <v>6892816.8338978458</v>
      </c>
      <c r="AL7" s="272">
        <f>'RECEITAS '!AJ6</f>
        <v>6892816.8338978458</v>
      </c>
      <c r="AM7" s="272">
        <f>'RECEITAS '!AK6</f>
        <v>6892816.8338978458</v>
      </c>
      <c r="AN7" s="272">
        <f>'RECEITAS '!AL6</f>
        <v>6892816.8338978458</v>
      </c>
      <c r="AO7" s="272">
        <f>'RECEITAS '!AM6</f>
        <v>6892816.8338978458</v>
      </c>
    </row>
    <row r="8" spans="2:41">
      <c r="B8" s="267" t="s">
        <v>1486</v>
      </c>
      <c r="C8" s="270">
        <v>0.05</v>
      </c>
      <c r="E8" s="271" t="s">
        <v>1613</v>
      </c>
      <c r="F8" s="272">
        <f>SUM(F9:F12)</f>
        <v>0</v>
      </c>
      <c r="G8" s="272">
        <f t="shared" ref="G8:AO8" si="0">SUM(G9:G12)</f>
        <v>0</v>
      </c>
      <c r="H8" s="272">
        <f t="shared" si="0"/>
        <v>0</v>
      </c>
      <c r="I8" s="272">
        <f t="shared" si="0"/>
        <v>596228.65613216371</v>
      </c>
      <c r="J8" s="272">
        <f t="shared" si="0"/>
        <v>596228.65613216371</v>
      </c>
      <c r="K8" s="272">
        <f t="shared" si="0"/>
        <v>596228.65613216371</v>
      </c>
      <c r="L8" s="272">
        <f t="shared" si="0"/>
        <v>596228.65613216371</v>
      </c>
      <c r="M8" s="272">
        <f t="shared" si="0"/>
        <v>596228.65613216371</v>
      </c>
      <c r="N8" s="272">
        <f t="shared" si="0"/>
        <v>596228.65613216371</v>
      </c>
      <c r="O8" s="272">
        <f t="shared" si="0"/>
        <v>596228.65613216371</v>
      </c>
      <c r="P8" s="272">
        <f t="shared" si="0"/>
        <v>596228.65613216371</v>
      </c>
      <c r="Q8" s="272">
        <f t="shared" si="0"/>
        <v>596228.65613216371</v>
      </c>
      <c r="R8" s="272">
        <f t="shared" si="0"/>
        <v>596228.65613216371</v>
      </c>
      <c r="S8" s="272">
        <f t="shared" si="0"/>
        <v>596228.65613216371</v>
      </c>
      <c r="T8" s="272">
        <f t="shared" si="0"/>
        <v>596228.65613216371</v>
      </c>
      <c r="U8" s="272">
        <f t="shared" si="0"/>
        <v>596228.65613216371</v>
      </c>
      <c r="V8" s="272">
        <f t="shared" si="0"/>
        <v>596228.65613216371</v>
      </c>
      <c r="W8" s="272">
        <f t="shared" si="0"/>
        <v>596228.65613216371</v>
      </c>
      <c r="X8" s="272">
        <f t="shared" si="0"/>
        <v>596228.65613216371</v>
      </c>
      <c r="Y8" s="272">
        <f t="shared" si="0"/>
        <v>596228.65613216371</v>
      </c>
      <c r="Z8" s="272">
        <f t="shared" si="0"/>
        <v>596228.65613216371</v>
      </c>
      <c r="AA8" s="272">
        <f t="shared" si="0"/>
        <v>596228.65613216371</v>
      </c>
      <c r="AB8" s="272">
        <f t="shared" si="0"/>
        <v>596228.65613216371</v>
      </c>
      <c r="AC8" s="272">
        <f t="shared" si="0"/>
        <v>596228.65613216371</v>
      </c>
      <c r="AD8" s="272">
        <f t="shared" si="0"/>
        <v>596228.65613216371</v>
      </c>
      <c r="AE8" s="272">
        <f t="shared" si="0"/>
        <v>596228.65613216371</v>
      </c>
      <c r="AF8" s="272">
        <f t="shared" si="0"/>
        <v>596228.65613216371</v>
      </c>
      <c r="AG8" s="272">
        <f t="shared" si="0"/>
        <v>596228.65613216371</v>
      </c>
      <c r="AH8" s="272">
        <f t="shared" si="0"/>
        <v>596228.65613216371</v>
      </c>
      <c r="AI8" s="272">
        <f t="shared" si="0"/>
        <v>596228.65613216371</v>
      </c>
      <c r="AJ8" s="272">
        <f t="shared" si="0"/>
        <v>596228.65613216371</v>
      </c>
      <c r="AK8" s="272">
        <f t="shared" si="0"/>
        <v>596228.65613216371</v>
      </c>
      <c r="AL8" s="272">
        <f t="shared" si="0"/>
        <v>596228.65613216371</v>
      </c>
      <c r="AM8" s="272">
        <f t="shared" si="0"/>
        <v>596228.65613216371</v>
      </c>
      <c r="AN8" s="272">
        <f t="shared" si="0"/>
        <v>596228.65613216371</v>
      </c>
      <c r="AO8" s="272">
        <f t="shared" si="0"/>
        <v>596228.65613216371</v>
      </c>
    </row>
    <row r="9" spans="2:41">
      <c r="B9" s="267" t="s">
        <v>1614</v>
      </c>
      <c r="C9" s="269">
        <v>0</v>
      </c>
      <c r="E9" s="40" t="s">
        <v>1489</v>
      </c>
      <c r="F9" s="26">
        <f>$C6*F$7</f>
        <v>0</v>
      </c>
      <c r="G9" s="26">
        <f t="shared" ref="G9:AO12" si="1">$C6*G$7</f>
        <v>0</v>
      </c>
      <c r="H9" s="26">
        <f t="shared" si="1"/>
        <v>0</v>
      </c>
      <c r="I9" s="26">
        <f t="shared" si="1"/>
        <v>44803.309420335994</v>
      </c>
      <c r="J9" s="26">
        <f t="shared" si="1"/>
        <v>44803.309420335994</v>
      </c>
      <c r="K9" s="26">
        <f t="shared" si="1"/>
        <v>44803.309420335994</v>
      </c>
      <c r="L9" s="26">
        <f t="shared" si="1"/>
        <v>44803.309420335994</v>
      </c>
      <c r="M9" s="26">
        <f t="shared" si="1"/>
        <v>44803.309420335994</v>
      </c>
      <c r="N9" s="26">
        <f t="shared" si="1"/>
        <v>44803.309420335994</v>
      </c>
      <c r="O9" s="26">
        <f t="shared" si="1"/>
        <v>44803.309420335994</v>
      </c>
      <c r="P9" s="26">
        <f t="shared" si="1"/>
        <v>44803.309420335994</v>
      </c>
      <c r="Q9" s="26">
        <f t="shared" si="1"/>
        <v>44803.309420335994</v>
      </c>
      <c r="R9" s="26">
        <f t="shared" si="1"/>
        <v>44803.309420335994</v>
      </c>
      <c r="S9" s="26">
        <f t="shared" si="1"/>
        <v>44803.309420335994</v>
      </c>
      <c r="T9" s="26">
        <f t="shared" si="1"/>
        <v>44803.309420335994</v>
      </c>
      <c r="U9" s="26">
        <f t="shared" si="1"/>
        <v>44803.309420335994</v>
      </c>
      <c r="V9" s="26">
        <f t="shared" si="1"/>
        <v>44803.309420335994</v>
      </c>
      <c r="W9" s="26">
        <f t="shared" si="1"/>
        <v>44803.309420335994</v>
      </c>
      <c r="X9" s="26">
        <f t="shared" si="1"/>
        <v>44803.309420335994</v>
      </c>
      <c r="Y9" s="26">
        <f t="shared" si="1"/>
        <v>44803.309420335994</v>
      </c>
      <c r="Z9" s="26">
        <f t="shared" si="1"/>
        <v>44803.309420335994</v>
      </c>
      <c r="AA9" s="26">
        <f t="shared" si="1"/>
        <v>44803.309420335994</v>
      </c>
      <c r="AB9" s="26">
        <f t="shared" si="1"/>
        <v>44803.309420335994</v>
      </c>
      <c r="AC9" s="26">
        <f t="shared" si="1"/>
        <v>44803.309420335994</v>
      </c>
      <c r="AD9" s="26">
        <f t="shared" si="1"/>
        <v>44803.309420335994</v>
      </c>
      <c r="AE9" s="26">
        <f t="shared" si="1"/>
        <v>44803.309420335994</v>
      </c>
      <c r="AF9" s="26">
        <f t="shared" si="1"/>
        <v>44803.309420335994</v>
      </c>
      <c r="AG9" s="26">
        <f t="shared" si="1"/>
        <v>44803.309420335994</v>
      </c>
      <c r="AH9" s="26">
        <f t="shared" si="1"/>
        <v>44803.309420335994</v>
      </c>
      <c r="AI9" s="26">
        <f t="shared" si="1"/>
        <v>44803.309420335994</v>
      </c>
      <c r="AJ9" s="26">
        <f t="shared" si="1"/>
        <v>44803.309420335994</v>
      </c>
      <c r="AK9" s="26">
        <f t="shared" si="1"/>
        <v>44803.309420335994</v>
      </c>
      <c r="AL9" s="26">
        <f t="shared" si="1"/>
        <v>44803.309420335994</v>
      </c>
      <c r="AM9" s="26">
        <f t="shared" si="1"/>
        <v>44803.309420335994</v>
      </c>
      <c r="AN9" s="26">
        <f t="shared" si="1"/>
        <v>44803.309420335994</v>
      </c>
      <c r="AO9" s="26">
        <f t="shared" si="1"/>
        <v>44803.309420335994</v>
      </c>
    </row>
    <row r="10" spans="2:41">
      <c r="C10" s="273"/>
      <c r="E10" s="40" t="s">
        <v>1490</v>
      </c>
      <c r="F10" s="26">
        <f t="shared" ref="F10:U12" si="2">$C7*F$7</f>
        <v>0</v>
      </c>
      <c r="G10" s="26">
        <f t="shared" si="2"/>
        <v>0</v>
      </c>
      <c r="H10" s="26">
        <f t="shared" si="2"/>
        <v>0</v>
      </c>
      <c r="I10" s="26">
        <f t="shared" si="2"/>
        <v>206784.50501693538</v>
      </c>
      <c r="J10" s="26">
        <f t="shared" si="2"/>
        <v>206784.50501693538</v>
      </c>
      <c r="K10" s="26">
        <f t="shared" si="2"/>
        <v>206784.50501693538</v>
      </c>
      <c r="L10" s="26">
        <f t="shared" si="2"/>
        <v>206784.50501693538</v>
      </c>
      <c r="M10" s="26">
        <f t="shared" si="2"/>
        <v>206784.50501693538</v>
      </c>
      <c r="N10" s="26">
        <f t="shared" si="2"/>
        <v>206784.50501693538</v>
      </c>
      <c r="O10" s="26">
        <f t="shared" si="2"/>
        <v>206784.50501693538</v>
      </c>
      <c r="P10" s="26">
        <f t="shared" si="2"/>
        <v>206784.50501693538</v>
      </c>
      <c r="Q10" s="26">
        <f t="shared" si="2"/>
        <v>206784.50501693538</v>
      </c>
      <c r="R10" s="26">
        <f t="shared" si="2"/>
        <v>206784.50501693538</v>
      </c>
      <c r="S10" s="26">
        <f t="shared" si="2"/>
        <v>206784.50501693538</v>
      </c>
      <c r="T10" s="26">
        <f t="shared" si="2"/>
        <v>206784.50501693538</v>
      </c>
      <c r="U10" s="26">
        <f t="shared" si="2"/>
        <v>206784.50501693538</v>
      </c>
      <c r="V10" s="26">
        <f t="shared" si="1"/>
        <v>206784.50501693538</v>
      </c>
      <c r="W10" s="26">
        <f t="shared" si="1"/>
        <v>206784.50501693538</v>
      </c>
      <c r="X10" s="26">
        <f t="shared" si="1"/>
        <v>206784.50501693538</v>
      </c>
      <c r="Y10" s="26">
        <f t="shared" si="1"/>
        <v>206784.50501693538</v>
      </c>
      <c r="Z10" s="26">
        <f t="shared" si="1"/>
        <v>206784.50501693538</v>
      </c>
      <c r="AA10" s="26">
        <f t="shared" si="1"/>
        <v>206784.50501693538</v>
      </c>
      <c r="AB10" s="26">
        <f t="shared" si="1"/>
        <v>206784.50501693538</v>
      </c>
      <c r="AC10" s="26">
        <f t="shared" si="1"/>
        <v>206784.50501693538</v>
      </c>
      <c r="AD10" s="26">
        <f t="shared" si="1"/>
        <v>206784.50501693538</v>
      </c>
      <c r="AE10" s="26">
        <f t="shared" si="1"/>
        <v>206784.50501693538</v>
      </c>
      <c r="AF10" s="26">
        <f t="shared" si="1"/>
        <v>206784.50501693538</v>
      </c>
      <c r="AG10" s="26">
        <f t="shared" si="1"/>
        <v>206784.50501693538</v>
      </c>
      <c r="AH10" s="26">
        <f t="shared" si="1"/>
        <v>206784.50501693538</v>
      </c>
      <c r="AI10" s="26">
        <f t="shared" si="1"/>
        <v>206784.50501693538</v>
      </c>
      <c r="AJ10" s="26">
        <f t="shared" si="1"/>
        <v>206784.50501693538</v>
      </c>
      <c r="AK10" s="26">
        <f t="shared" si="1"/>
        <v>206784.50501693538</v>
      </c>
      <c r="AL10" s="26">
        <f t="shared" si="1"/>
        <v>206784.50501693538</v>
      </c>
      <c r="AM10" s="26">
        <f t="shared" si="1"/>
        <v>206784.50501693538</v>
      </c>
      <c r="AN10" s="26">
        <f t="shared" si="1"/>
        <v>206784.50501693538</v>
      </c>
      <c r="AO10" s="26">
        <f t="shared" si="1"/>
        <v>206784.50501693538</v>
      </c>
    </row>
    <row r="11" spans="2:41">
      <c r="E11" s="40" t="s">
        <v>1486</v>
      </c>
      <c r="F11" s="26">
        <f t="shared" si="2"/>
        <v>0</v>
      </c>
      <c r="G11" s="26">
        <f t="shared" si="2"/>
        <v>0</v>
      </c>
      <c r="H11" s="26">
        <f t="shared" si="2"/>
        <v>0</v>
      </c>
      <c r="I11" s="26">
        <f t="shared" si="2"/>
        <v>344640.84169489233</v>
      </c>
      <c r="J11" s="26">
        <f t="shared" si="2"/>
        <v>344640.84169489233</v>
      </c>
      <c r="K11" s="26">
        <f t="shared" si="2"/>
        <v>344640.84169489233</v>
      </c>
      <c r="L11" s="26">
        <f t="shared" si="2"/>
        <v>344640.84169489233</v>
      </c>
      <c r="M11" s="26">
        <f t="shared" si="2"/>
        <v>344640.84169489233</v>
      </c>
      <c r="N11" s="26">
        <f t="shared" si="2"/>
        <v>344640.84169489233</v>
      </c>
      <c r="O11" s="26">
        <f t="shared" si="2"/>
        <v>344640.84169489233</v>
      </c>
      <c r="P11" s="26">
        <f t="shared" si="2"/>
        <v>344640.84169489233</v>
      </c>
      <c r="Q11" s="26">
        <f t="shared" si="2"/>
        <v>344640.84169489233</v>
      </c>
      <c r="R11" s="26">
        <f t="shared" si="2"/>
        <v>344640.84169489233</v>
      </c>
      <c r="S11" s="26">
        <f t="shared" si="2"/>
        <v>344640.84169489233</v>
      </c>
      <c r="T11" s="26">
        <f t="shared" si="2"/>
        <v>344640.84169489233</v>
      </c>
      <c r="U11" s="26">
        <f t="shared" si="2"/>
        <v>344640.84169489233</v>
      </c>
      <c r="V11" s="26">
        <f t="shared" si="1"/>
        <v>344640.84169489233</v>
      </c>
      <c r="W11" s="26">
        <f t="shared" si="1"/>
        <v>344640.84169489233</v>
      </c>
      <c r="X11" s="26">
        <f t="shared" si="1"/>
        <v>344640.84169489233</v>
      </c>
      <c r="Y11" s="26">
        <f t="shared" si="1"/>
        <v>344640.84169489233</v>
      </c>
      <c r="Z11" s="26">
        <f t="shared" si="1"/>
        <v>344640.84169489233</v>
      </c>
      <c r="AA11" s="26">
        <f t="shared" si="1"/>
        <v>344640.84169489233</v>
      </c>
      <c r="AB11" s="26">
        <f t="shared" si="1"/>
        <v>344640.84169489233</v>
      </c>
      <c r="AC11" s="26">
        <f t="shared" si="1"/>
        <v>344640.84169489233</v>
      </c>
      <c r="AD11" s="26">
        <f t="shared" si="1"/>
        <v>344640.84169489233</v>
      </c>
      <c r="AE11" s="26">
        <f t="shared" si="1"/>
        <v>344640.84169489233</v>
      </c>
      <c r="AF11" s="26">
        <f t="shared" si="1"/>
        <v>344640.84169489233</v>
      </c>
      <c r="AG11" s="26">
        <f t="shared" si="1"/>
        <v>344640.84169489233</v>
      </c>
      <c r="AH11" s="26">
        <f t="shared" si="1"/>
        <v>344640.84169489233</v>
      </c>
      <c r="AI11" s="26">
        <f t="shared" si="1"/>
        <v>344640.84169489233</v>
      </c>
      <c r="AJ11" s="26">
        <f t="shared" si="1"/>
        <v>344640.84169489233</v>
      </c>
      <c r="AK11" s="26">
        <f t="shared" si="1"/>
        <v>344640.84169489233</v>
      </c>
      <c r="AL11" s="26">
        <f t="shared" si="1"/>
        <v>344640.84169489233</v>
      </c>
      <c r="AM11" s="26">
        <f t="shared" si="1"/>
        <v>344640.84169489233</v>
      </c>
      <c r="AN11" s="26">
        <f t="shared" si="1"/>
        <v>344640.84169489233</v>
      </c>
      <c r="AO11" s="26">
        <f t="shared" si="1"/>
        <v>344640.84169489233</v>
      </c>
    </row>
    <row r="12" spans="2:41" ht="10.9" thickBot="1">
      <c r="B12" s="937" t="s">
        <v>1615</v>
      </c>
      <c r="C12" s="937"/>
      <c r="E12" s="40" t="s">
        <v>1614</v>
      </c>
      <c r="F12" s="26">
        <f t="shared" si="2"/>
        <v>0</v>
      </c>
      <c r="G12" s="26">
        <f t="shared" si="2"/>
        <v>0</v>
      </c>
      <c r="H12" s="26">
        <f t="shared" si="2"/>
        <v>0</v>
      </c>
      <c r="I12" s="26">
        <f t="shared" si="2"/>
        <v>0</v>
      </c>
      <c r="J12" s="26">
        <f t="shared" si="2"/>
        <v>0</v>
      </c>
      <c r="K12" s="26">
        <f t="shared" si="2"/>
        <v>0</v>
      </c>
      <c r="L12" s="26">
        <f t="shared" si="2"/>
        <v>0</v>
      </c>
      <c r="M12" s="26">
        <f t="shared" si="2"/>
        <v>0</v>
      </c>
      <c r="N12" s="26">
        <f t="shared" si="2"/>
        <v>0</v>
      </c>
      <c r="O12" s="26">
        <f t="shared" si="2"/>
        <v>0</v>
      </c>
      <c r="P12" s="26">
        <f t="shared" si="2"/>
        <v>0</v>
      </c>
      <c r="Q12" s="26">
        <f t="shared" si="2"/>
        <v>0</v>
      </c>
      <c r="R12" s="26">
        <f t="shared" si="2"/>
        <v>0</v>
      </c>
      <c r="S12" s="26">
        <f t="shared" si="2"/>
        <v>0</v>
      </c>
      <c r="T12" s="26">
        <f t="shared" si="2"/>
        <v>0</v>
      </c>
      <c r="U12" s="26">
        <f t="shared" si="2"/>
        <v>0</v>
      </c>
      <c r="V12" s="26">
        <f t="shared" si="1"/>
        <v>0</v>
      </c>
      <c r="W12" s="26">
        <f t="shared" si="1"/>
        <v>0</v>
      </c>
      <c r="X12" s="26">
        <f t="shared" si="1"/>
        <v>0</v>
      </c>
      <c r="Y12" s="26">
        <f t="shared" si="1"/>
        <v>0</v>
      </c>
      <c r="Z12" s="26">
        <f t="shared" si="1"/>
        <v>0</v>
      </c>
      <c r="AA12" s="26">
        <f t="shared" si="1"/>
        <v>0</v>
      </c>
      <c r="AB12" s="26">
        <f t="shared" si="1"/>
        <v>0</v>
      </c>
      <c r="AC12" s="26">
        <f t="shared" si="1"/>
        <v>0</v>
      </c>
      <c r="AD12" s="26">
        <f t="shared" si="1"/>
        <v>0</v>
      </c>
      <c r="AE12" s="26">
        <f t="shared" si="1"/>
        <v>0</v>
      </c>
      <c r="AF12" s="26">
        <f t="shared" si="1"/>
        <v>0</v>
      </c>
      <c r="AG12" s="26">
        <f t="shared" si="1"/>
        <v>0</v>
      </c>
      <c r="AH12" s="26">
        <f t="shared" si="1"/>
        <v>0</v>
      </c>
      <c r="AI12" s="26">
        <f t="shared" si="1"/>
        <v>0</v>
      </c>
      <c r="AJ12" s="26">
        <f t="shared" si="1"/>
        <v>0</v>
      </c>
      <c r="AK12" s="26">
        <f t="shared" si="1"/>
        <v>0</v>
      </c>
      <c r="AL12" s="26">
        <f t="shared" si="1"/>
        <v>0</v>
      </c>
      <c r="AM12" s="26">
        <f t="shared" si="1"/>
        <v>0</v>
      </c>
      <c r="AN12" s="26">
        <f t="shared" si="1"/>
        <v>0</v>
      </c>
      <c r="AO12" s="26">
        <f t="shared" si="1"/>
        <v>0</v>
      </c>
    </row>
    <row r="13" spans="2:41" ht="10.9" thickBot="1">
      <c r="B13" s="937" t="s">
        <v>1616</v>
      </c>
      <c r="C13" s="937"/>
      <c r="E13" s="271" t="s">
        <v>1617</v>
      </c>
      <c r="F13" s="272">
        <f>SUM(F14:F17)</f>
        <v>0</v>
      </c>
      <c r="G13" s="272">
        <f t="shared" ref="G13:H13" si="3">SUM(G14:G17)</f>
        <v>0</v>
      </c>
      <c r="H13" s="272">
        <f t="shared" si="3"/>
        <v>0</v>
      </c>
      <c r="I13" s="272">
        <f>SUM(I15:I17)</f>
        <v>725938.47152808565</v>
      </c>
      <c r="J13" s="272">
        <f t="shared" ref="J13:AO13" si="4">SUM(J15:J17)</f>
        <v>725938.47152808565</v>
      </c>
      <c r="K13" s="272">
        <f t="shared" si="4"/>
        <v>725938.47152808565</v>
      </c>
      <c r="L13" s="272">
        <f t="shared" si="4"/>
        <v>725938.47152808565</v>
      </c>
      <c r="M13" s="272">
        <f t="shared" si="4"/>
        <v>725938.47152808565</v>
      </c>
      <c r="N13" s="272">
        <f t="shared" si="4"/>
        <v>725938.47152808565</v>
      </c>
      <c r="O13" s="272">
        <f t="shared" si="4"/>
        <v>725938.47152808565</v>
      </c>
      <c r="P13" s="272">
        <f t="shared" si="4"/>
        <v>725938.47152808565</v>
      </c>
      <c r="Q13" s="272">
        <f t="shared" si="4"/>
        <v>725938.47152808565</v>
      </c>
      <c r="R13" s="272">
        <f t="shared" si="4"/>
        <v>725938.47152808565</v>
      </c>
      <c r="S13" s="272">
        <f t="shared" si="4"/>
        <v>725938.47152808565</v>
      </c>
      <c r="T13" s="272">
        <f t="shared" si="4"/>
        <v>725938.47152808565</v>
      </c>
      <c r="U13" s="272">
        <f t="shared" si="4"/>
        <v>725938.47152808565</v>
      </c>
      <c r="V13" s="272">
        <f t="shared" si="4"/>
        <v>725938.47152808565</v>
      </c>
      <c r="W13" s="272">
        <f t="shared" si="4"/>
        <v>725938.47152808565</v>
      </c>
      <c r="X13" s="272">
        <f t="shared" si="4"/>
        <v>725938.47152808565</v>
      </c>
      <c r="Y13" s="272">
        <f t="shared" si="4"/>
        <v>725938.47152808565</v>
      </c>
      <c r="Z13" s="272">
        <f t="shared" si="4"/>
        <v>725938.47152808565</v>
      </c>
      <c r="AA13" s="272">
        <f t="shared" si="4"/>
        <v>725938.47152808565</v>
      </c>
      <c r="AB13" s="272">
        <f t="shared" si="4"/>
        <v>725938.47152808565</v>
      </c>
      <c r="AC13" s="272">
        <f t="shared" si="4"/>
        <v>725938.47152808565</v>
      </c>
      <c r="AD13" s="272">
        <f t="shared" si="4"/>
        <v>725938.47152808565</v>
      </c>
      <c r="AE13" s="272">
        <f t="shared" si="4"/>
        <v>725938.47152808565</v>
      </c>
      <c r="AF13" s="272">
        <f t="shared" si="4"/>
        <v>725938.47152808565</v>
      </c>
      <c r="AG13" s="272">
        <f t="shared" si="4"/>
        <v>725938.47152808565</v>
      </c>
      <c r="AH13" s="272">
        <f t="shared" si="4"/>
        <v>725938.47152808565</v>
      </c>
      <c r="AI13" s="272">
        <f t="shared" si="4"/>
        <v>725938.47152808565</v>
      </c>
      <c r="AJ13" s="272">
        <f t="shared" si="4"/>
        <v>725938.47152808565</v>
      </c>
      <c r="AK13" s="272">
        <f t="shared" si="4"/>
        <v>725938.47152808565</v>
      </c>
      <c r="AL13" s="272">
        <f t="shared" si="4"/>
        <v>725938.47152808565</v>
      </c>
      <c r="AM13" s="272">
        <f t="shared" si="4"/>
        <v>725938.47152808565</v>
      </c>
      <c r="AN13" s="272">
        <f t="shared" si="4"/>
        <v>725938.47152808565</v>
      </c>
      <c r="AO13" s="272">
        <f t="shared" si="4"/>
        <v>725938.47152808565</v>
      </c>
    </row>
    <row r="14" spans="2:41">
      <c r="B14" s="274" t="s">
        <v>1499</v>
      </c>
      <c r="C14" s="548" t="s">
        <v>1611</v>
      </c>
      <c r="E14" s="275" t="s">
        <v>1618</v>
      </c>
      <c r="F14" s="276">
        <f>F7*$C$19</f>
        <v>0</v>
      </c>
      <c r="G14" s="276">
        <f t="shared" ref="G14:AO14" si="5">G7*$C$19</f>
        <v>0</v>
      </c>
      <c r="H14" s="276">
        <f t="shared" si="5"/>
        <v>0</v>
      </c>
      <c r="I14" s="276">
        <f t="shared" si="5"/>
        <v>2205701.3868473107</v>
      </c>
      <c r="J14" s="276">
        <f t="shared" si="5"/>
        <v>2205701.3868473107</v>
      </c>
      <c r="K14" s="276">
        <f t="shared" si="5"/>
        <v>2205701.3868473107</v>
      </c>
      <c r="L14" s="276">
        <f t="shared" si="5"/>
        <v>2205701.3868473107</v>
      </c>
      <c r="M14" s="276">
        <f t="shared" si="5"/>
        <v>2205701.3868473107</v>
      </c>
      <c r="N14" s="276">
        <f t="shared" si="5"/>
        <v>2205701.3868473107</v>
      </c>
      <c r="O14" s="276">
        <f t="shared" si="5"/>
        <v>2205701.3868473107</v>
      </c>
      <c r="P14" s="276">
        <f t="shared" si="5"/>
        <v>2205701.3868473107</v>
      </c>
      <c r="Q14" s="276">
        <f t="shared" si="5"/>
        <v>2205701.3868473107</v>
      </c>
      <c r="R14" s="276">
        <f t="shared" si="5"/>
        <v>2205701.3868473107</v>
      </c>
      <c r="S14" s="276">
        <f t="shared" si="5"/>
        <v>2205701.3868473107</v>
      </c>
      <c r="T14" s="276">
        <f t="shared" si="5"/>
        <v>2205701.3868473107</v>
      </c>
      <c r="U14" s="276">
        <f t="shared" si="5"/>
        <v>2205701.3868473107</v>
      </c>
      <c r="V14" s="276">
        <f t="shared" si="5"/>
        <v>2205701.3868473107</v>
      </c>
      <c r="W14" s="276">
        <f t="shared" si="5"/>
        <v>2205701.3868473107</v>
      </c>
      <c r="X14" s="276">
        <f t="shared" si="5"/>
        <v>2205701.3868473107</v>
      </c>
      <c r="Y14" s="276">
        <f t="shared" si="5"/>
        <v>2205701.3868473107</v>
      </c>
      <c r="Z14" s="276">
        <f t="shared" si="5"/>
        <v>2205701.3868473107</v>
      </c>
      <c r="AA14" s="276">
        <f t="shared" si="5"/>
        <v>2205701.3868473107</v>
      </c>
      <c r="AB14" s="276">
        <f t="shared" si="5"/>
        <v>2205701.3868473107</v>
      </c>
      <c r="AC14" s="276">
        <f t="shared" si="5"/>
        <v>2205701.3868473107</v>
      </c>
      <c r="AD14" s="276">
        <f t="shared" si="5"/>
        <v>2205701.3868473107</v>
      </c>
      <c r="AE14" s="276">
        <f t="shared" si="5"/>
        <v>2205701.3868473107</v>
      </c>
      <c r="AF14" s="276">
        <f t="shared" si="5"/>
        <v>2205701.3868473107</v>
      </c>
      <c r="AG14" s="276">
        <f t="shared" si="5"/>
        <v>2205701.3868473107</v>
      </c>
      <c r="AH14" s="276">
        <f t="shared" si="5"/>
        <v>2205701.3868473107</v>
      </c>
      <c r="AI14" s="276">
        <f t="shared" si="5"/>
        <v>2205701.3868473107</v>
      </c>
      <c r="AJ14" s="276">
        <f t="shared" si="5"/>
        <v>2205701.3868473107</v>
      </c>
      <c r="AK14" s="276">
        <f t="shared" si="5"/>
        <v>2205701.3868473107</v>
      </c>
      <c r="AL14" s="276">
        <f t="shared" si="5"/>
        <v>2205701.3868473107</v>
      </c>
      <c r="AM14" s="276">
        <f t="shared" si="5"/>
        <v>2205701.3868473107</v>
      </c>
      <c r="AN14" s="276">
        <f t="shared" si="5"/>
        <v>2205701.3868473107</v>
      </c>
      <c r="AO14" s="276">
        <f t="shared" si="5"/>
        <v>2205701.3868473107</v>
      </c>
    </row>
    <row r="15" spans="2:41">
      <c r="B15" s="267" t="s">
        <v>1619</v>
      </c>
      <c r="C15" s="270">
        <v>0.15</v>
      </c>
      <c r="E15" s="40" t="s">
        <v>1620</v>
      </c>
      <c r="F15" s="26">
        <f>F14*$C$15</f>
        <v>0</v>
      </c>
      <c r="G15" s="26">
        <f t="shared" ref="G15:AO15" si="6">G14*$C$15</f>
        <v>0</v>
      </c>
      <c r="H15" s="26">
        <f t="shared" si="6"/>
        <v>0</v>
      </c>
      <c r="I15" s="26">
        <f t="shared" si="6"/>
        <v>330855.20802709658</v>
      </c>
      <c r="J15" s="26">
        <f t="shared" si="6"/>
        <v>330855.20802709658</v>
      </c>
      <c r="K15" s="26">
        <f t="shared" si="6"/>
        <v>330855.20802709658</v>
      </c>
      <c r="L15" s="26">
        <f t="shared" si="6"/>
        <v>330855.20802709658</v>
      </c>
      <c r="M15" s="26">
        <f t="shared" si="6"/>
        <v>330855.20802709658</v>
      </c>
      <c r="N15" s="26">
        <f t="shared" si="6"/>
        <v>330855.20802709658</v>
      </c>
      <c r="O15" s="26">
        <f t="shared" si="6"/>
        <v>330855.20802709658</v>
      </c>
      <c r="P15" s="26">
        <f t="shared" si="6"/>
        <v>330855.20802709658</v>
      </c>
      <c r="Q15" s="26">
        <f t="shared" si="6"/>
        <v>330855.20802709658</v>
      </c>
      <c r="R15" s="26">
        <f t="shared" si="6"/>
        <v>330855.20802709658</v>
      </c>
      <c r="S15" s="26">
        <f t="shared" si="6"/>
        <v>330855.20802709658</v>
      </c>
      <c r="T15" s="26">
        <f t="shared" si="6"/>
        <v>330855.20802709658</v>
      </c>
      <c r="U15" s="26">
        <f t="shared" si="6"/>
        <v>330855.20802709658</v>
      </c>
      <c r="V15" s="26">
        <f t="shared" si="6"/>
        <v>330855.20802709658</v>
      </c>
      <c r="W15" s="26">
        <f t="shared" si="6"/>
        <v>330855.20802709658</v>
      </c>
      <c r="X15" s="26">
        <f t="shared" si="6"/>
        <v>330855.20802709658</v>
      </c>
      <c r="Y15" s="26">
        <f t="shared" si="6"/>
        <v>330855.20802709658</v>
      </c>
      <c r="Z15" s="26">
        <f t="shared" si="6"/>
        <v>330855.20802709658</v>
      </c>
      <c r="AA15" s="26">
        <f t="shared" si="6"/>
        <v>330855.20802709658</v>
      </c>
      <c r="AB15" s="26">
        <f t="shared" si="6"/>
        <v>330855.20802709658</v>
      </c>
      <c r="AC15" s="26">
        <f t="shared" si="6"/>
        <v>330855.20802709658</v>
      </c>
      <c r="AD15" s="26">
        <f t="shared" si="6"/>
        <v>330855.20802709658</v>
      </c>
      <c r="AE15" s="26">
        <f t="shared" si="6"/>
        <v>330855.20802709658</v>
      </c>
      <c r="AF15" s="26">
        <f t="shared" si="6"/>
        <v>330855.20802709658</v>
      </c>
      <c r="AG15" s="26">
        <f t="shared" si="6"/>
        <v>330855.20802709658</v>
      </c>
      <c r="AH15" s="26">
        <f t="shared" si="6"/>
        <v>330855.20802709658</v>
      </c>
      <c r="AI15" s="26">
        <f t="shared" si="6"/>
        <v>330855.20802709658</v>
      </c>
      <c r="AJ15" s="26">
        <f t="shared" si="6"/>
        <v>330855.20802709658</v>
      </c>
      <c r="AK15" s="26">
        <f t="shared" si="6"/>
        <v>330855.20802709658</v>
      </c>
      <c r="AL15" s="26">
        <f t="shared" si="6"/>
        <v>330855.20802709658</v>
      </c>
      <c r="AM15" s="26">
        <f t="shared" si="6"/>
        <v>330855.20802709658</v>
      </c>
      <c r="AN15" s="26">
        <f t="shared" si="6"/>
        <v>330855.20802709658</v>
      </c>
      <c r="AO15" s="26">
        <f t="shared" si="6"/>
        <v>330855.20802709658</v>
      </c>
    </row>
    <row r="16" spans="2:41">
      <c r="B16" s="267" t="s">
        <v>1621</v>
      </c>
      <c r="C16" s="270">
        <v>0.1</v>
      </c>
      <c r="E16" s="40" t="s">
        <v>1622</v>
      </c>
      <c r="F16" s="26">
        <f>IF(F14&gt;$C$17,(F14-$C$17)*$C$16,0)</f>
        <v>0</v>
      </c>
      <c r="G16" s="26">
        <f t="shared" ref="G16:AO16" si="7">IF(G14&gt;$C$17,(G14-$C$17)*$C$16,0)</f>
        <v>0</v>
      </c>
      <c r="H16" s="26">
        <f t="shared" si="7"/>
        <v>0</v>
      </c>
      <c r="I16" s="26">
        <f t="shared" si="7"/>
        <v>196570.13868473109</v>
      </c>
      <c r="J16" s="26">
        <f t="shared" si="7"/>
        <v>196570.13868473109</v>
      </c>
      <c r="K16" s="26">
        <f t="shared" si="7"/>
        <v>196570.13868473109</v>
      </c>
      <c r="L16" s="26">
        <f t="shared" si="7"/>
        <v>196570.13868473109</v>
      </c>
      <c r="M16" s="26">
        <f t="shared" si="7"/>
        <v>196570.13868473109</v>
      </c>
      <c r="N16" s="26">
        <f t="shared" si="7"/>
        <v>196570.13868473109</v>
      </c>
      <c r="O16" s="26">
        <f t="shared" si="7"/>
        <v>196570.13868473109</v>
      </c>
      <c r="P16" s="26">
        <f t="shared" si="7"/>
        <v>196570.13868473109</v>
      </c>
      <c r="Q16" s="26">
        <f t="shared" si="7"/>
        <v>196570.13868473109</v>
      </c>
      <c r="R16" s="26">
        <f t="shared" si="7"/>
        <v>196570.13868473109</v>
      </c>
      <c r="S16" s="26">
        <f t="shared" si="7"/>
        <v>196570.13868473109</v>
      </c>
      <c r="T16" s="26">
        <f t="shared" si="7"/>
        <v>196570.13868473109</v>
      </c>
      <c r="U16" s="26">
        <f t="shared" si="7"/>
        <v>196570.13868473109</v>
      </c>
      <c r="V16" s="26">
        <f t="shared" si="7"/>
        <v>196570.13868473109</v>
      </c>
      <c r="W16" s="26">
        <f t="shared" si="7"/>
        <v>196570.13868473109</v>
      </c>
      <c r="X16" s="26">
        <f t="shared" si="7"/>
        <v>196570.13868473109</v>
      </c>
      <c r="Y16" s="26">
        <f t="shared" si="7"/>
        <v>196570.13868473109</v>
      </c>
      <c r="Z16" s="26">
        <f t="shared" si="7"/>
        <v>196570.13868473109</v>
      </c>
      <c r="AA16" s="26">
        <f t="shared" si="7"/>
        <v>196570.13868473109</v>
      </c>
      <c r="AB16" s="26">
        <f t="shared" si="7"/>
        <v>196570.13868473109</v>
      </c>
      <c r="AC16" s="26">
        <f t="shared" si="7"/>
        <v>196570.13868473109</v>
      </c>
      <c r="AD16" s="26">
        <f t="shared" si="7"/>
        <v>196570.13868473109</v>
      </c>
      <c r="AE16" s="26">
        <f t="shared" si="7"/>
        <v>196570.13868473109</v>
      </c>
      <c r="AF16" s="26">
        <f t="shared" si="7"/>
        <v>196570.13868473109</v>
      </c>
      <c r="AG16" s="26">
        <f t="shared" si="7"/>
        <v>196570.13868473109</v>
      </c>
      <c r="AH16" s="26">
        <f t="shared" si="7"/>
        <v>196570.13868473109</v>
      </c>
      <c r="AI16" s="26">
        <f t="shared" si="7"/>
        <v>196570.13868473109</v>
      </c>
      <c r="AJ16" s="26">
        <f t="shared" si="7"/>
        <v>196570.13868473109</v>
      </c>
      <c r="AK16" s="26">
        <f t="shared" si="7"/>
        <v>196570.13868473109</v>
      </c>
      <c r="AL16" s="26">
        <f t="shared" si="7"/>
        <v>196570.13868473109</v>
      </c>
      <c r="AM16" s="26">
        <f t="shared" si="7"/>
        <v>196570.13868473109</v>
      </c>
      <c r="AN16" s="26">
        <f t="shared" si="7"/>
        <v>196570.13868473109</v>
      </c>
      <c r="AO16" s="26">
        <f t="shared" si="7"/>
        <v>196570.13868473109</v>
      </c>
    </row>
    <row r="17" spans="2:41">
      <c r="B17" s="267" t="s">
        <v>1623</v>
      </c>
      <c r="C17" s="276">
        <v>240000</v>
      </c>
      <c r="E17" s="40" t="s">
        <v>1624</v>
      </c>
      <c r="F17" s="26">
        <f>F14*$C$18</f>
        <v>0</v>
      </c>
      <c r="G17" s="26">
        <f t="shared" ref="G17:AO17" si="8">G14*$C$18</f>
        <v>0</v>
      </c>
      <c r="H17" s="26">
        <f t="shared" si="8"/>
        <v>0</v>
      </c>
      <c r="I17" s="26">
        <f t="shared" si="8"/>
        <v>198513.12481625794</v>
      </c>
      <c r="J17" s="26">
        <f t="shared" si="8"/>
        <v>198513.12481625794</v>
      </c>
      <c r="K17" s="26">
        <f t="shared" si="8"/>
        <v>198513.12481625794</v>
      </c>
      <c r="L17" s="26">
        <f t="shared" si="8"/>
        <v>198513.12481625794</v>
      </c>
      <c r="M17" s="26">
        <f t="shared" si="8"/>
        <v>198513.12481625794</v>
      </c>
      <c r="N17" s="26">
        <f t="shared" si="8"/>
        <v>198513.12481625794</v>
      </c>
      <c r="O17" s="26">
        <f t="shared" si="8"/>
        <v>198513.12481625794</v>
      </c>
      <c r="P17" s="26">
        <f t="shared" si="8"/>
        <v>198513.12481625794</v>
      </c>
      <c r="Q17" s="26">
        <f t="shared" si="8"/>
        <v>198513.12481625794</v>
      </c>
      <c r="R17" s="26">
        <f t="shared" si="8"/>
        <v>198513.12481625794</v>
      </c>
      <c r="S17" s="26">
        <f t="shared" si="8"/>
        <v>198513.12481625794</v>
      </c>
      <c r="T17" s="26">
        <f t="shared" si="8"/>
        <v>198513.12481625794</v>
      </c>
      <c r="U17" s="26">
        <f t="shared" si="8"/>
        <v>198513.12481625794</v>
      </c>
      <c r="V17" s="26">
        <f t="shared" si="8"/>
        <v>198513.12481625794</v>
      </c>
      <c r="W17" s="26">
        <f t="shared" si="8"/>
        <v>198513.12481625794</v>
      </c>
      <c r="X17" s="26">
        <f t="shared" si="8"/>
        <v>198513.12481625794</v>
      </c>
      <c r="Y17" s="26">
        <f t="shared" si="8"/>
        <v>198513.12481625794</v>
      </c>
      <c r="Z17" s="26">
        <f t="shared" si="8"/>
        <v>198513.12481625794</v>
      </c>
      <c r="AA17" s="26">
        <f t="shared" si="8"/>
        <v>198513.12481625794</v>
      </c>
      <c r="AB17" s="26">
        <f t="shared" si="8"/>
        <v>198513.12481625794</v>
      </c>
      <c r="AC17" s="26">
        <f t="shared" si="8"/>
        <v>198513.12481625794</v>
      </c>
      <c r="AD17" s="26">
        <f t="shared" si="8"/>
        <v>198513.12481625794</v>
      </c>
      <c r="AE17" s="26">
        <f t="shared" si="8"/>
        <v>198513.12481625794</v>
      </c>
      <c r="AF17" s="26">
        <f t="shared" si="8"/>
        <v>198513.12481625794</v>
      </c>
      <c r="AG17" s="26">
        <f t="shared" si="8"/>
        <v>198513.12481625794</v>
      </c>
      <c r="AH17" s="26">
        <f t="shared" si="8"/>
        <v>198513.12481625794</v>
      </c>
      <c r="AI17" s="26">
        <f t="shared" si="8"/>
        <v>198513.12481625794</v>
      </c>
      <c r="AJ17" s="26">
        <f t="shared" si="8"/>
        <v>198513.12481625794</v>
      </c>
      <c r="AK17" s="26">
        <f t="shared" si="8"/>
        <v>198513.12481625794</v>
      </c>
      <c r="AL17" s="26">
        <f t="shared" si="8"/>
        <v>198513.12481625794</v>
      </c>
      <c r="AM17" s="26">
        <f t="shared" si="8"/>
        <v>198513.12481625794</v>
      </c>
      <c r="AN17" s="26">
        <f t="shared" si="8"/>
        <v>198513.12481625794</v>
      </c>
      <c r="AO17" s="26">
        <f t="shared" si="8"/>
        <v>198513.12481625794</v>
      </c>
    </row>
    <row r="18" spans="2:41">
      <c r="B18" s="267" t="s">
        <v>1624</v>
      </c>
      <c r="C18" s="270">
        <v>0.09</v>
      </c>
    </row>
    <row r="19" spans="2:41">
      <c r="B19" s="267" t="s">
        <v>1625</v>
      </c>
      <c r="C19" s="270">
        <v>0.32</v>
      </c>
    </row>
    <row r="20" spans="2:41">
      <c r="B20" s="267" t="s">
        <v>1626</v>
      </c>
      <c r="C20" s="270">
        <v>0.3</v>
      </c>
    </row>
    <row r="21" spans="2:41">
      <c r="B21" s="267" t="s">
        <v>1627</v>
      </c>
      <c r="C21" s="548" t="s">
        <v>60</v>
      </c>
    </row>
    <row r="24" spans="2:41" ht="10.9" thickBot="1">
      <c r="B24" s="938" t="s">
        <v>1628</v>
      </c>
      <c r="C24" s="938"/>
    </row>
    <row r="25" spans="2:41">
      <c r="B25" s="277" t="s">
        <v>1629</v>
      </c>
      <c r="C25" s="26">
        <f>AVERAGE(I13:AO13)</f>
        <v>725938.47152808576</v>
      </c>
    </row>
    <row r="26" spans="2:41">
      <c r="B26" s="277" t="s">
        <v>1630</v>
      </c>
      <c r="C26" s="26">
        <f>AVERAGE(I8:AO8)</f>
        <v>596228.65613216371</v>
      </c>
    </row>
    <row r="27" spans="2:41">
      <c r="B27" s="277" t="s">
        <v>1631</v>
      </c>
      <c r="C27" s="26">
        <f>SUM(C25:C26)</f>
        <v>1322167.1276602494</v>
      </c>
    </row>
  </sheetData>
  <mergeCells count="5">
    <mergeCell ref="B4:C4"/>
    <mergeCell ref="B13:C13"/>
    <mergeCell ref="B3:C3"/>
    <mergeCell ref="B12:C12"/>
    <mergeCell ref="B24:C2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14">
    <tabColor rgb="FF00B0F0"/>
  </sheetPr>
  <dimension ref="A1:CE100"/>
  <sheetViews>
    <sheetView showGridLines="0" topLeftCell="A14" zoomScaleNormal="100" workbookViewId="0">
      <selection activeCell="F29" sqref="F29"/>
    </sheetView>
  </sheetViews>
  <sheetFormatPr defaultColWidth="9.140625" defaultRowHeight="14.45"/>
  <cols>
    <col min="1" max="1" width="8.7109375" style="2" customWidth="1"/>
    <col min="2" max="2" width="11" bestFit="1" customWidth="1"/>
    <col min="3" max="3" width="42.5703125" style="16" customWidth="1"/>
    <col min="4" max="4" width="20.28515625" style="16" bestFit="1" customWidth="1"/>
    <col min="5" max="5" width="16.85546875" style="16" bestFit="1" customWidth="1"/>
    <col min="6" max="6" width="16" style="16" bestFit="1" customWidth="1"/>
    <col min="7" max="7" width="16.140625" style="16" bestFit="1" customWidth="1"/>
    <col min="8" max="40" width="18" style="16" bestFit="1" customWidth="1"/>
    <col min="41" max="41" width="9.140625" style="16" customWidth="1"/>
    <col min="42" max="46" width="9.140625" style="16"/>
    <col min="47" max="47" width="30.5703125" style="16" bestFit="1" customWidth="1"/>
    <col min="48" max="16384" width="9.140625" style="16"/>
  </cols>
  <sheetData>
    <row r="1" spans="3:41" s="2" customFormat="1" ht="13.9">
      <c r="C1" s="798" t="s">
        <v>88</v>
      </c>
      <c r="D1" s="798"/>
    </row>
    <row r="2" spans="3:41" s="2" customFormat="1" ht="13.9" customHeight="1">
      <c r="C2" s="798"/>
      <c r="D2" s="798"/>
    </row>
    <row r="3" spans="3:41" ht="7.9" customHeight="1"/>
    <row r="4" spans="3:41">
      <c r="C4" s="799" t="s">
        <v>89</v>
      </c>
      <c r="D4" s="799" t="s">
        <v>90</v>
      </c>
      <c r="E4" s="752" t="s">
        <v>91</v>
      </c>
      <c r="F4" s="752" t="s">
        <v>84</v>
      </c>
      <c r="G4" s="752" t="s">
        <v>86</v>
      </c>
      <c r="H4" s="752" t="s">
        <v>92</v>
      </c>
      <c r="I4" s="752" t="s">
        <v>93</v>
      </c>
      <c r="J4" s="752" t="s">
        <v>94</v>
      </c>
      <c r="K4" s="752" t="s">
        <v>95</v>
      </c>
      <c r="L4" s="752" t="s">
        <v>96</v>
      </c>
      <c r="M4" s="752" t="s">
        <v>97</v>
      </c>
      <c r="N4" s="752" t="s">
        <v>98</v>
      </c>
      <c r="O4" s="752" t="s">
        <v>99</v>
      </c>
      <c r="P4" s="752" t="s">
        <v>100</v>
      </c>
      <c r="Q4" s="752" t="s">
        <v>101</v>
      </c>
      <c r="R4" s="752" t="s">
        <v>102</v>
      </c>
      <c r="S4" s="752" t="s">
        <v>103</v>
      </c>
      <c r="T4" s="752" t="s">
        <v>104</v>
      </c>
      <c r="U4" s="752" t="s">
        <v>105</v>
      </c>
      <c r="V4" s="752" t="s">
        <v>106</v>
      </c>
      <c r="W4" s="752" t="s">
        <v>107</v>
      </c>
      <c r="X4" s="752" t="s">
        <v>108</v>
      </c>
      <c r="Y4" s="752" t="s">
        <v>109</v>
      </c>
      <c r="Z4" s="752" t="s">
        <v>110</v>
      </c>
      <c r="AA4" s="752" t="s">
        <v>111</v>
      </c>
      <c r="AB4" s="752" t="s">
        <v>112</v>
      </c>
      <c r="AC4" s="752" t="s">
        <v>113</v>
      </c>
      <c r="AD4" s="752" t="s">
        <v>114</v>
      </c>
      <c r="AE4" s="752" t="s">
        <v>115</v>
      </c>
      <c r="AF4" s="752" t="s">
        <v>116</v>
      </c>
      <c r="AG4" s="752" t="s">
        <v>117</v>
      </c>
      <c r="AH4" s="752" t="s">
        <v>118</v>
      </c>
      <c r="AI4" s="752" t="s">
        <v>119</v>
      </c>
      <c r="AJ4" s="752" t="s">
        <v>120</v>
      </c>
      <c r="AK4" s="752" t="s">
        <v>121</v>
      </c>
      <c r="AL4" s="752" t="s">
        <v>122</v>
      </c>
      <c r="AM4" s="752" t="s">
        <v>123</v>
      </c>
      <c r="AN4" s="752" t="s">
        <v>124</v>
      </c>
    </row>
    <row r="5" spans="3:41">
      <c r="C5" s="799"/>
      <c r="D5" s="799"/>
      <c r="E5" s="340">
        <v>0</v>
      </c>
      <c r="F5" s="340">
        <v>1</v>
      </c>
      <c r="G5" s="340">
        <v>2</v>
      </c>
      <c r="H5" s="340">
        <v>3</v>
      </c>
      <c r="I5" s="340">
        <v>4</v>
      </c>
      <c r="J5" s="340">
        <v>5</v>
      </c>
      <c r="K5" s="340">
        <v>6</v>
      </c>
      <c r="L5" s="340">
        <v>7</v>
      </c>
      <c r="M5" s="340">
        <v>8</v>
      </c>
      <c r="N5" s="340">
        <v>9</v>
      </c>
      <c r="O5" s="340">
        <v>10</v>
      </c>
      <c r="P5" s="340">
        <v>11</v>
      </c>
      <c r="Q5" s="340">
        <v>12</v>
      </c>
      <c r="R5" s="340">
        <v>13</v>
      </c>
      <c r="S5" s="340">
        <v>14</v>
      </c>
      <c r="T5" s="340">
        <v>15</v>
      </c>
      <c r="U5" s="340">
        <v>16</v>
      </c>
      <c r="V5" s="340">
        <v>17</v>
      </c>
      <c r="W5" s="340">
        <v>18</v>
      </c>
      <c r="X5" s="340">
        <v>19</v>
      </c>
      <c r="Y5" s="340">
        <v>20</v>
      </c>
      <c r="Z5" s="340">
        <v>21</v>
      </c>
      <c r="AA5" s="340">
        <v>22</v>
      </c>
      <c r="AB5" s="340">
        <v>23</v>
      </c>
      <c r="AC5" s="340">
        <v>24</v>
      </c>
      <c r="AD5" s="340">
        <v>25</v>
      </c>
      <c r="AE5" s="340">
        <v>26</v>
      </c>
      <c r="AF5" s="340">
        <v>27</v>
      </c>
      <c r="AG5" s="340">
        <v>28</v>
      </c>
      <c r="AH5" s="340">
        <v>29</v>
      </c>
      <c r="AI5" s="340">
        <v>30</v>
      </c>
      <c r="AJ5" s="340">
        <v>31</v>
      </c>
      <c r="AK5" s="340">
        <v>32</v>
      </c>
      <c r="AL5" s="340">
        <v>33</v>
      </c>
      <c r="AM5" s="340">
        <v>34</v>
      </c>
      <c r="AN5" s="340">
        <v>35</v>
      </c>
    </row>
    <row r="6" spans="3:41" ht="15" thickBot="1">
      <c r="C6" s="800"/>
      <c r="D6" s="800"/>
      <c r="E6" s="775">
        <v>2025</v>
      </c>
      <c r="F6" s="775">
        <v>2026</v>
      </c>
      <c r="G6" s="775">
        <v>2027</v>
      </c>
      <c r="H6" s="775">
        <v>2028</v>
      </c>
      <c r="I6" s="775">
        <v>2029</v>
      </c>
      <c r="J6" s="775">
        <v>2030</v>
      </c>
      <c r="K6" s="775">
        <v>2031</v>
      </c>
      <c r="L6" s="775">
        <v>2032</v>
      </c>
      <c r="M6" s="775">
        <v>2033</v>
      </c>
      <c r="N6" s="775">
        <v>2034</v>
      </c>
      <c r="O6" s="775">
        <v>2035</v>
      </c>
      <c r="P6" s="775">
        <v>2036</v>
      </c>
      <c r="Q6" s="775">
        <v>2037</v>
      </c>
      <c r="R6" s="775">
        <v>2038</v>
      </c>
      <c r="S6" s="775">
        <v>2039</v>
      </c>
      <c r="T6" s="775">
        <v>2040</v>
      </c>
      <c r="U6" s="775">
        <v>2041</v>
      </c>
      <c r="V6" s="775">
        <v>2042</v>
      </c>
      <c r="W6" s="775">
        <v>2043</v>
      </c>
      <c r="X6" s="775">
        <v>2044</v>
      </c>
      <c r="Y6" s="775">
        <v>2045</v>
      </c>
      <c r="Z6" s="775">
        <v>2046</v>
      </c>
      <c r="AA6" s="775">
        <v>2047</v>
      </c>
      <c r="AB6" s="775">
        <v>2048</v>
      </c>
      <c r="AC6" s="775">
        <v>2049</v>
      </c>
      <c r="AD6" s="775">
        <v>2050</v>
      </c>
      <c r="AE6" s="775">
        <v>2051</v>
      </c>
      <c r="AF6" s="775">
        <v>2052</v>
      </c>
      <c r="AG6" s="775">
        <v>2053</v>
      </c>
      <c r="AH6" s="775">
        <v>2054</v>
      </c>
      <c r="AI6" s="775">
        <v>2055</v>
      </c>
      <c r="AJ6" s="775">
        <v>2056</v>
      </c>
      <c r="AK6" s="775">
        <v>2057</v>
      </c>
      <c r="AL6" s="775">
        <v>2058</v>
      </c>
      <c r="AM6" s="775">
        <v>2059</v>
      </c>
      <c r="AN6" s="775">
        <v>2060</v>
      </c>
    </row>
    <row r="7" spans="3:41" ht="15" thickBot="1">
      <c r="C7" s="294" t="s">
        <v>125</v>
      </c>
      <c r="D7" s="433">
        <f t="shared" ref="D7:D27" si="0">SUM(E7:AN7)</f>
        <v>227462955.51862907</v>
      </c>
      <c r="E7" s="433">
        <f>'RECEITAS '!D6</f>
        <v>0</v>
      </c>
      <c r="F7" s="433">
        <f>'RECEITAS '!E6</f>
        <v>0</v>
      </c>
      <c r="G7" s="433">
        <f>'RECEITAS '!F6</f>
        <v>0</v>
      </c>
      <c r="H7" s="433">
        <f>'RECEITAS '!G6</f>
        <v>6892816.8338978458</v>
      </c>
      <c r="I7" s="433">
        <f>'RECEITAS '!H6</f>
        <v>6892816.8338978458</v>
      </c>
      <c r="J7" s="433">
        <f>'RECEITAS '!I6</f>
        <v>6892816.8338978458</v>
      </c>
      <c r="K7" s="433">
        <f>'RECEITAS '!J6</f>
        <v>6892816.8338978458</v>
      </c>
      <c r="L7" s="433">
        <f>'RECEITAS '!K6</f>
        <v>6892816.8338978458</v>
      </c>
      <c r="M7" s="433">
        <f>'RECEITAS '!L6</f>
        <v>6892816.8338978458</v>
      </c>
      <c r="N7" s="433">
        <f>'RECEITAS '!M6</f>
        <v>6892816.8338978458</v>
      </c>
      <c r="O7" s="433">
        <f>'RECEITAS '!N6</f>
        <v>6892816.8338978458</v>
      </c>
      <c r="P7" s="433">
        <f>'RECEITAS '!O6</f>
        <v>6892816.8338978458</v>
      </c>
      <c r="Q7" s="433">
        <f>'RECEITAS '!P6</f>
        <v>6892816.8338978458</v>
      </c>
      <c r="R7" s="433">
        <f>'RECEITAS '!Q6</f>
        <v>6892816.8338978458</v>
      </c>
      <c r="S7" s="433">
        <f>'RECEITAS '!R6</f>
        <v>6892816.8338978458</v>
      </c>
      <c r="T7" s="433">
        <f>'RECEITAS '!S6</f>
        <v>6892816.8338978458</v>
      </c>
      <c r="U7" s="433">
        <f>'RECEITAS '!T6</f>
        <v>6892816.8338978458</v>
      </c>
      <c r="V7" s="433">
        <f>'RECEITAS '!U6</f>
        <v>6892816.8338978458</v>
      </c>
      <c r="W7" s="433">
        <f>'RECEITAS '!V6</f>
        <v>6892816.8338978458</v>
      </c>
      <c r="X7" s="433">
        <f>'RECEITAS '!W6</f>
        <v>6892816.8338978458</v>
      </c>
      <c r="Y7" s="433">
        <f>'RECEITAS '!X6</f>
        <v>6892816.8338978458</v>
      </c>
      <c r="Z7" s="433">
        <f>'RECEITAS '!Y6</f>
        <v>6892816.8338978458</v>
      </c>
      <c r="AA7" s="433">
        <f>'RECEITAS '!Z6</f>
        <v>6892816.8338978458</v>
      </c>
      <c r="AB7" s="433">
        <f>'RECEITAS '!AA6</f>
        <v>6892816.8338978458</v>
      </c>
      <c r="AC7" s="433">
        <f>'RECEITAS '!AB6</f>
        <v>6892816.8338978458</v>
      </c>
      <c r="AD7" s="433">
        <f>'RECEITAS '!AC6</f>
        <v>6892816.8338978458</v>
      </c>
      <c r="AE7" s="433">
        <f>'RECEITAS '!AD6</f>
        <v>6892816.8338978458</v>
      </c>
      <c r="AF7" s="433">
        <f>'RECEITAS '!AE6</f>
        <v>6892816.8338978458</v>
      </c>
      <c r="AG7" s="433">
        <f>'RECEITAS '!AF6</f>
        <v>6892816.8338978458</v>
      </c>
      <c r="AH7" s="433">
        <f>'RECEITAS '!AG6</f>
        <v>6892816.8338978458</v>
      </c>
      <c r="AI7" s="433">
        <f>'RECEITAS '!AH6</f>
        <v>6892816.8338978458</v>
      </c>
      <c r="AJ7" s="433">
        <f>'RECEITAS '!AI6</f>
        <v>6892816.8338978458</v>
      </c>
      <c r="AK7" s="433">
        <f>'RECEITAS '!AJ6</f>
        <v>6892816.8338978458</v>
      </c>
      <c r="AL7" s="433">
        <f>'RECEITAS '!AK6</f>
        <v>6892816.8338978458</v>
      </c>
      <c r="AM7" s="433">
        <f>'RECEITAS '!AL6</f>
        <v>6892816.8338978458</v>
      </c>
      <c r="AN7" s="433">
        <f>'RECEITAS '!AM6</f>
        <v>6892816.8338978458</v>
      </c>
    </row>
    <row r="8" spans="3:41" ht="15" thickBot="1">
      <c r="C8" s="347" t="s">
        <v>126</v>
      </c>
      <c r="D8" s="433">
        <f t="shared" si="0"/>
        <v>52712455.047092006</v>
      </c>
      <c r="E8" s="433">
        <v>0</v>
      </c>
      <c r="F8" s="433">
        <v>0</v>
      </c>
      <c r="G8" s="433">
        <v>0</v>
      </c>
      <c r="H8" s="433">
        <f>'RECEITAS '!$D$10</f>
        <v>1597347.1226391527</v>
      </c>
      <c r="I8" s="433">
        <f>'RECEITAS '!$D$10</f>
        <v>1597347.1226391527</v>
      </c>
      <c r="J8" s="433">
        <f>'RECEITAS '!$D$10</f>
        <v>1597347.1226391527</v>
      </c>
      <c r="K8" s="433">
        <f>'RECEITAS '!$D$10</f>
        <v>1597347.1226391527</v>
      </c>
      <c r="L8" s="433">
        <f>'RECEITAS '!$D$10</f>
        <v>1597347.1226391527</v>
      </c>
      <c r="M8" s="433">
        <f>'RECEITAS '!$D$10</f>
        <v>1597347.1226391527</v>
      </c>
      <c r="N8" s="433">
        <f>'RECEITAS '!$D$10</f>
        <v>1597347.1226391527</v>
      </c>
      <c r="O8" s="433">
        <f>'RECEITAS '!$D$10</f>
        <v>1597347.1226391527</v>
      </c>
      <c r="P8" s="433">
        <f>'RECEITAS '!$D$10</f>
        <v>1597347.1226391527</v>
      </c>
      <c r="Q8" s="433">
        <f>'RECEITAS '!$D$10</f>
        <v>1597347.1226391527</v>
      </c>
      <c r="R8" s="433">
        <f>'RECEITAS '!$D$10</f>
        <v>1597347.1226391527</v>
      </c>
      <c r="S8" s="433">
        <f>'RECEITAS '!$D$10</f>
        <v>1597347.1226391527</v>
      </c>
      <c r="T8" s="433">
        <f>'RECEITAS '!$D$10</f>
        <v>1597347.1226391527</v>
      </c>
      <c r="U8" s="433">
        <f>'RECEITAS '!$D$10</f>
        <v>1597347.1226391527</v>
      </c>
      <c r="V8" s="433">
        <f>'RECEITAS '!$D$10</f>
        <v>1597347.1226391527</v>
      </c>
      <c r="W8" s="433">
        <f>'RECEITAS '!$D$10</f>
        <v>1597347.1226391527</v>
      </c>
      <c r="X8" s="433">
        <f>'RECEITAS '!$D$10</f>
        <v>1597347.1226391527</v>
      </c>
      <c r="Y8" s="433">
        <f>'RECEITAS '!$D$10</f>
        <v>1597347.1226391527</v>
      </c>
      <c r="Z8" s="433">
        <f>'RECEITAS '!$D$10</f>
        <v>1597347.1226391527</v>
      </c>
      <c r="AA8" s="433">
        <f>'RECEITAS '!$D$10</f>
        <v>1597347.1226391527</v>
      </c>
      <c r="AB8" s="433">
        <f>'RECEITAS '!$D$10</f>
        <v>1597347.1226391527</v>
      </c>
      <c r="AC8" s="433">
        <f>'RECEITAS '!$D$10</f>
        <v>1597347.1226391527</v>
      </c>
      <c r="AD8" s="433">
        <f>'RECEITAS '!$D$10</f>
        <v>1597347.1226391527</v>
      </c>
      <c r="AE8" s="433">
        <f>'RECEITAS '!$D$10</f>
        <v>1597347.1226391527</v>
      </c>
      <c r="AF8" s="433">
        <f>'RECEITAS '!$D$10</f>
        <v>1597347.1226391527</v>
      </c>
      <c r="AG8" s="433">
        <f>'RECEITAS '!$D$10</f>
        <v>1597347.1226391527</v>
      </c>
      <c r="AH8" s="433">
        <f>'RECEITAS '!$D$10</f>
        <v>1597347.1226391527</v>
      </c>
      <c r="AI8" s="433">
        <f>'RECEITAS '!$D$10</f>
        <v>1597347.1226391527</v>
      </c>
      <c r="AJ8" s="433">
        <f>'RECEITAS '!$D$10</f>
        <v>1597347.1226391527</v>
      </c>
      <c r="AK8" s="433">
        <f>'RECEITAS '!$D$10</f>
        <v>1597347.1226391527</v>
      </c>
      <c r="AL8" s="433">
        <f>'RECEITAS '!$D$10</f>
        <v>1597347.1226391527</v>
      </c>
      <c r="AM8" s="433">
        <f>'RECEITAS '!$D$10</f>
        <v>1597347.1226391527</v>
      </c>
      <c r="AN8" s="433">
        <f>'RECEITAS '!$D$10</f>
        <v>1597347.1226391527</v>
      </c>
    </row>
    <row r="9" spans="3:41" ht="15" thickBot="1">
      <c r="C9" s="347" t="s">
        <v>127</v>
      </c>
      <c r="D9" s="433">
        <f t="shared" si="0"/>
        <v>56540880</v>
      </c>
      <c r="E9" s="433">
        <v>0</v>
      </c>
      <c r="F9" s="433">
        <v>0</v>
      </c>
      <c r="G9" s="433">
        <v>0</v>
      </c>
      <c r="H9" s="433">
        <f>'RECEITAS '!$D$11</f>
        <v>1713360</v>
      </c>
      <c r="I9" s="433">
        <f>'RECEITAS '!$D$11</f>
        <v>1713360</v>
      </c>
      <c r="J9" s="433">
        <f>'RECEITAS '!$D$11</f>
        <v>1713360</v>
      </c>
      <c r="K9" s="433">
        <f>'RECEITAS '!$D$11</f>
        <v>1713360</v>
      </c>
      <c r="L9" s="433">
        <f>'RECEITAS '!$D$11</f>
        <v>1713360</v>
      </c>
      <c r="M9" s="433">
        <f>'RECEITAS '!$D$11</f>
        <v>1713360</v>
      </c>
      <c r="N9" s="433">
        <f>'RECEITAS '!$D$11</f>
        <v>1713360</v>
      </c>
      <c r="O9" s="433">
        <f>'RECEITAS '!$D$11</f>
        <v>1713360</v>
      </c>
      <c r="P9" s="433">
        <f>'RECEITAS '!$D$11</f>
        <v>1713360</v>
      </c>
      <c r="Q9" s="433">
        <f>'RECEITAS '!$D$11</f>
        <v>1713360</v>
      </c>
      <c r="R9" s="433">
        <f>'RECEITAS '!$D$11</f>
        <v>1713360</v>
      </c>
      <c r="S9" s="433">
        <f>'RECEITAS '!$D$11</f>
        <v>1713360</v>
      </c>
      <c r="T9" s="433">
        <f>'RECEITAS '!$D$11</f>
        <v>1713360</v>
      </c>
      <c r="U9" s="433">
        <f>'RECEITAS '!$D$11</f>
        <v>1713360</v>
      </c>
      <c r="V9" s="433">
        <f>'RECEITAS '!$D$11</f>
        <v>1713360</v>
      </c>
      <c r="W9" s="433">
        <f>'RECEITAS '!$D$11</f>
        <v>1713360</v>
      </c>
      <c r="X9" s="433">
        <f>'RECEITAS '!$D$11</f>
        <v>1713360</v>
      </c>
      <c r="Y9" s="433">
        <f>'RECEITAS '!$D$11</f>
        <v>1713360</v>
      </c>
      <c r="Z9" s="433">
        <f>'RECEITAS '!$D$11</f>
        <v>1713360</v>
      </c>
      <c r="AA9" s="433">
        <f>'RECEITAS '!$D$11</f>
        <v>1713360</v>
      </c>
      <c r="AB9" s="433">
        <f>'RECEITAS '!$D$11</f>
        <v>1713360</v>
      </c>
      <c r="AC9" s="433">
        <f>'RECEITAS '!$D$11</f>
        <v>1713360</v>
      </c>
      <c r="AD9" s="433">
        <f>'RECEITAS '!$D$11</f>
        <v>1713360</v>
      </c>
      <c r="AE9" s="433">
        <f>'RECEITAS '!$D$11</f>
        <v>1713360</v>
      </c>
      <c r="AF9" s="433">
        <f>'RECEITAS '!$D$11</f>
        <v>1713360</v>
      </c>
      <c r="AG9" s="433">
        <f>'RECEITAS '!$D$11</f>
        <v>1713360</v>
      </c>
      <c r="AH9" s="433">
        <f>'RECEITAS '!$D$11</f>
        <v>1713360</v>
      </c>
      <c r="AI9" s="433">
        <f>'RECEITAS '!$D$11</f>
        <v>1713360</v>
      </c>
      <c r="AJ9" s="433">
        <f>'RECEITAS '!$D$11</f>
        <v>1713360</v>
      </c>
      <c r="AK9" s="433">
        <f>'RECEITAS '!$D$11</f>
        <v>1713360</v>
      </c>
      <c r="AL9" s="433">
        <f>'RECEITAS '!$D$11</f>
        <v>1713360</v>
      </c>
      <c r="AM9" s="433">
        <f>'RECEITAS '!$D$11</f>
        <v>1713360</v>
      </c>
      <c r="AN9" s="433">
        <f>'RECEITAS '!$D$11</f>
        <v>1713360</v>
      </c>
    </row>
    <row r="10" spans="3:41" ht="15" thickBot="1">
      <c r="C10" s="347" t="s">
        <v>128</v>
      </c>
      <c r="D10" s="433">
        <f t="shared" si="0"/>
        <v>14428033.869442169</v>
      </c>
      <c r="E10" s="433">
        <v>0</v>
      </c>
      <c r="F10" s="433">
        <v>0</v>
      </c>
      <c r="G10" s="433">
        <v>0</v>
      </c>
      <c r="H10" s="433">
        <f>'RECEITAS '!$D$12</f>
        <v>437213.14755885396</v>
      </c>
      <c r="I10" s="433">
        <f>'RECEITAS '!$D$12</f>
        <v>437213.14755885396</v>
      </c>
      <c r="J10" s="433">
        <f>'RECEITAS '!$D$12</f>
        <v>437213.14755885396</v>
      </c>
      <c r="K10" s="433">
        <f>'RECEITAS '!$D$12</f>
        <v>437213.14755885396</v>
      </c>
      <c r="L10" s="433">
        <f>'RECEITAS '!$D$12</f>
        <v>437213.14755885396</v>
      </c>
      <c r="M10" s="433">
        <f>'RECEITAS '!$D$12</f>
        <v>437213.14755885396</v>
      </c>
      <c r="N10" s="433">
        <f>'RECEITAS '!$D$12</f>
        <v>437213.14755885396</v>
      </c>
      <c r="O10" s="433">
        <f>'RECEITAS '!$D$12</f>
        <v>437213.14755885396</v>
      </c>
      <c r="P10" s="433">
        <f>'RECEITAS '!$D$12</f>
        <v>437213.14755885396</v>
      </c>
      <c r="Q10" s="433">
        <f>'RECEITAS '!$D$12</f>
        <v>437213.14755885396</v>
      </c>
      <c r="R10" s="433">
        <f>'RECEITAS '!$D$12</f>
        <v>437213.14755885396</v>
      </c>
      <c r="S10" s="433">
        <f>'RECEITAS '!$D$12</f>
        <v>437213.14755885396</v>
      </c>
      <c r="T10" s="433">
        <f>'RECEITAS '!$D$12</f>
        <v>437213.14755885396</v>
      </c>
      <c r="U10" s="433">
        <f>'RECEITAS '!$D$12</f>
        <v>437213.14755885396</v>
      </c>
      <c r="V10" s="433">
        <f>'RECEITAS '!$D$12</f>
        <v>437213.14755885396</v>
      </c>
      <c r="W10" s="433">
        <f>'RECEITAS '!$D$12</f>
        <v>437213.14755885396</v>
      </c>
      <c r="X10" s="433">
        <f>'RECEITAS '!$D$12</f>
        <v>437213.14755885396</v>
      </c>
      <c r="Y10" s="433">
        <f>'RECEITAS '!$D$12</f>
        <v>437213.14755885396</v>
      </c>
      <c r="Z10" s="433">
        <f>'RECEITAS '!$D$12</f>
        <v>437213.14755885396</v>
      </c>
      <c r="AA10" s="433">
        <f>'RECEITAS '!$D$12</f>
        <v>437213.14755885396</v>
      </c>
      <c r="AB10" s="433">
        <f>'RECEITAS '!$D$12</f>
        <v>437213.14755885396</v>
      </c>
      <c r="AC10" s="433">
        <f>'RECEITAS '!$D$12</f>
        <v>437213.14755885396</v>
      </c>
      <c r="AD10" s="433">
        <f>'RECEITAS '!$D$12</f>
        <v>437213.14755885396</v>
      </c>
      <c r="AE10" s="433">
        <f>'RECEITAS '!$D$12</f>
        <v>437213.14755885396</v>
      </c>
      <c r="AF10" s="433">
        <f>'RECEITAS '!$D$12</f>
        <v>437213.14755885396</v>
      </c>
      <c r="AG10" s="433">
        <f>'RECEITAS '!$D$12</f>
        <v>437213.14755885396</v>
      </c>
      <c r="AH10" s="433">
        <f>'RECEITAS '!$D$12</f>
        <v>437213.14755885396</v>
      </c>
      <c r="AI10" s="433">
        <f>'RECEITAS '!$D$12</f>
        <v>437213.14755885396</v>
      </c>
      <c r="AJ10" s="433">
        <f>'RECEITAS '!$D$12</f>
        <v>437213.14755885396</v>
      </c>
      <c r="AK10" s="433">
        <f>'RECEITAS '!$D$12</f>
        <v>437213.14755885396</v>
      </c>
      <c r="AL10" s="433">
        <f>'RECEITAS '!$D$12</f>
        <v>437213.14755885396</v>
      </c>
      <c r="AM10" s="433">
        <f>'RECEITAS '!$D$12</f>
        <v>437213.14755885396</v>
      </c>
      <c r="AN10" s="433">
        <f>'RECEITAS '!$D$12</f>
        <v>437213.14755885396</v>
      </c>
    </row>
    <row r="11" spans="3:41" ht="15" thickBot="1">
      <c r="C11" s="347" t="s">
        <v>129</v>
      </c>
      <c r="D11" s="433">
        <f t="shared" si="0"/>
        <v>3831077.9079973237</v>
      </c>
      <c r="E11" s="433">
        <v>0</v>
      </c>
      <c r="F11" s="433">
        <v>0</v>
      </c>
      <c r="G11" s="433">
        <v>0</v>
      </c>
      <c r="H11" s="433">
        <f>'RECEITAS '!$D$13</f>
        <v>116093.26993931292</v>
      </c>
      <c r="I11" s="433">
        <f>'RECEITAS '!$D$13</f>
        <v>116093.26993931292</v>
      </c>
      <c r="J11" s="433">
        <f>'RECEITAS '!$D$13</f>
        <v>116093.26993931292</v>
      </c>
      <c r="K11" s="433">
        <f>'RECEITAS '!$D$13</f>
        <v>116093.26993931292</v>
      </c>
      <c r="L11" s="433">
        <f>'RECEITAS '!$D$13</f>
        <v>116093.26993931292</v>
      </c>
      <c r="M11" s="433">
        <f>'RECEITAS '!$D$13</f>
        <v>116093.26993931292</v>
      </c>
      <c r="N11" s="433">
        <f>'RECEITAS '!$D$13</f>
        <v>116093.26993931292</v>
      </c>
      <c r="O11" s="433">
        <f>'RECEITAS '!$D$13</f>
        <v>116093.26993931292</v>
      </c>
      <c r="P11" s="433">
        <f>'RECEITAS '!$D$13</f>
        <v>116093.26993931292</v>
      </c>
      <c r="Q11" s="433">
        <f>'RECEITAS '!$D$13</f>
        <v>116093.26993931292</v>
      </c>
      <c r="R11" s="433">
        <f>'RECEITAS '!$D$13</f>
        <v>116093.26993931292</v>
      </c>
      <c r="S11" s="433">
        <f>'RECEITAS '!$D$13</f>
        <v>116093.26993931292</v>
      </c>
      <c r="T11" s="433">
        <f>'RECEITAS '!$D$13</f>
        <v>116093.26993931292</v>
      </c>
      <c r="U11" s="433">
        <f>'RECEITAS '!$D$13</f>
        <v>116093.26993931292</v>
      </c>
      <c r="V11" s="433">
        <f>'RECEITAS '!$D$13</f>
        <v>116093.26993931292</v>
      </c>
      <c r="W11" s="433">
        <f>'RECEITAS '!$D$13</f>
        <v>116093.26993931292</v>
      </c>
      <c r="X11" s="433">
        <f>'RECEITAS '!$D$13</f>
        <v>116093.26993931292</v>
      </c>
      <c r="Y11" s="433">
        <f>'RECEITAS '!$D$13</f>
        <v>116093.26993931292</v>
      </c>
      <c r="Z11" s="433">
        <f>'RECEITAS '!$D$13</f>
        <v>116093.26993931292</v>
      </c>
      <c r="AA11" s="433">
        <f>'RECEITAS '!$D$13</f>
        <v>116093.26993931292</v>
      </c>
      <c r="AB11" s="433">
        <f>'RECEITAS '!$D$13</f>
        <v>116093.26993931292</v>
      </c>
      <c r="AC11" s="433">
        <f>'RECEITAS '!$D$13</f>
        <v>116093.26993931292</v>
      </c>
      <c r="AD11" s="433">
        <f>'RECEITAS '!$D$13</f>
        <v>116093.26993931292</v>
      </c>
      <c r="AE11" s="433">
        <f>'RECEITAS '!$D$13</f>
        <v>116093.26993931292</v>
      </c>
      <c r="AF11" s="433">
        <f>'RECEITAS '!$D$13</f>
        <v>116093.26993931292</v>
      </c>
      <c r="AG11" s="433">
        <f>'RECEITAS '!$D$13</f>
        <v>116093.26993931292</v>
      </c>
      <c r="AH11" s="433">
        <f>'RECEITAS '!$D$13</f>
        <v>116093.26993931292</v>
      </c>
      <c r="AI11" s="433">
        <f>'RECEITAS '!$D$13</f>
        <v>116093.26993931292</v>
      </c>
      <c r="AJ11" s="433">
        <f>'RECEITAS '!$D$13</f>
        <v>116093.26993931292</v>
      </c>
      <c r="AK11" s="433">
        <f>'RECEITAS '!$D$13</f>
        <v>116093.26993931292</v>
      </c>
      <c r="AL11" s="433">
        <f>'RECEITAS '!$D$13</f>
        <v>116093.26993931292</v>
      </c>
      <c r="AM11" s="433">
        <f>'RECEITAS '!$D$13</f>
        <v>116093.26993931292</v>
      </c>
      <c r="AN11" s="433">
        <f>'RECEITAS '!$D$13</f>
        <v>116093.26993931292</v>
      </c>
    </row>
    <row r="12" spans="3:41" ht="15" thickBot="1">
      <c r="C12" s="347" t="s">
        <v>130</v>
      </c>
      <c r="D12" s="433">
        <f t="shared" si="0"/>
        <v>53089344</v>
      </c>
      <c r="E12" s="433">
        <v>0</v>
      </c>
      <c r="F12" s="433">
        <v>0</v>
      </c>
      <c r="G12" s="433">
        <v>0</v>
      </c>
      <c r="H12" s="433">
        <f>'RECEITAS '!$D$14</f>
        <v>1608768</v>
      </c>
      <c r="I12" s="433">
        <f>'RECEITAS '!$D$14</f>
        <v>1608768</v>
      </c>
      <c r="J12" s="433">
        <f>'RECEITAS '!$D$14</f>
        <v>1608768</v>
      </c>
      <c r="K12" s="433">
        <f>'RECEITAS '!$D$14</f>
        <v>1608768</v>
      </c>
      <c r="L12" s="433">
        <f>'RECEITAS '!$D$14</f>
        <v>1608768</v>
      </c>
      <c r="M12" s="433">
        <f>'RECEITAS '!$D$14</f>
        <v>1608768</v>
      </c>
      <c r="N12" s="433">
        <f>'RECEITAS '!$D$14</f>
        <v>1608768</v>
      </c>
      <c r="O12" s="433">
        <f>'RECEITAS '!$D$14</f>
        <v>1608768</v>
      </c>
      <c r="P12" s="433">
        <f>'RECEITAS '!$D$14</f>
        <v>1608768</v>
      </c>
      <c r="Q12" s="433">
        <f>'RECEITAS '!$D$14</f>
        <v>1608768</v>
      </c>
      <c r="R12" s="433">
        <f>'RECEITAS '!$D$14</f>
        <v>1608768</v>
      </c>
      <c r="S12" s="433">
        <f>'RECEITAS '!$D$14</f>
        <v>1608768</v>
      </c>
      <c r="T12" s="433">
        <f>'RECEITAS '!$D$14</f>
        <v>1608768</v>
      </c>
      <c r="U12" s="433">
        <f>'RECEITAS '!$D$14</f>
        <v>1608768</v>
      </c>
      <c r="V12" s="433">
        <f>'RECEITAS '!$D$14</f>
        <v>1608768</v>
      </c>
      <c r="W12" s="433">
        <f>'RECEITAS '!$D$14</f>
        <v>1608768</v>
      </c>
      <c r="X12" s="433">
        <f>'RECEITAS '!$D$14</f>
        <v>1608768</v>
      </c>
      <c r="Y12" s="433">
        <f>'RECEITAS '!$D$14</f>
        <v>1608768</v>
      </c>
      <c r="Z12" s="433">
        <f>'RECEITAS '!$D$14</f>
        <v>1608768</v>
      </c>
      <c r="AA12" s="433">
        <f>'RECEITAS '!$D$14</f>
        <v>1608768</v>
      </c>
      <c r="AB12" s="433">
        <f>'RECEITAS '!$D$14</f>
        <v>1608768</v>
      </c>
      <c r="AC12" s="433">
        <f>'RECEITAS '!$D$14</f>
        <v>1608768</v>
      </c>
      <c r="AD12" s="433">
        <f>'RECEITAS '!$D$14</f>
        <v>1608768</v>
      </c>
      <c r="AE12" s="433">
        <f>'RECEITAS '!$D$14</f>
        <v>1608768</v>
      </c>
      <c r="AF12" s="433">
        <f>'RECEITAS '!$D$14</f>
        <v>1608768</v>
      </c>
      <c r="AG12" s="433">
        <f>'RECEITAS '!$D$14</f>
        <v>1608768</v>
      </c>
      <c r="AH12" s="433">
        <f>'RECEITAS '!$D$14</f>
        <v>1608768</v>
      </c>
      <c r="AI12" s="433">
        <f>'RECEITAS '!$D$14</f>
        <v>1608768</v>
      </c>
      <c r="AJ12" s="433">
        <f>'RECEITAS '!$D$14</f>
        <v>1608768</v>
      </c>
      <c r="AK12" s="433">
        <f>'RECEITAS '!$D$14</f>
        <v>1608768</v>
      </c>
      <c r="AL12" s="433">
        <f>'RECEITAS '!$D$14</f>
        <v>1608768</v>
      </c>
      <c r="AM12" s="433">
        <f>'RECEITAS '!$D$14</f>
        <v>1608768</v>
      </c>
      <c r="AN12" s="433">
        <f>'RECEITAS '!$D$14</f>
        <v>1608768</v>
      </c>
    </row>
    <row r="13" spans="3:41" ht="15" thickBot="1">
      <c r="C13" s="347" t="s">
        <v>131</v>
      </c>
      <c r="D13" s="433">
        <f t="shared" si="0"/>
        <v>2277323.8258180087</v>
      </c>
      <c r="E13" s="433">
        <v>0</v>
      </c>
      <c r="F13" s="433">
        <v>0</v>
      </c>
      <c r="G13" s="433">
        <v>0</v>
      </c>
      <c r="H13" s="433">
        <f>'RECEITAS '!$D$15</f>
        <v>69009.812903575992</v>
      </c>
      <c r="I13" s="433">
        <f>'RECEITAS '!$D$15</f>
        <v>69009.812903575992</v>
      </c>
      <c r="J13" s="433">
        <f>'RECEITAS '!$D$15</f>
        <v>69009.812903575992</v>
      </c>
      <c r="K13" s="433">
        <f>'RECEITAS '!$D$15</f>
        <v>69009.812903575992</v>
      </c>
      <c r="L13" s="433">
        <f>'RECEITAS '!$D$15</f>
        <v>69009.812903575992</v>
      </c>
      <c r="M13" s="433">
        <f>'RECEITAS '!$D$15</f>
        <v>69009.812903575992</v>
      </c>
      <c r="N13" s="433">
        <f>'RECEITAS '!$D$15</f>
        <v>69009.812903575992</v>
      </c>
      <c r="O13" s="433">
        <f>'RECEITAS '!$D$15</f>
        <v>69009.812903575992</v>
      </c>
      <c r="P13" s="433">
        <f>'RECEITAS '!$D$15</f>
        <v>69009.812903575992</v>
      </c>
      <c r="Q13" s="433">
        <f>'RECEITAS '!$D$15</f>
        <v>69009.812903575992</v>
      </c>
      <c r="R13" s="433">
        <f>'RECEITAS '!$D$15</f>
        <v>69009.812903575992</v>
      </c>
      <c r="S13" s="433">
        <f>'RECEITAS '!$D$15</f>
        <v>69009.812903575992</v>
      </c>
      <c r="T13" s="433">
        <f>'RECEITAS '!$D$15</f>
        <v>69009.812903575992</v>
      </c>
      <c r="U13" s="433">
        <f>'RECEITAS '!$D$15</f>
        <v>69009.812903575992</v>
      </c>
      <c r="V13" s="433">
        <f>'RECEITAS '!$D$15</f>
        <v>69009.812903575992</v>
      </c>
      <c r="W13" s="433">
        <f>'RECEITAS '!$D$15</f>
        <v>69009.812903575992</v>
      </c>
      <c r="X13" s="433">
        <f>'RECEITAS '!$D$15</f>
        <v>69009.812903575992</v>
      </c>
      <c r="Y13" s="433">
        <f>'RECEITAS '!$D$15</f>
        <v>69009.812903575992</v>
      </c>
      <c r="Z13" s="433">
        <f>'RECEITAS '!$D$15</f>
        <v>69009.812903575992</v>
      </c>
      <c r="AA13" s="433">
        <f>'RECEITAS '!$D$15</f>
        <v>69009.812903575992</v>
      </c>
      <c r="AB13" s="433">
        <f>'RECEITAS '!$D$15</f>
        <v>69009.812903575992</v>
      </c>
      <c r="AC13" s="433">
        <f>'RECEITAS '!$D$15</f>
        <v>69009.812903575992</v>
      </c>
      <c r="AD13" s="433">
        <f>'RECEITAS '!$D$15</f>
        <v>69009.812903575992</v>
      </c>
      <c r="AE13" s="433">
        <f>'RECEITAS '!$D$15</f>
        <v>69009.812903575992</v>
      </c>
      <c r="AF13" s="433">
        <f>'RECEITAS '!$D$15</f>
        <v>69009.812903575992</v>
      </c>
      <c r="AG13" s="433">
        <f>'RECEITAS '!$D$15</f>
        <v>69009.812903575992</v>
      </c>
      <c r="AH13" s="433">
        <f>'RECEITAS '!$D$15</f>
        <v>69009.812903575992</v>
      </c>
      <c r="AI13" s="433">
        <f>'RECEITAS '!$D$15</f>
        <v>69009.812903575992</v>
      </c>
      <c r="AJ13" s="433">
        <f>'RECEITAS '!$D$15</f>
        <v>69009.812903575992</v>
      </c>
      <c r="AK13" s="433">
        <f>'RECEITAS '!$D$15</f>
        <v>69009.812903575992</v>
      </c>
      <c r="AL13" s="433">
        <f>'RECEITAS '!$D$15</f>
        <v>69009.812903575992</v>
      </c>
      <c r="AM13" s="433">
        <f>'RECEITAS '!$D$15</f>
        <v>69009.812903575992</v>
      </c>
      <c r="AN13" s="433">
        <f>'RECEITAS '!$D$15</f>
        <v>69009.812903575992</v>
      </c>
    </row>
    <row r="14" spans="3:41" ht="15" thickBot="1">
      <c r="C14" s="347" t="s">
        <v>132</v>
      </c>
      <c r="D14" s="433">
        <f t="shared" si="0"/>
        <v>4809482.1764769256</v>
      </c>
      <c r="E14" s="433">
        <v>0</v>
      </c>
      <c r="F14" s="433">
        <v>0</v>
      </c>
      <c r="G14" s="433">
        <v>0</v>
      </c>
      <c r="H14" s="433">
        <f>'RECEITAS '!$D$16</f>
        <v>145741.88413566441</v>
      </c>
      <c r="I14" s="433">
        <f>'RECEITAS '!$D$16</f>
        <v>145741.88413566441</v>
      </c>
      <c r="J14" s="433">
        <f>'RECEITAS '!$D$16</f>
        <v>145741.88413566441</v>
      </c>
      <c r="K14" s="433">
        <f>'RECEITAS '!$D$16</f>
        <v>145741.88413566441</v>
      </c>
      <c r="L14" s="433">
        <f>'RECEITAS '!$D$16</f>
        <v>145741.88413566441</v>
      </c>
      <c r="M14" s="433">
        <f>'RECEITAS '!$D$16</f>
        <v>145741.88413566441</v>
      </c>
      <c r="N14" s="433">
        <f>'RECEITAS '!$D$16</f>
        <v>145741.88413566441</v>
      </c>
      <c r="O14" s="433">
        <f>'RECEITAS '!$D$16</f>
        <v>145741.88413566441</v>
      </c>
      <c r="P14" s="433">
        <f>'RECEITAS '!$D$16</f>
        <v>145741.88413566441</v>
      </c>
      <c r="Q14" s="433">
        <f>'RECEITAS '!$D$16</f>
        <v>145741.88413566441</v>
      </c>
      <c r="R14" s="433">
        <f>'RECEITAS '!$D$16</f>
        <v>145741.88413566441</v>
      </c>
      <c r="S14" s="433">
        <f>'RECEITAS '!$D$16</f>
        <v>145741.88413566441</v>
      </c>
      <c r="T14" s="433">
        <f>'RECEITAS '!$D$16</f>
        <v>145741.88413566441</v>
      </c>
      <c r="U14" s="433">
        <f>'RECEITAS '!$D$16</f>
        <v>145741.88413566441</v>
      </c>
      <c r="V14" s="433">
        <f>'RECEITAS '!$D$16</f>
        <v>145741.88413566441</v>
      </c>
      <c r="W14" s="433">
        <f>'RECEITAS '!$D$16</f>
        <v>145741.88413566441</v>
      </c>
      <c r="X14" s="433">
        <f>'RECEITAS '!$D$16</f>
        <v>145741.88413566441</v>
      </c>
      <c r="Y14" s="433">
        <f>'RECEITAS '!$D$16</f>
        <v>145741.88413566441</v>
      </c>
      <c r="Z14" s="433">
        <f>'RECEITAS '!$D$16</f>
        <v>145741.88413566441</v>
      </c>
      <c r="AA14" s="433">
        <f>'RECEITAS '!$D$16</f>
        <v>145741.88413566441</v>
      </c>
      <c r="AB14" s="433">
        <f>'RECEITAS '!$D$16</f>
        <v>145741.88413566441</v>
      </c>
      <c r="AC14" s="433">
        <f>'RECEITAS '!$D$16</f>
        <v>145741.88413566441</v>
      </c>
      <c r="AD14" s="433">
        <f>'RECEITAS '!$D$16</f>
        <v>145741.88413566441</v>
      </c>
      <c r="AE14" s="433">
        <f>'RECEITAS '!$D$16</f>
        <v>145741.88413566441</v>
      </c>
      <c r="AF14" s="433">
        <f>'RECEITAS '!$D$16</f>
        <v>145741.88413566441</v>
      </c>
      <c r="AG14" s="433">
        <f>'RECEITAS '!$D$16</f>
        <v>145741.88413566441</v>
      </c>
      <c r="AH14" s="433">
        <f>'RECEITAS '!$D$16</f>
        <v>145741.88413566441</v>
      </c>
      <c r="AI14" s="433">
        <f>'RECEITAS '!$D$16</f>
        <v>145741.88413566441</v>
      </c>
      <c r="AJ14" s="433">
        <f>'RECEITAS '!$D$16</f>
        <v>145741.88413566441</v>
      </c>
      <c r="AK14" s="433">
        <f>'RECEITAS '!$D$16</f>
        <v>145741.88413566441</v>
      </c>
      <c r="AL14" s="433">
        <f>'RECEITAS '!$D$16</f>
        <v>145741.88413566441</v>
      </c>
      <c r="AM14" s="433">
        <f>'RECEITAS '!$D$16</f>
        <v>145741.88413566441</v>
      </c>
      <c r="AN14" s="433">
        <f>'RECEITAS '!$D$16</f>
        <v>145741.88413566441</v>
      </c>
      <c r="AO14" s="314"/>
    </row>
    <row r="15" spans="3:41" ht="15" thickBot="1">
      <c r="C15" s="347" t="s">
        <v>133</v>
      </c>
      <c r="D15" s="433">
        <f t="shared" si="0"/>
        <v>15995997.301195677</v>
      </c>
      <c r="E15" s="433">
        <v>0</v>
      </c>
      <c r="F15" s="433">
        <v>0</v>
      </c>
      <c r="G15" s="433">
        <v>0</v>
      </c>
      <c r="H15" s="433">
        <f>'RECEITAS '!$D$17</f>
        <v>484727.19094532356</v>
      </c>
      <c r="I15" s="433">
        <f>'RECEITAS '!$D$17</f>
        <v>484727.19094532356</v>
      </c>
      <c r="J15" s="433">
        <f>'RECEITAS '!$D$17</f>
        <v>484727.19094532356</v>
      </c>
      <c r="K15" s="433">
        <f>'RECEITAS '!$D$17</f>
        <v>484727.19094532356</v>
      </c>
      <c r="L15" s="433">
        <f>'RECEITAS '!$D$17</f>
        <v>484727.19094532356</v>
      </c>
      <c r="M15" s="433">
        <f>'RECEITAS '!$D$17</f>
        <v>484727.19094532356</v>
      </c>
      <c r="N15" s="433">
        <f>'RECEITAS '!$D$17</f>
        <v>484727.19094532356</v>
      </c>
      <c r="O15" s="433">
        <f>'RECEITAS '!$D$17</f>
        <v>484727.19094532356</v>
      </c>
      <c r="P15" s="433">
        <f>'RECEITAS '!$D$17</f>
        <v>484727.19094532356</v>
      </c>
      <c r="Q15" s="433">
        <f>'RECEITAS '!$D$17</f>
        <v>484727.19094532356</v>
      </c>
      <c r="R15" s="433">
        <f>'RECEITAS '!$D$17</f>
        <v>484727.19094532356</v>
      </c>
      <c r="S15" s="433">
        <f>'RECEITAS '!$D$17</f>
        <v>484727.19094532356</v>
      </c>
      <c r="T15" s="433">
        <f>'RECEITAS '!$D$17</f>
        <v>484727.19094532356</v>
      </c>
      <c r="U15" s="433">
        <f>'RECEITAS '!$D$17</f>
        <v>484727.19094532356</v>
      </c>
      <c r="V15" s="433">
        <f>'RECEITAS '!$D$17</f>
        <v>484727.19094532356</v>
      </c>
      <c r="W15" s="433">
        <f>'RECEITAS '!$D$17</f>
        <v>484727.19094532356</v>
      </c>
      <c r="X15" s="433">
        <f>'RECEITAS '!$D$17</f>
        <v>484727.19094532356</v>
      </c>
      <c r="Y15" s="433">
        <f>'RECEITAS '!$D$17</f>
        <v>484727.19094532356</v>
      </c>
      <c r="Z15" s="433">
        <f>'RECEITAS '!$D$17</f>
        <v>484727.19094532356</v>
      </c>
      <c r="AA15" s="433">
        <f>'RECEITAS '!$D$17</f>
        <v>484727.19094532356</v>
      </c>
      <c r="AB15" s="433">
        <f>'RECEITAS '!$D$17</f>
        <v>484727.19094532356</v>
      </c>
      <c r="AC15" s="433">
        <f>'RECEITAS '!$D$17</f>
        <v>484727.19094532356</v>
      </c>
      <c r="AD15" s="433">
        <f>'RECEITAS '!$D$17</f>
        <v>484727.19094532356</v>
      </c>
      <c r="AE15" s="433">
        <f>'RECEITAS '!$D$17</f>
        <v>484727.19094532356</v>
      </c>
      <c r="AF15" s="433">
        <f>'RECEITAS '!$D$17</f>
        <v>484727.19094532356</v>
      </c>
      <c r="AG15" s="433">
        <f>'RECEITAS '!$D$17</f>
        <v>484727.19094532356</v>
      </c>
      <c r="AH15" s="433">
        <f>'RECEITAS '!$D$17</f>
        <v>484727.19094532356</v>
      </c>
      <c r="AI15" s="433">
        <f>'RECEITAS '!$D$17</f>
        <v>484727.19094532356</v>
      </c>
      <c r="AJ15" s="433">
        <f>'RECEITAS '!$D$17</f>
        <v>484727.19094532356</v>
      </c>
      <c r="AK15" s="433">
        <f>'RECEITAS '!$D$17</f>
        <v>484727.19094532356</v>
      </c>
      <c r="AL15" s="433">
        <f>'RECEITAS '!$D$17</f>
        <v>484727.19094532356</v>
      </c>
      <c r="AM15" s="433">
        <f>'RECEITAS '!$D$17</f>
        <v>484727.19094532356</v>
      </c>
      <c r="AN15" s="433">
        <f>'RECEITAS '!$D$17</f>
        <v>484727.19094532356</v>
      </c>
    </row>
    <row r="16" spans="3:41" ht="15" thickBot="1">
      <c r="C16" s="347" t="s">
        <v>134</v>
      </c>
      <c r="D16" s="433">
        <f t="shared" si="0"/>
        <v>14393154.205134304</v>
      </c>
      <c r="E16" s="433">
        <v>0</v>
      </c>
      <c r="F16" s="433">
        <v>0</v>
      </c>
      <c r="G16" s="433">
        <v>0</v>
      </c>
      <c r="H16" s="433">
        <f>'RECEITAS '!$D$18</f>
        <v>436156.18803437299</v>
      </c>
      <c r="I16" s="433">
        <f>'RECEITAS '!$D$18</f>
        <v>436156.18803437299</v>
      </c>
      <c r="J16" s="433">
        <f>'RECEITAS '!$D$18</f>
        <v>436156.18803437299</v>
      </c>
      <c r="K16" s="433">
        <f>'RECEITAS '!$D$18</f>
        <v>436156.18803437299</v>
      </c>
      <c r="L16" s="433">
        <f>'RECEITAS '!$D$18</f>
        <v>436156.18803437299</v>
      </c>
      <c r="M16" s="433">
        <f>'RECEITAS '!$D$18</f>
        <v>436156.18803437299</v>
      </c>
      <c r="N16" s="433">
        <f>'RECEITAS '!$D$18</f>
        <v>436156.18803437299</v>
      </c>
      <c r="O16" s="433">
        <f>'RECEITAS '!$D$18</f>
        <v>436156.18803437299</v>
      </c>
      <c r="P16" s="433">
        <f>'RECEITAS '!$D$18</f>
        <v>436156.18803437299</v>
      </c>
      <c r="Q16" s="433">
        <f>'RECEITAS '!$D$18</f>
        <v>436156.18803437299</v>
      </c>
      <c r="R16" s="433">
        <f>'RECEITAS '!$D$18</f>
        <v>436156.18803437299</v>
      </c>
      <c r="S16" s="433">
        <f>'RECEITAS '!$D$18</f>
        <v>436156.18803437299</v>
      </c>
      <c r="T16" s="433">
        <f>'RECEITAS '!$D$18</f>
        <v>436156.18803437299</v>
      </c>
      <c r="U16" s="433">
        <f>'RECEITAS '!$D$18</f>
        <v>436156.18803437299</v>
      </c>
      <c r="V16" s="433">
        <f>'RECEITAS '!$D$18</f>
        <v>436156.18803437299</v>
      </c>
      <c r="W16" s="433">
        <f>'RECEITAS '!$D$18</f>
        <v>436156.18803437299</v>
      </c>
      <c r="X16" s="433">
        <f>'RECEITAS '!$D$18</f>
        <v>436156.18803437299</v>
      </c>
      <c r="Y16" s="433">
        <f>'RECEITAS '!$D$18</f>
        <v>436156.18803437299</v>
      </c>
      <c r="Z16" s="433">
        <f>'RECEITAS '!$D$18</f>
        <v>436156.18803437299</v>
      </c>
      <c r="AA16" s="433">
        <f>'RECEITAS '!$D$18</f>
        <v>436156.18803437299</v>
      </c>
      <c r="AB16" s="433">
        <f>'RECEITAS '!$D$18</f>
        <v>436156.18803437299</v>
      </c>
      <c r="AC16" s="433">
        <f>'RECEITAS '!$D$18</f>
        <v>436156.18803437299</v>
      </c>
      <c r="AD16" s="433">
        <f>'RECEITAS '!$D$18</f>
        <v>436156.18803437299</v>
      </c>
      <c r="AE16" s="433">
        <f>'RECEITAS '!$D$18</f>
        <v>436156.18803437299</v>
      </c>
      <c r="AF16" s="433">
        <f>'RECEITAS '!$D$18</f>
        <v>436156.18803437299</v>
      </c>
      <c r="AG16" s="433">
        <f>'RECEITAS '!$D$18</f>
        <v>436156.18803437299</v>
      </c>
      <c r="AH16" s="433">
        <f>'RECEITAS '!$D$18</f>
        <v>436156.18803437299</v>
      </c>
      <c r="AI16" s="433">
        <f>'RECEITAS '!$D$18</f>
        <v>436156.18803437299</v>
      </c>
      <c r="AJ16" s="433">
        <f>'RECEITAS '!$D$18</f>
        <v>436156.18803437299</v>
      </c>
      <c r="AK16" s="433">
        <f>'RECEITAS '!$D$18</f>
        <v>436156.18803437299</v>
      </c>
      <c r="AL16" s="433">
        <f>'RECEITAS '!$D$18</f>
        <v>436156.18803437299</v>
      </c>
      <c r="AM16" s="433">
        <f>'RECEITAS '!$D$18</f>
        <v>436156.18803437299</v>
      </c>
      <c r="AN16" s="433">
        <f>'RECEITAS '!$D$18</f>
        <v>436156.18803437299</v>
      </c>
    </row>
    <row r="17" spans="1:40" ht="15" thickBot="1">
      <c r="C17" s="347" t="s">
        <v>135</v>
      </c>
      <c r="D17" s="433">
        <f t="shared" si="0"/>
        <v>9385207.1854724679</v>
      </c>
      <c r="E17" s="433">
        <v>0</v>
      </c>
      <c r="F17" s="433">
        <v>0</v>
      </c>
      <c r="G17" s="433">
        <v>0</v>
      </c>
      <c r="H17" s="433">
        <f>'RECEITAS '!$D$19</f>
        <v>284400.21774158976</v>
      </c>
      <c r="I17" s="433">
        <f>'RECEITAS '!$D$19</f>
        <v>284400.21774158976</v>
      </c>
      <c r="J17" s="433">
        <f>'RECEITAS '!$D$19</f>
        <v>284400.21774158976</v>
      </c>
      <c r="K17" s="433">
        <f>'RECEITAS '!$D$19</f>
        <v>284400.21774158976</v>
      </c>
      <c r="L17" s="433">
        <f>'RECEITAS '!$D$19</f>
        <v>284400.21774158976</v>
      </c>
      <c r="M17" s="433">
        <f>'RECEITAS '!$D$19</f>
        <v>284400.21774158976</v>
      </c>
      <c r="N17" s="433">
        <f>'RECEITAS '!$D$19</f>
        <v>284400.21774158976</v>
      </c>
      <c r="O17" s="433">
        <f>'RECEITAS '!$D$19</f>
        <v>284400.21774158976</v>
      </c>
      <c r="P17" s="433">
        <f>'RECEITAS '!$D$19</f>
        <v>284400.21774158976</v>
      </c>
      <c r="Q17" s="433">
        <f>'RECEITAS '!$D$19</f>
        <v>284400.21774158976</v>
      </c>
      <c r="R17" s="433">
        <f>'RECEITAS '!$D$19</f>
        <v>284400.21774158976</v>
      </c>
      <c r="S17" s="433">
        <f>'RECEITAS '!$D$19</f>
        <v>284400.21774158976</v>
      </c>
      <c r="T17" s="433">
        <f>'RECEITAS '!$D$19</f>
        <v>284400.21774158976</v>
      </c>
      <c r="U17" s="433">
        <f>'RECEITAS '!$D$19</f>
        <v>284400.21774158976</v>
      </c>
      <c r="V17" s="433">
        <f>'RECEITAS '!$D$19</f>
        <v>284400.21774158976</v>
      </c>
      <c r="W17" s="433">
        <f>'RECEITAS '!$D$19</f>
        <v>284400.21774158976</v>
      </c>
      <c r="X17" s="433">
        <f>'RECEITAS '!$D$19</f>
        <v>284400.21774158976</v>
      </c>
      <c r="Y17" s="433">
        <f>'RECEITAS '!$D$19</f>
        <v>284400.21774158976</v>
      </c>
      <c r="Z17" s="433">
        <f>'RECEITAS '!$D$19</f>
        <v>284400.21774158976</v>
      </c>
      <c r="AA17" s="433">
        <f>'RECEITAS '!$D$19</f>
        <v>284400.21774158976</v>
      </c>
      <c r="AB17" s="433">
        <f>'RECEITAS '!$D$19</f>
        <v>284400.21774158976</v>
      </c>
      <c r="AC17" s="433">
        <f>'RECEITAS '!$D$19</f>
        <v>284400.21774158976</v>
      </c>
      <c r="AD17" s="433">
        <f>'RECEITAS '!$D$19</f>
        <v>284400.21774158976</v>
      </c>
      <c r="AE17" s="433">
        <f>'RECEITAS '!$D$19</f>
        <v>284400.21774158976</v>
      </c>
      <c r="AF17" s="433">
        <f>'RECEITAS '!$D$19</f>
        <v>284400.21774158976</v>
      </c>
      <c r="AG17" s="433">
        <f>'RECEITAS '!$D$19</f>
        <v>284400.21774158976</v>
      </c>
      <c r="AH17" s="433">
        <f>'RECEITAS '!$D$19</f>
        <v>284400.21774158976</v>
      </c>
      <c r="AI17" s="433">
        <f>'RECEITAS '!$D$19</f>
        <v>284400.21774158976</v>
      </c>
      <c r="AJ17" s="433">
        <f>'RECEITAS '!$D$19</f>
        <v>284400.21774158976</v>
      </c>
      <c r="AK17" s="433">
        <f>'RECEITAS '!$D$19</f>
        <v>284400.21774158976</v>
      </c>
      <c r="AL17" s="433">
        <f>'RECEITAS '!$D$19</f>
        <v>284400.21774158976</v>
      </c>
      <c r="AM17" s="433">
        <f>'RECEITAS '!$D$19</f>
        <v>284400.21774158976</v>
      </c>
      <c r="AN17" s="433">
        <f>'RECEITAS '!$D$19</f>
        <v>284400.21774158976</v>
      </c>
    </row>
    <row r="18" spans="1:40" ht="15" thickBot="1">
      <c r="C18" s="294" t="s">
        <v>136</v>
      </c>
      <c r="D18" s="433">
        <f t="shared" si="0"/>
        <v>-19675545.652361404</v>
      </c>
      <c r="E18" s="433">
        <f t="shared" ref="E18:J18" si="1">-SUM(E19:E20)</f>
        <v>0</v>
      </c>
      <c r="F18" s="433">
        <f t="shared" si="1"/>
        <v>0</v>
      </c>
      <c r="G18" s="433">
        <f t="shared" si="1"/>
        <v>0</v>
      </c>
      <c r="H18" s="433">
        <f t="shared" si="1"/>
        <v>-596228.65613216371</v>
      </c>
      <c r="I18" s="433">
        <f t="shared" si="1"/>
        <v>-596228.65613216371</v>
      </c>
      <c r="J18" s="433">
        <f t="shared" si="1"/>
        <v>-596228.65613216371</v>
      </c>
      <c r="K18" s="433">
        <f t="shared" ref="K18" si="2">-SUM(K19:K20)</f>
        <v>-596228.65613216371</v>
      </c>
      <c r="L18" s="433">
        <f t="shared" ref="L18" si="3">-SUM(L19:L20)</f>
        <v>-596228.65613216371</v>
      </c>
      <c r="M18" s="433">
        <f t="shared" ref="M18" si="4">-SUM(M19:M20)</f>
        <v>-596228.65613216371</v>
      </c>
      <c r="N18" s="433">
        <f t="shared" ref="N18:O18" si="5">-SUM(N19:N20)</f>
        <v>-596228.65613216371</v>
      </c>
      <c r="O18" s="433">
        <f t="shared" si="5"/>
        <v>-596228.65613216371</v>
      </c>
      <c r="P18" s="433">
        <f t="shared" ref="P18" si="6">-SUM(P19:P20)</f>
        <v>-596228.65613216371</v>
      </c>
      <c r="Q18" s="433">
        <f t="shared" ref="Q18" si="7">-SUM(Q19:Q20)</f>
        <v>-596228.65613216371</v>
      </c>
      <c r="R18" s="433">
        <f t="shared" ref="R18" si="8">-SUM(R19:R20)</f>
        <v>-596228.65613216371</v>
      </c>
      <c r="S18" s="433">
        <f t="shared" ref="S18:T18" si="9">-SUM(S19:S20)</f>
        <v>-596228.65613216371</v>
      </c>
      <c r="T18" s="433">
        <f t="shared" si="9"/>
        <v>-596228.65613216371</v>
      </c>
      <c r="U18" s="433">
        <f t="shared" ref="U18" si="10">-SUM(U19:U20)</f>
        <v>-596228.65613216371</v>
      </c>
      <c r="V18" s="433">
        <f t="shared" ref="V18" si="11">-SUM(V19:V20)</f>
        <v>-596228.65613216371</v>
      </c>
      <c r="W18" s="433">
        <f t="shared" ref="W18" si="12">-SUM(W19:W20)</f>
        <v>-596228.65613216371</v>
      </c>
      <c r="X18" s="433">
        <f t="shared" ref="X18:Y18" si="13">-SUM(X19:X20)</f>
        <v>-596228.65613216371</v>
      </c>
      <c r="Y18" s="433">
        <f t="shared" si="13"/>
        <v>-596228.65613216371</v>
      </c>
      <c r="Z18" s="433">
        <f t="shared" ref="Z18" si="14">-SUM(Z19:Z20)</f>
        <v>-596228.65613216371</v>
      </c>
      <c r="AA18" s="433">
        <f t="shared" ref="AA18" si="15">-SUM(AA19:AA20)</f>
        <v>-596228.65613216371</v>
      </c>
      <c r="AB18" s="433">
        <f t="shared" ref="AB18" si="16">-SUM(AB19:AB20)</f>
        <v>-596228.65613216371</v>
      </c>
      <c r="AC18" s="433">
        <f t="shared" ref="AC18:AD18" si="17">-SUM(AC19:AC20)</f>
        <v>-596228.65613216371</v>
      </c>
      <c r="AD18" s="433">
        <f t="shared" si="17"/>
        <v>-596228.65613216371</v>
      </c>
      <c r="AE18" s="433">
        <f t="shared" ref="AE18" si="18">-SUM(AE19:AE20)</f>
        <v>-596228.65613216371</v>
      </c>
      <c r="AF18" s="433">
        <f t="shared" ref="AF18" si="19">-SUM(AF19:AF20)</f>
        <v>-596228.65613216371</v>
      </c>
      <c r="AG18" s="433">
        <f t="shared" ref="AG18" si="20">-SUM(AG19:AG20)</f>
        <v>-596228.65613216371</v>
      </c>
      <c r="AH18" s="433">
        <f t="shared" ref="AH18:AI18" si="21">-SUM(AH19:AH20)</f>
        <v>-596228.65613216371</v>
      </c>
      <c r="AI18" s="433">
        <f t="shared" si="21"/>
        <v>-596228.65613216371</v>
      </c>
      <c r="AJ18" s="433">
        <f t="shared" ref="AJ18" si="22">-SUM(AJ19:AJ20)</f>
        <v>-596228.65613216371</v>
      </c>
      <c r="AK18" s="433">
        <f t="shared" ref="AK18" si="23">-SUM(AK19:AK20)</f>
        <v>-596228.65613216371</v>
      </c>
      <c r="AL18" s="433">
        <f t="shared" ref="AL18" si="24">-SUM(AL19:AL20)</f>
        <v>-596228.65613216371</v>
      </c>
      <c r="AM18" s="433">
        <f t="shared" ref="AM18:AN18" si="25">-SUM(AM19:AM20)</f>
        <v>-596228.65613216371</v>
      </c>
      <c r="AN18" s="433">
        <f t="shared" si="25"/>
        <v>-596228.65613216371</v>
      </c>
    </row>
    <row r="19" spans="1:40" ht="15" thickBot="1">
      <c r="C19" s="347" t="s">
        <v>137</v>
      </c>
      <c r="D19" s="433">
        <f t="shared" si="0"/>
        <v>19675545.652361404</v>
      </c>
      <c r="E19" s="433">
        <f>Tributação!F8</f>
        <v>0</v>
      </c>
      <c r="F19" s="433">
        <f>Tributação!G8</f>
        <v>0</v>
      </c>
      <c r="G19" s="433">
        <f>Tributação!H8</f>
        <v>0</v>
      </c>
      <c r="H19" s="433">
        <f>Tributação!I8</f>
        <v>596228.65613216371</v>
      </c>
      <c r="I19" s="433">
        <f>Tributação!J8</f>
        <v>596228.65613216371</v>
      </c>
      <c r="J19" s="433">
        <f>Tributação!K8</f>
        <v>596228.65613216371</v>
      </c>
      <c r="K19" s="433">
        <f>Tributação!L8</f>
        <v>596228.65613216371</v>
      </c>
      <c r="L19" s="433">
        <f>Tributação!M8</f>
        <v>596228.65613216371</v>
      </c>
      <c r="M19" s="433">
        <f>Tributação!N8</f>
        <v>596228.65613216371</v>
      </c>
      <c r="N19" s="433">
        <f>Tributação!O8</f>
        <v>596228.65613216371</v>
      </c>
      <c r="O19" s="433">
        <f>Tributação!P8</f>
        <v>596228.65613216371</v>
      </c>
      <c r="P19" s="433">
        <f>Tributação!Q8</f>
        <v>596228.65613216371</v>
      </c>
      <c r="Q19" s="433">
        <f>Tributação!R8</f>
        <v>596228.65613216371</v>
      </c>
      <c r="R19" s="433">
        <f>Tributação!S8</f>
        <v>596228.65613216371</v>
      </c>
      <c r="S19" s="433">
        <f>Tributação!T8</f>
        <v>596228.65613216371</v>
      </c>
      <c r="T19" s="433">
        <f>Tributação!U8</f>
        <v>596228.65613216371</v>
      </c>
      <c r="U19" s="433">
        <f>Tributação!V8</f>
        <v>596228.65613216371</v>
      </c>
      <c r="V19" s="433">
        <f>Tributação!W8</f>
        <v>596228.65613216371</v>
      </c>
      <c r="W19" s="433">
        <f>Tributação!X8</f>
        <v>596228.65613216371</v>
      </c>
      <c r="X19" s="433">
        <f>Tributação!Y8</f>
        <v>596228.65613216371</v>
      </c>
      <c r="Y19" s="433">
        <f>Tributação!Z8</f>
        <v>596228.65613216371</v>
      </c>
      <c r="Z19" s="433">
        <f>Tributação!AA8</f>
        <v>596228.65613216371</v>
      </c>
      <c r="AA19" s="433">
        <f>Tributação!AB8</f>
        <v>596228.65613216371</v>
      </c>
      <c r="AB19" s="433">
        <f>Tributação!AC8</f>
        <v>596228.65613216371</v>
      </c>
      <c r="AC19" s="433">
        <f>Tributação!AD8</f>
        <v>596228.65613216371</v>
      </c>
      <c r="AD19" s="433">
        <f>Tributação!AE8</f>
        <v>596228.65613216371</v>
      </c>
      <c r="AE19" s="433">
        <f>Tributação!AF8</f>
        <v>596228.65613216371</v>
      </c>
      <c r="AF19" s="433">
        <f>Tributação!AG8</f>
        <v>596228.65613216371</v>
      </c>
      <c r="AG19" s="433">
        <f>Tributação!AH8</f>
        <v>596228.65613216371</v>
      </c>
      <c r="AH19" s="433">
        <f>Tributação!AI8</f>
        <v>596228.65613216371</v>
      </c>
      <c r="AI19" s="433">
        <f>Tributação!AJ8</f>
        <v>596228.65613216371</v>
      </c>
      <c r="AJ19" s="433">
        <f>Tributação!AK8</f>
        <v>596228.65613216371</v>
      </c>
      <c r="AK19" s="433">
        <f>Tributação!AL8</f>
        <v>596228.65613216371</v>
      </c>
      <c r="AL19" s="433">
        <f>Tributação!AM8</f>
        <v>596228.65613216371</v>
      </c>
      <c r="AM19" s="433">
        <f>Tributação!AN8</f>
        <v>596228.65613216371</v>
      </c>
      <c r="AN19" s="433">
        <f>Tributação!AO8</f>
        <v>596228.65613216371</v>
      </c>
    </row>
    <row r="20" spans="1:40" ht="15" thickBot="1">
      <c r="C20" s="347" t="s">
        <v>138</v>
      </c>
      <c r="D20" s="433">
        <f t="shared" si="0"/>
        <v>0</v>
      </c>
      <c r="E20" s="433">
        <v>0</v>
      </c>
      <c r="F20" s="433">
        <v>0</v>
      </c>
      <c r="G20" s="433">
        <v>0</v>
      </c>
      <c r="H20" s="433">
        <v>0</v>
      </c>
      <c r="I20" s="433">
        <v>0</v>
      </c>
      <c r="J20" s="433">
        <v>0</v>
      </c>
      <c r="K20" s="433">
        <v>0</v>
      </c>
      <c r="L20" s="433">
        <v>0</v>
      </c>
      <c r="M20" s="433">
        <v>0</v>
      </c>
      <c r="N20" s="433">
        <v>0</v>
      </c>
      <c r="O20" s="433">
        <v>0</v>
      </c>
      <c r="P20" s="433">
        <v>0</v>
      </c>
      <c r="Q20" s="433">
        <v>0</v>
      </c>
      <c r="R20" s="433">
        <v>0</v>
      </c>
      <c r="S20" s="433">
        <v>0</v>
      </c>
      <c r="T20" s="433">
        <v>0</v>
      </c>
      <c r="U20" s="433">
        <v>0</v>
      </c>
      <c r="V20" s="433">
        <v>0</v>
      </c>
      <c r="W20" s="433">
        <v>0</v>
      </c>
      <c r="X20" s="433">
        <v>0</v>
      </c>
      <c r="Y20" s="433">
        <v>0</v>
      </c>
      <c r="Z20" s="433">
        <v>0</v>
      </c>
      <c r="AA20" s="433">
        <v>0</v>
      </c>
      <c r="AB20" s="433">
        <v>0</v>
      </c>
      <c r="AC20" s="433">
        <v>0</v>
      </c>
      <c r="AD20" s="433">
        <v>0</v>
      </c>
      <c r="AE20" s="433">
        <v>0</v>
      </c>
      <c r="AF20" s="433">
        <v>0</v>
      </c>
      <c r="AG20" s="433">
        <v>0</v>
      </c>
      <c r="AH20" s="433">
        <v>0</v>
      </c>
      <c r="AI20" s="433">
        <v>0</v>
      </c>
      <c r="AJ20" s="433">
        <v>0</v>
      </c>
      <c r="AK20" s="433">
        <v>0</v>
      </c>
      <c r="AL20" s="433">
        <v>0</v>
      </c>
      <c r="AM20" s="433">
        <v>0</v>
      </c>
      <c r="AN20" s="433">
        <v>0</v>
      </c>
    </row>
    <row r="21" spans="1:40" ht="15" thickBot="1">
      <c r="C21" s="294" t="s">
        <v>139</v>
      </c>
      <c r="D21" s="433">
        <f t="shared" si="0"/>
        <v>207787409.86626738</v>
      </c>
      <c r="E21" s="433">
        <f t="shared" ref="E21:AN21" si="26">SUM(E18,E7)</f>
        <v>0</v>
      </c>
      <c r="F21" s="433">
        <f t="shared" si="26"/>
        <v>0</v>
      </c>
      <c r="G21" s="433">
        <f t="shared" si="26"/>
        <v>0</v>
      </c>
      <c r="H21" s="433">
        <f t="shared" si="26"/>
        <v>6296588.1777656823</v>
      </c>
      <c r="I21" s="433">
        <f t="shared" si="26"/>
        <v>6296588.1777656823</v>
      </c>
      <c r="J21" s="433">
        <f t="shared" si="26"/>
        <v>6296588.1777656823</v>
      </c>
      <c r="K21" s="433">
        <f t="shared" si="26"/>
        <v>6296588.1777656823</v>
      </c>
      <c r="L21" s="433">
        <f t="shared" si="26"/>
        <v>6296588.1777656823</v>
      </c>
      <c r="M21" s="433">
        <f t="shared" si="26"/>
        <v>6296588.1777656823</v>
      </c>
      <c r="N21" s="433">
        <f t="shared" si="26"/>
        <v>6296588.1777656823</v>
      </c>
      <c r="O21" s="433">
        <f t="shared" si="26"/>
        <v>6296588.1777656823</v>
      </c>
      <c r="P21" s="433">
        <f t="shared" si="26"/>
        <v>6296588.1777656823</v>
      </c>
      <c r="Q21" s="433">
        <f t="shared" si="26"/>
        <v>6296588.1777656823</v>
      </c>
      <c r="R21" s="433">
        <f t="shared" si="26"/>
        <v>6296588.1777656823</v>
      </c>
      <c r="S21" s="433">
        <f t="shared" si="26"/>
        <v>6296588.1777656823</v>
      </c>
      <c r="T21" s="433">
        <f t="shared" si="26"/>
        <v>6296588.1777656823</v>
      </c>
      <c r="U21" s="433">
        <f t="shared" si="26"/>
        <v>6296588.1777656823</v>
      </c>
      <c r="V21" s="433">
        <f t="shared" si="26"/>
        <v>6296588.1777656823</v>
      </c>
      <c r="W21" s="433">
        <f t="shared" si="26"/>
        <v>6296588.1777656823</v>
      </c>
      <c r="X21" s="433">
        <f t="shared" si="26"/>
        <v>6296588.1777656823</v>
      </c>
      <c r="Y21" s="433">
        <f t="shared" si="26"/>
        <v>6296588.1777656823</v>
      </c>
      <c r="Z21" s="433">
        <f t="shared" si="26"/>
        <v>6296588.1777656823</v>
      </c>
      <c r="AA21" s="433">
        <f t="shared" si="26"/>
        <v>6296588.1777656823</v>
      </c>
      <c r="AB21" s="433">
        <f t="shared" si="26"/>
        <v>6296588.1777656823</v>
      </c>
      <c r="AC21" s="433">
        <f t="shared" si="26"/>
        <v>6296588.1777656823</v>
      </c>
      <c r="AD21" s="433">
        <f t="shared" si="26"/>
        <v>6296588.1777656823</v>
      </c>
      <c r="AE21" s="433">
        <f t="shared" si="26"/>
        <v>6296588.1777656823</v>
      </c>
      <c r="AF21" s="433">
        <f t="shared" si="26"/>
        <v>6296588.1777656823</v>
      </c>
      <c r="AG21" s="433">
        <f t="shared" si="26"/>
        <v>6296588.1777656823</v>
      </c>
      <c r="AH21" s="433">
        <f t="shared" si="26"/>
        <v>6296588.1777656823</v>
      </c>
      <c r="AI21" s="433">
        <f t="shared" si="26"/>
        <v>6296588.1777656823</v>
      </c>
      <c r="AJ21" s="433">
        <f t="shared" si="26"/>
        <v>6296588.1777656823</v>
      </c>
      <c r="AK21" s="433">
        <f t="shared" si="26"/>
        <v>6296588.1777656823</v>
      </c>
      <c r="AL21" s="433">
        <f t="shared" si="26"/>
        <v>6296588.1777656823</v>
      </c>
      <c r="AM21" s="433">
        <f t="shared" si="26"/>
        <v>6296588.1777656823</v>
      </c>
      <c r="AN21" s="433">
        <f t="shared" si="26"/>
        <v>6296588.1777656823</v>
      </c>
    </row>
    <row r="22" spans="1:40" ht="15" thickBot="1">
      <c r="C22" s="294" t="s">
        <v>140</v>
      </c>
      <c r="D22" s="433">
        <f t="shared" si="0"/>
        <v>-162723673.84135017</v>
      </c>
      <c r="E22" s="433">
        <f t="shared" ref="E22:AN22" si="27">-SUM(E23:E26)</f>
        <v>0</v>
      </c>
      <c r="F22" s="433">
        <f t="shared" si="27"/>
        <v>-1261.210522538601</v>
      </c>
      <c r="G22" s="433">
        <f t="shared" si="27"/>
        <v>-15823.9004409386</v>
      </c>
      <c r="H22" s="433">
        <f t="shared" si="27"/>
        <v>-4840704.5136528322</v>
      </c>
      <c r="I22" s="433">
        <f t="shared" si="27"/>
        <v>-4927358.0426413007</v>
      </c>
      <c r="J22" s="433">
        <f t="shared" si="27"/>
        <v>-4930537.0332076112</v>
      </c>
      <c r="K22" s="433">
        <f t="shared" si="27"/>
        <v>-4927358.0426413007</v>
      </c>
      <c r="L22" s="433">
        <f t="shared" si="27"/>
        <v>-4947045.2827818273</v>
      </c>
      <c r="M22" s="433">
        <f t="shared" si="27"/>
        <v>-4930537.0332076112</v>
      </c>
      <c r="N22" s="433">
        <f t="shared" si="27"/>
        <v>-4927358.0426413007</v>
      </c>
      <c r="O22" s="433">
        <f t="shared" si="27"/>
        <v>-4927358.0426413007</v>
      </c>
      <c r="P22" s="433">
        <f t="shared" si="27"/>
        <v>-4930537.0332076112</v>
      </c>
      <c r="Q22" s="433">
        <f t="shared" si="27"/>
        <v>-4947045.2827818273</v>
      </c>
      <c r="R22" s="433">
        <f t="shared" si="27"/>
        <v>-4931650.0226413002</v>
      </c>
      <c r="S22" s="433">
        <f t="shared" si="27"/>
        <v>-4930537.0332076112</v>
      </c>
      <c r="T22" s="433">
        <f t="shared" si="27"/>
        <v>-4927358.0426413007</v>
      </c>
      <c r="U22" s="433">
        <f t="shared" si="27"/>
        <v>-4927358.0426413007</v>
      </c>
      <c r="V22" s="433">
        <f t="shared" si="27"/>
        <v>-4962453.5609179623</v>
      </c>
      <c r="W22" s="433">
        <f t="shared" si="27"/>
        <v>-4927358.0426413007</v>
      </c>
      <c r="X22" s="433">
        <f t="shared" si="27"/>
        <v>-4927358.0426413007</v>
      </c>
      <c r="Y22" s="433">
        <f t="shared" si="27"/>
        <v>-4930537.0332076112</v>
      </c>
      <c r="Z22" s="433">
        <f t="shared" si="27"/>
        <v>-4927358.0426413007</v>
      </c>
      <c r="AA22" s="433">
        <f t="shared" si="27"/>
        <v>-4947045.2827818273</v>
      </c>
      <c r="AB22" s="433">
        <f t="shared" si="27"/>
        <v>-4934829.0132076107</v>
      </c>
      <c r="AC22" s="433">
        <f t="shared" si="27"/>
        <v>-4927358.0426413007</v>
      </c>
      <c r="AD22" s="433">
        <f t="shared" si="27"/>
        <v>-4927358.0426413007</v>
      </c>
      <c r="AE22" s="433">
        <f t="shared" si="27"/>
        <v>-4930537.0332076112</v>
      </c>
      <c r="AF22" s="433">
        <f t="shared" si="27"/>
        <v>-4947045.2827818273</v>
      </c>
      <c r="AG22" s="433">
        <f t="shared" si="27"/>
        <v>-4927358.0426413007</v>
      </c>
      <c r="AH22" s="433">
        <f t="shared" si="27"/>
        <v>-4930537.0332076112</v>
      </c>
      <c r="AI22" s="433">
        <f t="shared" si="27"/>
        <v>-4927358.0426413007</v>
      </c>
      <c r="AJ22" s="433">
        <f t="shared" si="27"/>
        <v>-4927358.0426413007</v>
      </c>
      <c r="AK22" s="433">
        <f t="shared" si="27"/>
        <v>-4962453.5609179623</v>
      </c>
      <c r="AL22" s="433">
        <f t="shared" si="27"/>
        <v>-4931650.0226413002</v>
      </c>
      <c r="AM22" s="433">
        <f t="shared" si="27"/>
        <v>-4927358.0426413007</v>
      </c>
      <c r="AN22" s="433">
        <f t="shared" si="27"/>
        <v>-4930537.0332076112</v>
      </c>
    </row>
    <row r="23" spans="1:40" ht="15" thickBot="1">
      <c r="C23" s="347" t="s">
        <v>141</v>
      </c>
      <c r="D23" s="433">
        <f t="shared" si="0"/>
        <v>153775973.28957739</v>
      </c>
      <c r="E23" s="433">
        <f>OPEX!D27</f>
        <v>0</v>
      </c>
      <c r="F23" s="433">
        <f>OPEX!E27</f>
        <v>0</v>
      </c>
      <c r="G23" s="433">
        <f>OPEX!F27</f>
        <v>0</v>
      </c>
      <c r="H23" s="433">
        <f>OPEX!G27</f>
        <v>4658269.3877989426</v>
      </c>
      <c r="I23" s="433">
        <f>OPEX!H27</f>
        <v>4653977.4077989431</v>
      </c>
      <c r="J23" s="433">
        <f>OPEX!I27</f>
        <v>4657156.3983652536</v>
      </c>
      <c r="K23" s="433">
        <f>OPEX!J27</f>
        <v>4653977.4077989431</v>
      </c>
      <c r="L23" s="433">
        <f>OPEX!K27</f>
        <v>4673664.6479394697</v>
      </c>
      <c r="M23" s="433">
        <f>OPEX!L27</f>
        <v>4657156.3983652536</v>
      </c>
      <c r="N23" s="433">
        <f>OPEX!M27</f>
        <v>4653977.4077989431</v>
      </c>
      <c r="O23" s="433">
        <f>OPEX!N27</f>
        <v>4653977.4077989431</v>
      </c>
      <c r="P23" s="433">
        <f>OPEX!O27</f>
        <v>4657156.3983652536</v>
      </c>
      <c r="Q23" s="433">
        <f>OPEX!P27</f>
        <v>4673664.6479394697</v>
      </c>
      <c r="R23" s="433">
        <f>OPEX!Q27</f>
        <v>4658269.3877989426</v>
      </c>
      <c r="S23" s="433">
        <f>OPEX!R27</f>
        <v>4657156.3983652536</v>
      </c>
      <c r="T23" s="433">
        <f>OPEX!S27</f>
        <v>4653977.4077989431</v>
      </c>
      <c r="U23" s="433">
        <f>OPEX!T27</f>
        <v>4653977.4077989431</v>
      </c>
      <c r="V23" s="433">
        <f>OPEX!U27</f>
        <v>4689072.9260756047</v>
      </c>
      <c r="W23" s="433">
        <f>OPEX!V27</f>
        <v>4653977.4077989431</v>
      </c>
      <c r="X23" s="433">
        <f>OPEX!W27</f>
        <v>4653977.4077989431</v>
      </c>
      <c r="Y23" s="433">
        <f>OPEX!X27</f>
        <v>4657156.3983652536</v>
      </c>
      <c r="Z23" s="433">
        <f>OPEX!Y27</f>
        <v>4653977.4077989431</v>
      </c>
      <c r="AA23" s="433">
        <f>OPEX!Z27</f>
        <v>4673664.6479394697</v>
      </c>
      <c r="AB23" s="433">
        <f>OPEX!AA27</f>
        <v>4661448.3783652531</v>
      </c>
      <c r="AC23" s="433">
        <f>OPEX!AB27</f>
        <v>4653977.4077989431</v>
      </c>
      <c r="AD23" s="433">
        <f>OPEX!AC27</f>
        <v>4653977.4077989431</v>
      </c>
      <c r="AE23" s="433">
        <f>OPEX!AD27</f>
        <v>4657156.3983652536</v>
      </c>
      <c r="AF23" s="433">
        <f>OPEX!AE27</f>
        <v>4673664.6479394697</v>
      </c>
      <c r="AG23" s="433">
        <f>OPEX!AF27</f>
        <v>4653977.4077989431</v>
      </c>
      <c r="AH23" s="433">
        <f>OPEX!AG27</f>
        <v>4657156.3983652536</v>
      </c>
      <c r="AI23" s="433">
        <f>OPEX!AH27</f>
        <v>4653977.4077989431</v>
      </c>
      <c r="AJ23" s="433">
        <f>OPEX!AI27</f>
        <v>4653977.4077989431</v>
      </c>
      <c r="AK23" s="433">
        <f>OPEX!AJ27</f>
        <v>4689072.9260756047</v>
      </c>
      <c r="AL23" s="433">
        <f>OPEX!AK27</f>
        <v>4658269.3877989426</v>
      </c>
      <c r="AM23" s="433">
        <f>OPEX!AL27</f>
        <v>4653977.4077989431</v>
      </c>
      <c r="AN23" s="433">
        <f>OPEX!AM27</f>
        <v>4657156.3983652536</v>
      </c>
    </row>
    <row r="24" spans="1:40" s="338" customFormat="1" ht="15" thickBot="1">
      <c r="A24" s="2"/>
      <c r="C24" s="347" t="s">
        <v>142</v>
      </c>
      <c r="D24" s="433">
        <f t="shared" si="0"/>
        <v>3308552.0802709647</v>
      </c>
      <c r="E24" s="433">
        <v>0</v>
      </c>
      <c r="F24" s="433">
        <f>E7*'INPUTS&amp;OUTPUTS'!$G$20</f>
        <v>0</v>
      </c>
      <c r="G24" s="433">
        <f>F7*'INPUTS&amp;OUTPUTS'!$G$20</f>
        <v>0</v>
      </c>
      <c r="H24" s="433">
        <f>G7*'INPUTS&amp;OUTPUTS'!$G$20</f>
        <v>0</v>
      </c>
      <c r="I24" s="433">
        <f>H7*'INPUTS&amp;OUTPUTS'!$G$20</f>
        <v>103392.25250846769</v>
      </c>
      <c r="J24" s="433">
        <f>I7*'INPUTS&amp;OUTPUTS'!$G$20</f>
        <v>103392.25250846769</v>
      </c>
      <c r="K24" s="433">
        <f>J7*'INPUTS&amp;OUTPUTS'!$G$20</f>
        <v>103392.25250846769</v>
      </c>
      <c r="L24" s="433">
        <f>K7*'INPUTS&amp;OUTPUTS'!$G$20</f>
        <v>103392.25250846769</v>
      </c>
      <c r="M24" s="433">
        <f>L7*'INPUTS&amp;OUTPUTS'!$G$20</f>
        <v>103392.25250846769</v>
      </c>
      <c r="N24" s="433">
        <f>M7*'INPUTS&amp;OUTPUTS'!$G$20</f>
        <v>103392.25250846769</v>
      </c>
      <c r="O24" s="433">
        <f>N7*'INPUTS&amp;OUTPUTS'!$G$20</f>
        <v>103392.25250846769</v>
      </c>
      <c r="P24" s="433">
        <f>O7*'INPUTS&amp;OUTPUTS'!$G$20</f>
        <v>103392.25250846769</v>
      </c>
      <c r="Q24" s="433">
        <f>P7*'INPUTS&amp;OUTPUTS'!$G$20</f>
        <v>103392.25250846769</v>
      </c>
      <c r="R24" s="433">
        <f>Q7*'INPUTS&amp;OUTPUTS'!$G$20</f>
        <v>103392.25250846769</v>
      </c>
      <c r="S24" s="433">
        <f>R7*'INPUTS&amp;OUTPUTS'!$G$20</f>
        <v>103392.25250846769</v>
      </c>
      <c r="T24" s="433">
        <f>S7*'INPUTS&amp;OUTPUTS'!$G$20</f>
        <v>103392.25250846769</v>
      </c>
      <c r="U24" s="433">
        <f>T7*'INPUTS&amp;OUTPUTS'!$G$20</f>
        <v>103392.25250846769</v>
      </c>
      <c r="V24" s="433">
        <f>U7*'INPUTS&amp;OUTPUTS'!$G$20</f>
        <v>103392.25250846769</v>
      </c>
      <c r="W24" s="433">
        <f>V7*'INPUTS&amp;OUTPUTS'!$G$20</f>
        <v>103392.25250846769</v>
      </c>
      <c r="X24" s="433">
        <f>W7*'INPUTS&amp;OUTPUTS'!$G$20</f>
        <v>103392.25250846769</v>
      </c>
      <c r="Y24" s="433">
        <f>X7*'INPUTS&amp;OUTPUTS'!$G$20</f>
        <v>103392.25250846769</v>
      </c>
      <c r="Z24" s="433">
        <f>Y7*'INPUTS&amp;OUTPUTS'!$G$20</f>
        <v>103392.25250846769</v>
      </c>
      <c r="AA24" s="433">
        <f>Z7*'INPUTS&amp;OUTPUTS'!$G$20</f>
        <v>103392.25250846769</v>
      </c>
      <c r="AB24" s="433">
        <f>AA7*'INPUTS&amp;OUTPUTS'!$G$20</f>
        <v>103392.25250846769</v>
      </c>
      <c r="AC24" s="433">
        <f>AB7*'INPUTS&amp;OUTPUTS'!$G$20</f>
        <v>103392.25250846769</v>
      </c>
      <c r="AD24" s="433">
        <f>AC7*'INPUTS&amp;OUTPUTS'!$G$20</f>
        <v>103392.25250846769</v>
      </c>
      <c r="AE24" s="433">
        <f>AD7*'INPUTS&amp;OUTPUTS'!$G$20</f>
        <v>103392.25250846769</v>
      </c>
      <c r="AF24" s="433">
        <f>AE7*'INPUTS&amp;OUTPUTS'!$G$20</f>
        <v>103392.25250846769</v>
      </c>
      <c r="AG24" s="433">
        <f>AF7*'INPUTS&amp;OUTPUTS'!$G$20</f>
        <v>103392.25250846769</v>
      </c>
      <c r="AH24" s="433">
        <f>AG7*'INPUTS&amp;OUTPUTS'!$G$20</f>
        <v>103392.25250846769</v>
      </c>
      <c r="AI24" s="433">
        <f>AH7*'INPUTS&amp;OUTPUTS'!$G$20</f>
        <v>103392.25250846769</v>
      </c>
      <c r="AJ24" s="433">
        <f>AI7*'INPUTS&amp;OUTPUTS'!$G$20</f>
        <v>103392.25250846769</v>
      </c>
      <c r="AK24" s="433">
        <f>AJ7*'INPUTS&amp;OUTPUTS'!$G$20</f>
        <v>103392.25250846769</v>
      </c>
      <c r="AL24" s="433">
        <f>AK7*'INPUTS&amp;OUTPUTS'!$G$20</f>
        <v>103392.25250846769</v>
      </c>
      <c r="AM24" s="433">
        <f>AL7*'INPUTS&amp;OUTPUTS'!$G$20</f>
        <v>103392.25250846769</v>
      </c>
      <c r="AN24" s="433">
        <f>AM7*'INPUTS&amp;OUTPUTS'!$G$20</f>
        <v>103392.25250846769</v>
      </c>
    </row>
    <row r="25" spans="1:40" ht="15" thickBot="1">
      <c r="C25" s="347" t="s">
        <v>143</v>
      </c>
      <c r="D25" s="433">
        <f t="shared" si="0"/>
        <v>210804.26402165112</v>
      </c>
      <c r="E25" s="433">
        <v>0</v>
      </c>
      <c r="F25" s="433">
        <f>Seguros!I8</f>
        <v>1261.210522538601</v>
      </c>
      <c r="G25" s="433">
        <f>Seguros!J8</f>
        <v>15823.9004409386</v>
      </c>
      <c r="H25" s="433">
        <f>Seguros!K8</f>
        <v>17939.846839338599</v>
      </c>
      <c r="I25" s="433">
        <f>Seguros!L8</f>
        <v>5493.1033193386011</v>
      </c>
      <c r="J25" s="433">
        <f>Seguros!M8</f>
        <v>5493.1033193386011</v>
      </c>
      <c r="K25" s="433">
        <f>Seguros!N8</f>
        <v>5493.1033193386011</v>
      </c>
      <c r="L25" s="433">
        <f>Seguros!O8</f>
        <v>5493.1033193386011</v>
      </c>
      <c r="M25" s="433">
        <f>Seguros!P8</f>
        <v>5493.1033193386011</v>
      </c>
      <c r="N25" s="433">
        <f>Seguros!Q8</f>
        <v>5493.1033193386011</v>
      </c>
      <c r="O25" s="433">
        <f>Seguros!R8</f>
        <v>5493.1033193386011</v>
      </c>
      <c r="P25" s="433">
        <f>Seguros!S8</f>
        <v>5493.1033193386011</v>
      </c>
      <c r="Q25" s="433">
        <f>Seguros!T8</f>
        <v>5493.1033193386011</v>
      </c>
      <c r="R25" s="433">
        <f>Seguros!U8</f>
        <v>5493.1033193386011</v>
      </c>
      <c r="S25" s="433">
        <f>Seguros!V8</f>
        <v>5493.1033193386011</v>
      </c>
      <c r="T25" s="433">
        <f>Seguros!W8</f>
        <v>5493.1033193386011</v>
      </c>
      <c r="U25" s="433">
        <f>Seguros!X8</f>
        <v>5493.1033193386011</v>
      </c>
      <c r="V25" s="433">
        <f>Seguros!Y8</f>
        <v>5493.1033193386011</v>
      </c>
      <c r="W25" s="433">
        <f>Seguros!Z8</f>
        <v>5493.1033193386011</v>
      </c>
      <c r="X25" s="433">
        <f>Seguros!AA8</f>
        <v>5493.1033193386011</v>
      </c>
      <c r="Y25" s="433">
        <f>Seguros!AB8</f>
        <v>5493.1033193386011</v>
      </c>
      <c r="Z25" s="433">
        <f>Seguros!AC8</f>
        <v>5493.1033193386011</v>
      </c>
      <c r="AA25" s="433">
        <f>Seguros!AD8</f>
        <v>5493.1033193386011</v>
      </c>
      <c r="AB25" s="433">
        <f>Seguros!AE8</f>
        <v>5493.1033193386011</v>
      </c>
      <c r="AC25" s="433">
        <f>Seguros!AF8</f>
        <v>5493.1033193386011</v>
      </c>
      <c r="AD25" s="433">
        <f>Seguros!AG8</f>
        <v>5493.1033193386011</v>
      </c>
      <c r="AE25" s="433">
        <f>Seguros!AH8</f>
        <v>5493.1033193386011</v>
      </c>
      <c r="AF25" s="433">
        <f>Seguros!AI8</f>
        <v>5493.1033193386011</v>
      </c>
      <c r="AG25" s="433">
        <f>Seguros!AJ8</f>
        <v>5493.1033193386011</v>
      </c>
      <c r="AH25" s="433">
        <f>Seguros!AK8</f>
        <v>5493.1033193386011</v>
      </c>
      <c r="AI25" s="433">
        <f>Seguros!AL8</f>
        <v>5493.1033193386011</v>
      </c>
      <c r="AJ25" s="433">
        <f>Seguros!AM8</f>
        <v>5493.1033193386011</v>
      </c>
      <c r="AK25" s="433">
        <f>Seguros!AN8</f>
        <v>5493.1033193386011</v>
      </c>
      <c r="AL25" s="433">
        <f>Seguros!AO8</f>
        <v>5493.1033193386011</v>
      </c>
      <c r="AM25" s="433">
        <f>Seguros!AP8</f>
        <v>5493.1033193386011</v>
      </c>
      <c r="AN25" s="433">
        <f>Seguros!AQ8</f>
        <v>5493.1033193386011</v>
      </c>
    </row>
    <row r="26" spans="1:40" ht="15" thickBot="1">
      <c r="C26" s="347" t="s">
        <v>144</v>
      </c>
      <c r="D26" s="436">
        <f t="shared" si="0"/>
        <v>5428344.2074801968</v>
      </c>
      <c r="E26" s="433">
        <f>-OPEX!D15</f>
        <v>0</v>
      </c>
      <c r="F26" s="433">
        <f>OPEX!E15</f>
        <v>0</v>
      </c>
      <c r="G26" s="433">
        <f>OPEX!F15</f>
        <v>0</v>
      </c>
      <c r="H26" s="433">
        <f>OPEX!G15</f>
        <v>164495.27901455149</v>
      </c>
      <c r="I26" s="433">
        <f>OPEX!H15</f>
        <v>164495.27901455149</v>
      </c>
      <c r="J26" s="433">
        <f>OPEX!I15</f>
        <v>164495.27901455149</v>
      </c>
      <c r="K26" s="433">
        <f>OPEX!J15</f>
        <v>164495.27901455149</v>
      </c>
      <c r="L26" s="433">
        <f>OPEX!K15</f>
        <v>164495.27901455149</v>
      </c>
      <c r="M26" s="433">
        <f>OPEX!L15</f>
        <v>164495.27901455149</v>
      </c>
      <c r="N26" s="433">
        <f>OPEX!M15</f>
        <v>164495.27901455149</v>
      </c>
      <c r="O26" s="433">
        <f>OPEX!N15</f>
        <v>164495.27901455149</v>
      </c>
      <c r="P26" s="433">
        <f>OPEX!O15</f>
        <v>164495.27901455149</v>
      </c>
      <c r="Q26" s="433">
        <f>OPEX!P15</f>
        <v>164495.27901455149</v>
      </c>
      <c r="R26" s="433">
        <f>OPEX!Q15</f>
        <v>164495.27901455149</v>
      </c>
      <c r="S26" s="433">
        <f>OPEX!R15</f>
        <v>164495.27901455149</v>
      </c>
      <c r="T26" s="433">
        <f>OPEX!S15</f>
        <v>164495.27901455149</v>
      </c>
      <c r="U26" s="433">
        <f>OPEX!T15</f>
        <v>164495.27901455149</v>
      </c>
      <c r="V26" s="433">
        <f>OPEX!U15</f>
        <v>164495.27901455149</v>
      </c>
      <c r="W26" s="433">
        <f>OPEX!V15</f>
        <v>164495.27901455149</v>
      </c>
      <c r="X26" s="433">
        <f>OPEX!W15</f>
        <v>164495.27901455149</v>
      </c>
      <c r="Y26" s="433">
        <f>OPEX!X15</f>
        <v>164495.27901455149</v>
      </c>
      <c r="Z26" s="433">
        <f>OPEX!Y15</f>
        <v>164495.27901455149</v>
      </c>
      <c r="AA26" s="433">
        <f>OPEX!Z15</f>
        <v>164495.27901455149</v>
      </c>
      <c r="AB26" s="433">
        <f>OPEX!AA15</f>
        <v>164495.27901455149</v>
      </c>
      <c r="AC26" s="433">
        <f>OPEX!AB15</f>
        <v>164495.27901455149</v>
      </c>
      <c r="AD26" s="433">
        <f>OPEX!AC15</f>
        <v>164495.27901455149</v>
      </c>
      <c r="AE26" s="433">
        <f>OPEX!AD15</f>
        <v>164495.27901455149</v>
      </c>
      <c r="AF26" s="433">
        <f>OPEX!AE15</f>
        <v>164495.27901455149</v>
      </c>
      <c r="AG26" s="433">
        <f>OPEX!AF15</f>
        <v>164495.27901455149</v>
      </c>
      <c r="AH26" s="433">
        <f>OPEX!AG15</f>
        <v>164495.27901455149</v>
      </c>
      <c r="AI26" s="433">
        <f>OPEX!AH15</f>
        <v>164495.27901455149</v>
      </c>
      <c r="AJ26" s="433">
        <f>OPEX!AI15</f>
        <v>164495.27901455149</v>
      </c>
      <c r="AK26" s="433">
        <f>OPEX!AJ15</f>
        <v>164495.27901455149</v>
      </c>
      <c r="AL26" s="433">
        <f>OPEX!AK15</f>
        <v>164495.27901455149</v>
      </c>
      <c r="AM26" s="433">
        <f>OPEX!AL15</f>
        <v>164495.27901455149</v>
      </c>
      <c r="AN26" s="433">
        <f>OPEX!AM15</f>
        <v>164495.27901455149</v>
      </c>
    </row>
    <row r="27" spans="1:40" ht="15" thickBot="1">
      <c r="C27" s="294" t="s">
        <v>145</v>
      </c>
      <c r="D27" s="433">
        <f t="shared" si="0"/>
        <v>45063736.024917379</v>
      </c>
      <c r="E27" s="433">
        <f t="shared" ref="E27:AN27" si="28">SUM(E21,E22)</f>
        <v>0</v>
      </c>
      <c r="F27" s="433">
        <f t="shared" si="28"/>
        <v>-1261.210522538601</v>
      </c>
      <c r="G27" s="433">
        <f t="shared" si="28"/>
        <v>-15823.9004409386</v>
      </c>
      <c r="H27" s="433">
        <f t="shared" si="28"/>
        <v>1455883.6641128501</v>
      </c>
      <c r="I27" s="433">
        <f t="shared" si="28"/>
        <v>1369230.1351243816</v>
      </c>
      <c r="J27" s="433">
        <f t="shared" si="28"/>
        <v>1366051.1445580712</v>
      </c>
      <c r="K27" s="433">
        <f t="shared" si="28"/>
        <v>1369230.1351243816</v>
      </c>
      <c r="L27" s="433">
        <f t="shared" si="28"/>
        <v>1349542.8949838551</v>
      </c>
      <c r="M27" s="433">
        <f t="shared" si="28"/>
        <v>1366051.1445580712</v>
      </c>
      <c r="N27" s="433">
        <f t="shared" si="28"/>
        <v>1369230.1351243816</v>
      </c>
      <c r="O27" s="433">
        <f t="shared" si="28"/>
        <v>1369230.1351243816</v>
      </c>
      <c r="P27" s="433">
        <f t="shared" si="28"/>
        <v>1366051.1445580712</v>
      </c>
      <c r="Q27" s="433">
        <f t="shared" si="28"/>
        <v>1349542.8949838551</v>
      </c>
      <c r="R27" s="433">
        <f t="shared" si="28"/>
        <v>1364938.1551243821</v>
      </c>
      <c r="S27" s="433">
        <f t="shared" si="28"/>
        <v>1366051.1445580712</v>
      </c>
      <c r="T27" s="433">
        <f t="shared" si="28"/>
        <v>1369230.1351243816</v>
      </c>
      <c r="U27" s="433">
        <f t="shared" si="28"/>
        <v>1369230.1351243816</v>
      </c>
      <c r="V27" s="433">
        <f t="shared" si="28"/>
        <v>1334134.61684772</v>
      </c>
      <c r="W27" s="433">
        <f t="shared" si="28"/>
        <v>1369230.1351243816</v>
      </c>
      <c r="X27" s="433">
        <f t="shared" si="28"/>
        <v>1369230.1351243816</v>
      </c>
      <c r="Y27" s="433">
        <f t="shared" si="28"/>
        <v>1366051.1445580712</v>
      </c>
      <c r="Z27" s="433">
        <f t="shared" si="28"/>
        <v>1369230.1351243816</v>
      </c>
      <c r="AA27" s="433">
        <f t="shared" si="28"/>
        <v>1349542.8949838551</v>
      </c>
      <c r="AB27" s="433">
        <f t="shared" si="28"/>
        <v>1361759.1645580716</v>
      </c>
      <c r="AC27" s="433">
        <f t="shared" si="28"/>
        <v>1369230.1351243816</v>
      </c>
      <c r="AD27" s="433">
        <f t="shared" si="28"/>
        <v>1369230.1351243816</v>
      </c>
      <c r="AE27" s="433">
        <f t="shared" si="28"/>
        <v>1366051.1445580712</v>
      </c>
      <c r="AF27" s="433">
        <f t="shared" si="28"/>
        <v>1349542.8949838551</v>
      </c>
      <c r="AG27" s="433">
        <f t="shared" si="28"/>
        <v>1369230.1351243816</v>
      </c>
      <c r="AH27" s="433">
        <f t="shared" si="28"/>
        <v>1366051.1445580712</v>
      </c>
      <c r="AI27" s="433">
        <f t="shared" si="28"/>
        <v>1369230.1351243816</v>
      </c>
      <c r="AJ27" s="433">
        <f t="shared" si="28"/>
        <v>1369230.1351243816</v>
      </c>
      <c r="AK27" s="433">
        <f t="shared" si="28"/>
        <v>1334134.61684772</v>
      </c>
      <c r="AL27" s="433">
        <f t="shared" si="28"/>
        <v>1364938.1551243821</v>
      </c>
      <c r="AM27" s="433">
        <f t="shared" si="28"/>
        <v>1369230.1351243816</v>
      </c>
      <c r="AN27" s="433">
        <f t="shared" si="28"/>
        <v>1366051.1445580712</v>
      </c>
    </row>
    <row r="28" spans="1:40" s="266" customFormat="1" ht="15" thickBot="1">
      <c r="A28" s="2"/>
      <c r="B28"/>
      <c r="C28" s="434" t="s">
        <v>146</v>
      </c>
      <c r="D28" s="435">
        <f t="shared" ref="D28:AN28" si="29">IFERROR(D27/D21,0)</f>
        <v>0.21687423725008428</v>
      </c>
      <c r="E28" s="435">
        <f t="shared" si="29"/>
        <v>0</v>
      </c>
      <c r="F28" s="435">
        <f t="shared" si="29"/>
        <v>0</v>
      </c>
      <c r="G28" s="435">
        <f t="shared" si="29"/>
        <v>0</v>
      </c>
      <c r="H28" s="435">
        <f t="shared" si="29"/>
        <v>0.23121786323168181</v>
      </c>
      <c r="I28" s="435">
        <f t="shared" si="29"/>
        <v>0.21745588189479578</v>
      </c>
      <c r="J28" s="435">
        <f t="shared" si="29"/>
        <v>0.21695100679790824</v>
      </c>
      <c r="K28" s="435">
        <f t="shared" si="29"/>
        <v>0.21745588189479578</v>
      </c>
      <c r="L28" s="435">
        <f t="shared" si="29"/>
        <v>0.21432922987552516</v>
      </c>
      <c r="M28" s="435">
        <f t="shared" si="29"/>
        <v>0.21695100679790824</v>
      </c>
      <c r="N28" s="435">
        <f t="shared" si="29"/>
        <v>0.21745588189479578</v>
      </c>
      <c r="O28" s="435">
        <f t="shared" si="29"/>
        <v>0.21745588189479578</v>
      </c>
      <c r="P28" s="435">
        <f t="shared" si="29"/>
        <v>0.21695100679790824</v>
      </c>
      <c r="Q28" s="435">
        <f t="shared" si="29"/>
        <v>0.21432922987552516</v>
      </c>
      <c r="R28" s="435">
        <f t="shared" si="29"/>
        <v>0.21677424608206228</v>
      </c>
      <c r="S28" s="435">
        <f t="shared" si="29"/>
        <v>0.21695100679790824</v>
      </c>
      <c r="T28" s="435">
        <f t="shared" si="29"/>
        <v>0.21745588189479578</v>
      </c>
      <c r="U28" s="435">
        <f t="shared" si="29"/>
        <v>0.21745588189479578</v>
      </c>
      <c r="V28" s="435">
        <f t="shared" si="29"/>
        <v>0.21188214620082269</v>
      </c>
      <c r="W28" s="435">
        <f t="shared" si="29"/>
        <v>0.21745588189479578</v>
      </c>
      <c r="X28" s="435">
        <f t="shared" si="29"/>
        <v>0.21745588189479578</v>
      </c>
      <c r="Y28" s="435">
        <f t="shared" si="29"/>
        <v>0.21695100679790824</v>
      </c>
      <c r="Z28" s="435">
        <f t="shared" si="29"/>
        <v>0.21745588189479578</v>
      </c>
      <c r="AA28" s="435">
        <f t="shared" si="29"/>
        <v>0.21432922987552516</v>
      </c>
      <c r="AB28" s="435">
        <f t="shared" si="29"/>
        <v>0.21626937098517474</v>
      </c>
      <c r="AC28" s="435">
        <f t="shared" si="29"/>
        <v>0.21745588189479578</v>
      </c>
      <c r="AD28" s="435">
        <f t="shared" si="29"/>
        <v>0.21745588189479578</v>
      </c>
      <c r="AE28" s="435">
        <f t="shared" si="29"/>
        <v>0.21695100679790824</v>
      </c>
      <c r="AF28" s="435">
        <f t="shared" si="29"/>
        <v>0.21432922987552516</v>
      </c>
      <c r="AG28" s="435">
        <f t="shared" si="29"/>
        <v>0.21745588189479578</v>
      </c>
      <c r="AH28" s="435">
        <f t="shared" si="29"/>
        <v>0.21695100679790824</v>
      </c>
      <c r="AI28" s="435">
        <f t="shared" si="29"/>
        <v>0.21745588189479578</v>
      </c>
      <c r="AJ28" s="435">
        <f t="shared" si="29"/>
        <v>0.21745588189479578</v>
      </c>
      <c r="AK28" s="435">
        <f t="shared" si="29"/>
        <v>0.21188214620082269</v>
      </c>
      <c r="AL28" s="435">
        <f t="shared" si="29"/>
        <v>0.21677424608206228</v>
      </c>
      <c r="AM28" s="435">
        <f t="shared" si="29"/>
        <v>0.21745588189479578</v>
      </c>
      <c r="AN28" s="435">
        <f t="shared" si="29"/>
        <v>0.21695100679790824</v>
      </c>
    </row>
    <row r="29" spans="1:40" s="360" customFormat="1" ht="15" thickBot="1">
      <c r="A29" s="2"/>
      <c r="B29"/>
      <c r="C29" s="294" t="s">
        <v>147</v>
      </c>
      <c r="D29" s="437">
        <f>SUM(E29:AN29)</f>
        <v>-7730103.8133446369</v>
      </c>
      <c r="E29" s="433">
        <f>-CAPEX!H36</f>
        <v>0</v>
      </c>
      <c r="F29" s="433">
        <f>-CAPEX!I36</f>
        <v>-27142.857142450001</v>
      </c>
      <c r="G29" s="433">
        <f>-CAPEX!J36</f>
        <v>-27142.857142450001</v>
      </c>
      <c r="H29" s="433">
        <f>-CAPEX!K36</f>
        <v>-163590.72089717261</v>
      </c>
      <c r="I29" s="433">
        <f>-CAPEX!L36</f>
        <v>-294362.35331573559</v>
      </c>
      <c r="J29" s="433">
        <f>-CAPEX!M36</f>
        <v>-313609.04343045875</v>
      </c>
      <c r="K29" s="433">
        <f>-CAPEX!N36</f>
        <v>-313609.04343045875</v>
      </c>
      <c r="L29" s="433">
        <f>-CAPEX!O36</f>
        <v>-312549.37990835629</v>
      </c>
      <c r="M29" s="433">
        <f>-CAPEX!P36</f>
        <v>-312549.37990835629</v>
      </c>
      <c r="N29" s="433">
        <f>-CAPEX!Q36</f>
        <v>-308611.93188025098</v>
      </c>
      <c r="O29" s="433">
        <f>-CAPEX!R36</f>
        <v>-308611.93188025098</v>
      </c>
      <c r="P29" s="433">
        <f>-CAPEX!S36</f>
        <v>-308611.93188025098</v>
      </c>
      <c r="Q29" s="433">
        <f>-CAPEX!T36</f>
        <v>-308611.93188025098</v>
      </c>
      <c r="R29" s="433">
        <f>-CAPEX!U36</f>
        <v>-308611.93188025098</v>
      </c>
      <c r="S29" s="433">
        <f>-CAPEX!V36</f>
        <v>-296139.70757159067</v>
      </c>
      <c r="T29" s="433">
        <f>-CAPEX!W36</f>
        <v>-296139.70757159067</v>
      </c>
      <c r="U29" s="433">
        <f>-CAPEX!X36</f>
        <v>-296139.70757159067</v>
      </c>
      <c r="V29" s="433">
        <f>-CAPEX!Y36</f>
        <v>-296139.70757159067</v>
      </c>
      <c r="W29" s="433">
        <f>-CAPEX!Z36</f>
        <v>-296139.70757159067</v>
      </c>
      <c r="X29" s="433">
        <f>-CAPEX!AA36</f>
        <v>-295324.41765717318</v>
      </c>
      <c r="Y29" s="433">
        <f>-CAPEX!AB36</f>
        <v>-295324.41765717318</v>
      </c>
      <c r="Z29" s="433">
        <f>-CAPEX!AC36</f>
        <v>-295324.41765717318</v>
      </c>
      <c r="AA29" s="433">
        <f>-CAPEX!AD36</f>
        <v>-295324.41765717318</v>
      </c>
      <c r="AB29" s="433">
        <f>-CAPEX!AE36</f>
        <v>-295324.41765717318</v>
      </c>
      <c r="AC29" s="433">
        <f>-CAPEX!AF36</f>
        <v>-295324.41765717318</v>
      </c>
      <c r="AD29" s="433">
        <f>-CAPEX!AG36</f>
        <v>-276077.72754245001</v>
      </c>
      <c r="AE29" s="433">
        <f>-CAPEX!AH36</f>
        <v>-276077.72754245001</v>
      </c>
      <c r="AF29" s="433">
        <f>-CAPEX!AI36</f>
        <v>-276077.72754245001</v>
      </c>
      <c r="AG29" s="433">
        <f>-CAPEX!AJ36</f>
        <v>-151610.29234245</v>
      </c>
      <c r="AH29" s="433">
        <f>-CAPEX!AK36</f>
        <v>-27142.857142450001</v>
      </c>
      <c r="AI29" s="433">
        <f>-CAPEX!AL36</f>
        <v>-27142.857142450001</v>
      </c>
      <c r="AJ29" s="433">
        <f>-CAPEX!AM36</f>
        <v>-27142.857142450001</v>
      </c>
      <c r="AK29" s="433">
        <f>-CAPEX!AN36</f>
        <v>-27142.857142450001</v>
      </c>
      <c r="AL29" s="433">
        <f>-CAPEX!AO36</f>
        <v>-27142.857142450001</v>
      </c>
      <c r="AM29" s="433">
        <f>-CAPEX!AP36</f>
        <v>-27142.857142450001</v>
      </c>
      <c r="AN29" s="433">
        <f>-CAPEX!AQ36</f>
        <v>-27142.857142450001</v>
      </c>
    </row>
    <row r="30" spans="1:40" ht="15" thickBot="1">
      <c r="C30" s="294" t="s">
        <v>148</v>
      </c>
      <c r="D30" s="433">
        <f t="shared" ref="D30:D35" si="30">SUM(E30:AN30)</f>
        <v>37333632.211572729</v>
      </c>
      <c r="E30" s="433">
        <f>E27+E29</f>
        <v>0</v>
      </c>
      <c r="F30" s="433">
        <f>F27+F29</f>
        <v>-28404.067664988601</v>
      </c>
      <c r="G30" s="433">
        <f t="shared" ref="G30:AN30" si="31">G27+G29</f>
        <v>-42966.7575833886</v>
      </c>
      <c r="H30" s="433">
        <f t="shared" si="31"/>
        <v>1292292.9432156775</v>
      </c>
      <c r="I30" s="433">
        <f t="shared" si="31"/>
        <v>1074867.7818086459</v>
      </c>
      <c r="J30" s="433">
        <f t="shared" si="31"/>
        <v>1052442.1011276124</v>
      </c>
      <c r="K30" s="433">
        <f t="shared" si="31"/>
        <v>1055621.0916939229</v>
      </c>
      <c r="L30" s="433">
        <f t="shared" si="31"/>
        <v>1036993.5150754987</v>
      </c>
      <c r="M30" s="433">
        <f t="shared" si="31"/>
        <v>1053501.7646497148</v>
      </c>
      <c r="N30" s="433">
        <f t="shared" si="31"/>
        <v>1060618.2032441306</v>
      </c>
      <c r="O30" s="433">
        <f t="shared" si="31"/>
        <v>1060618.2032441306</v>
      </c>
      <c r="P30" s="433">
        <f t="shared" si="31"/>
        <v>1057439.2126778201</v>
      </c>
      <c r="Q30" s="433">
        <f t="shared" si="31"/>
        <v>1040930.963103604</v>
      </c>
      <c r="R30" s="433">
        <f t="shared" si="31"/>
        <v>1056326.2232441311</v>
      </c>
      <c r="S30" s="433">
        <f t="shared" si="31"/>
        <v>1069911.4369864804</v>
      </c>
      <c r="T30" s="433">
        <f t="shared" si="31"/>
        <v>1073090.4275527908</v>
      </c>
      <c r="U30" s="433">
        <f t="shared" si="31"/>
        <v>1073090.4275527908</v>
      </c>
      <c r="V30" s="433">
        <f t="shared" si="31"/>
        <v>1037994.9092761293</v>
      </c>
      <c r="W30" s="433">
        <f t="shared" si="31"/>
        <v>1073090.4275527908</v>
      </c>
      <c r="X30" s="433">
        <f t="shared" si="31"/>
        <v>1073905.7174672084</v>
      </c>
      <c r="Y30" s="433">
        <f t="shared" si="31"/>
        <v>1070726.7269008979</v>
      </c>
      <c r="Z30" s="433">
        <f t="shared" si="31"/>
        <v>1073905.7174672084</v>
      </c>
      <c r="AA30" s="433">
        <f t="shared" si="31"/>
        <v>1054218.4773266818</v>
      </c>
      <c r="AB30" s="433">
        <f t="shared" si="31"/>
        <v>1066434.7469008984</v>
      </c>
      <c r="AC30" s="433">
        <f t="shared" si="31"/>
        <v>1073905.7174672084</v>
      </c>
      <c r="AD30" s="433">
        <f t="shared" si="31"/>
        <v>1093152.4075819317</v>
      </c>
      <c r="AE30" s="433">
        <f t="shared" si="31"/>
        <v>1089973.4170156212</v>
      </c>
      <c r="AF30" s="433">
        <f t="shared" si="31"/>
        <v>1073465.1674414051</v>
      </c>
      <c r="AG30" s="433">
        <f t="shared" si="31"/>
        <v>1217619.8427819316</v>
      </c>
      <c r="AH30" s="433">
        <f t="shared" si="31"/>
        <v>1338908.2874156211</v>
      </c>
      <c r="AI30" s="433">
        <f t="shared" si="31"/>
        <v>1342087.2779819316</v>
      </c>
      <c r="AJ30" s="433">
        <f t="shared" si="31"/>
        <v>1342087.2779819316</v>
      </c>
      <c r="AK30" s="433">
        <f t="shared" si="31"/>
        <v>1306991.7597052699</v>
      </c>
      <c r="AL30" s="433">
        <f t="shared" si="31"/>
        <v>1337795.2979819321</v>
      </c>
      <c r="AM30" s="433">
        <f t="shared" si="31"/>
        <v>1342087.2779819316</v>
      </c>
      <c r="AN30" s="433">
        <f t="shared" si="31"/>
        <v>1338908.2874156211</v>
      </c>
    </row>
    <row r="31" spans="1:40" ht="15" thickBot="1">
      <c r="C31" s="347" t="s">
        <v>149</v>
      </c>
      <c r="D31" s="433">
        <f ca="1">SUM(E31:AN31)</f>
        <v>-1473603.4369649803</v>
      </c>
      <c r="E31" s="433">
        <f>-SUM(E32:E33)</f>
        <v>0</v>
      </c>
      <c r="F31" s="433">
        <f t="shared" ref="F31:J31" si="32">-SUM(F32:F33)</f>
        <v>0</v>
      </c>
      <c r="G31" s="433">
        <f t="shared" si="32"/>
        <v>0</v>
      </c>
      <c r="H31" s="433">
        <f t="shared" si="32"/>
        <v>0</v>
      </c>
      <c r="I31" s="433">
        <f t="shared" si="32"/>
        <v>0</v>
      </c>
      <c r="J31" s="433">
        <f t="shared" si="32"/>
        <v>0</v>
      </c>
      <c r="K31" s="433">
        <f t="shared" ref="K31:AN31" ca="1" si="33">-SUM(K32:K33)</f>
        <v>-226708.22107153511</v>
      </c>
      <c r="L31" s="433">
        <f t="shared" ca="1" si="33"/>
        <v>-207815.86931557386</v>
      </c>
      <c r="M31" s="433">
        <f t="shared" ca="1" si="33"/>
        <v>-188923.51755961264</v>
      </c>
      <c r="N31" s="433">
        <f t="shared" ca="1" si="33"/>
        <v>-170031.16580365138</v>
      </c>
      <c r="O31" s="433">
        <f t="shared" ca="1" si="33"/>
        <v>-151138.81404769013</v>
      </c>
      <c r="P31" s="433">
        <f t="shared" ca="1" si="33"/>
        <v>-132246.46229172888</v>
      </c>
      <c r="Q31" s="433">
        <f t="shared" ca="1" si="33"/>
        <v>-113354.11053576761</v>
      </c>
      <c r="R31" s="433">
        <f t="shared" ca="1" si="33"/>
        <v>-94461.758779806347</v>
      </c>
      <c r="S31" s="433">
        <f t="shared" ca="1" si="33"/>
        <v>-75569.407023845095</v>
      </c>
      <c r="T31" s="433">
        <f t="shared" ca="1" si="33"/>
        <v>-56677.055267883828</v>
      </c>
      <c r="U31" s="433">
        <f t="shared" ca="1" si="33"/>
        <v>-37784.703511922569</v>
      </c>
      <c r="V31" s="433">
        <f t="shared" ca="1" si="33"/>
        <v>-18892.351755961314</v>
      </c>
      <c r="W31" s="433">
        <f t="shared" ca="1" si="33"/>
        <v>-5.3155235946178437E-11</v>
      </c>
      <c r="X31" s="433">
        <f t="shared" ca="1" si="33"/>
        <v>-5.7200349401682616E-11</v>
      </c>
      <c r="Y31" s="433">
        <f t="shared" ca="1" si="33"/>
        <v>-6.1553295991150666E-11</v>
      </c>
      <c r="Z31" s="433">
        <f t="shared" ca="1" si="33"/>
        <v>-6.6237501816077232E-11</v>
      </c>
      <c r="AA31" s="433">
        <f t="shared" ca="1" si="33"/>
        <v>-7.1278175704280713E-11</v>
      </c>
      <c r="AB31" s="433">
        <f t="shared" ca="1" si="33"/>
        <v>-7.6702444875376465E-11</v>
      </c>
      <c r="AC31" s="433">
        <f t="shared" ca="1" si="33"/>
        <v>-8.2539500930392619E-11</v>
      </c>
      <c r="AD31" s="433">
        <f t="shared" ca="1" si="33"/>
        <v>-8.8820756951195492E-11</v>
      </c>
      <c r="AE31" s="433">
        <f t="shared" ca="1" si="33"/>
        <v>-9.5580016555181465E-11</v>
      </c>
      <c r="AF31" s="433">
        <f t="shared" ca="1" si="33"/>
        <v>-1.0285365581503077E-10</v>
      </c>
      <c r="AG31" s="433">
        <f t="shared" ca="1" si="33"/>
        <v>-1.1068081902255462E-10</v>
      </c>
      <c r="AH31" s="433">
        <f t="shared" ca="1" si="33"/>
        <v>-1.1910362935017102E-10</v>
      </c>
      <c r="AI31" s="433">
        <f t="shared" ca="1" si="33"/>
        <v>-1.2816741554371902E-10</v>
      </c>
      <c r="AJ31" s="433">
        <f t="shared" ca="1" si="33"/>
        <v>-1.3792095586659604E-10</v>
      </c>
      <c r="AK31" s="433">
        <f t="shared" ca="1" si="33"/>
        <v>-1.48416740608044E-10</v>
      </c>
      <c r="AL31" s="433">
        <f t="shared" ca="1" si="33"/>
        <v>-1.5971125456831614E-10</v>
      </c>
      <c r="AM31" s="433">
        <f t="shared" ca="1" si="33"/>
        <v>-1.7186528104096501E-10</v>
      </c>
      <c r="AN31" s="433">
        <f t="shared" ca="1" si="33"/>
        <v>-1.8494422892818244E-10</v>
      </c>
    </row>
    <row r="32" spans="1:40" ht="15" thickBot="1">
      <c r="C32" s="347" t="s">
        <v>150</v>
      </c>
      <c r="D32" s="433">
        <f t="shared" si="30"/>
        <v>0</v>
      </c>
      <c r="E32" s="433">
        <v>0</v>
      </c>
      <c r="F32" s="433">
        <v>0</v>
      </c>
      <c r="G32" s="433">
        <v>0</v>
      </c>
      <c r="H32" s="433">
        <v>0</v>
      </c>
      <c r="I32" s="433">
        <v>0</v>
      </c>
      <c r="J32" s="433">
        <v>0</v>
      </c>
      <c r="K32" s="433">
        <v>0</v>
      </c>
      <c r="L32" s="433">
        <v>0</v>
      </c>
      <c r="M32" s="433">
        <v>0</v>
      </c>
      <c r="N32" s="433">
        <v>0</v>
      </c>
      <c r="O32" s="433">
        <v>0</v>
      </c>
      <c r="P32" s="433">
        <v>0</v>
      </c>
      <c r="Q32" s="433">
        <v>0</v>
      </c>
      <c r="R32" s="433">
        <v>0</v>
      </c>
      <c r="S32" s="433">
        <v>0</v>
      </c>
      <c r="T32" s="433">
        <v>0</v>
      </c>
      <c r="U32" s="433">
        <v>0</v>
      </c>
      <c r="V32" s="433">
        <v>0</v>
      </c>
      <c r="W32" s="433">
        <v>0</v>
      </c>
      <c r="X32" s="433">
        <v>0</v>
      </c>
      <c r="Y32" s="433">
        <v>0</v>
      </c>
      <c r="Z32" s="433">
        <v>0</v>
      </c>
      <c r="AA32" s="433">
        <v>0</v>
      </c>
      <c r="AB32" s="433">
        <v>0</v>
      </c>
      <c r="AC32" s="433">
        <v>0</v>
      </c>
      <c r="AD32" s="433">
        <v>0</v>
      </c>
      <c r="AE32" s="433">
        <v>0</v>
      </c>
      <c r="AF32" s="433">
        <v>0</v>
      </c>
      <c r="AG32" s="433">
        <v>0</v>
      </c>
      <c r="AH32" s="433">
        <v>0</v>
      </c>
      <c r="AI32" s="433">
        <v>0</v>
      </c>
      <c r="AJ32" s="433">
        <v>0</v>
      </c>
      <c r="AK32" s="433">
        <v>0</v>
      </c>
      <c r="AL32" s="433">
        <v>0</v>
      </c>
      <c r="AM32" s="433">
        <v>0</v>
      </c>
      <c r="AN32" s="433">
        <v>0</v>
      </c>
    </row>
    <row r="33" spans="1:83" ht="15" thickBot="1">
      <c r="C33" s="347" t="s">
        <v>151</v>
      </c>
      <c r="D33" s="433">
        <f ca="1">SUM(E33:AN33)</f>
        <v>1473603.4369649803</v>
      </c>
      <c r="E33" s="433">
        <v>0</v>
      </c>
      <c r="F33" s="433">
        <f t="array" ref="F33:AN33">TRANSPOSE(Financiamento!G11:G45)</f>
        <v>0</v>
      </c>
      <c r="G33" s="433">
        <v>0</v>
      </c>
      <c r="H33" s="433">
        <v>0</v>
      </c>
      <c r="I33" s="433">
        <v>0</v>
      </c>
      <c r="J33" s="433">
        <v>0</v>
      </c>
      <c r="K33" s="433">
        <f ca="1"/>
        <v>226708.22107153511</v>
      </c>
      <c r="L33" s="433">
        <f ca="1"/>
        <v>207815.86931557386</v>
      </c>
      <c r="M33" s="433">
        <f ca="1"/>
        <v>188923.51755961264</v>
      </c>
      <c r="N33" s="433">
        <f ca="1"/>
        <v>170031.16580365138</v>
      </c>
      <c r="O33" s="433">
        <f ca="1"/>
        <v>151138.81404769013</v>
      </c>
      <c r="P33" s="433">
        <f ca="1"/>
        <v>132246.46229172888</v>
      </c>
      <c r="Q33" s="433">
        <f ca="1"/>
        <v>113354.11053576761</v>
      </c>
      <c r="R33" s="433">
        <f ca="1"/>
        <v>94461.758779806347</v>
      </c>
      <c r="S33" s="433">
        <f ca="1"/>
        <v>75569.407023845095</v>
      </c>
      <c r="T33" s="433">
        <f ca="1"/>
        <v>56677.055267883828</v>
      </c>
      <c r="U33" s="433">
        <f ca="1"/>
        <v>37784.703511922569</v>
      </c>
      <c r="V33" s="433">
        <f ca="1"/>
        <v>18892.351755961314</v>
      </c>
      <c r="W33" s="433">
        <f ca="1"/>
        <v>5.3155235946178437E-11</v>
      </c>
      <c r="X33" s="433">
        <f ca="1"/>
        <v>5.7200349401682616E-11</v>
      </c>
      <c r="Y33" s="433">
        <f ca="1"/>
        <v>6.1553295991150666E-11</v>
      </c>
      <c r="Z33" s="433">
        <f ca="1"/>
        <v>6.6237501816077232E-11</v>
      </c>
      <c r="AA33" s="433">
        <f ca="1"/>
        <v>7.1278175704280713E-11</v>
      </c>
      <c r="AB33" s="433">
        <f ca="1"/>
        <v>7.6702444875376465E-11</v>
      </c>
      <c r="AC33" s="433">
        <f ca="1"/>
        <v>8.2539500930392619E-11</v>
      </c>
      <c r="AD33" s="433">
        <f ca="1"/>
        <v>8.8820756951195492E-11</v>
      </c>
      <c r="AE33" s="433">
        <f ca="1"/>
        <v>9.5580016555181465E-11</v>
      </c>
      <c r="AF33" s="433">
        <f ca="1"/>
        <v>1.0285365581503077E-10</v>
      </c>
      <c r="AG33" s="433">
        <f ca="1"/>
        <v>1.1068081902255462E-10</v>
      </c>
      <c r="AH33" s="433">
        <f ca="1"/>
        <v>1.1910362935017102E-10</v>
      </c>
      <c r="AI33" s="433">
        <f ca="1"/>
        <v>1.2816741554371902E-10</v>
      </c>
      <c r="AJ33" s="433">
        <f ca="1"/>
        <v>1.3792095586659604E-10</v>
      </c>
      <c r="AK33" s="433">
        <f ca="1"/>
        <v>1.48416740608044E-10</v>
      </c>
      <c r="AL33" s="433">
        <f ca="1"/>
        <v>1.5971125456831614E-10</v>
      </c>
      <c r="AM33" s="433">
        <f ca="1"/>
        <v>1.7186528104096501E-10</v>
      </c>
      <c r="AN33" s="433">
        <f ca="1"/>
        <v>1.8494422892818244E-10</v>
      </c>
    </row>
    <row r="34" spans="1:83" ht="15" thickBot="1">
      <c r="C34" s="294" t="s">
        <v>152</v>
      </c>
      <c r="D34" s="433">
        <f ca="1">SUM(E34:AN34)</f>
        <v>35860028.77460774</v>
      </c>
      <c r="E34" s="433">
        <f>SUM(E30:E31)</f>
        <v>0</v>
      </c>
      <c r="F34" s="433">
        <f t="shared" ref="F34:J34" si="34">SUM(F30:F31)</f>
        <v>-28404.067664988601</v>
      </c>
      <c r="G34" s="433">
        <f t="shared" si="34"/>
        <v>-42966.7575833886</v>
      </c>
      <c r="H34" s="433">
        <f t="shared" si="34"/>
        <v>1292292.9432156775</v>
      </c>
      <c r="I34" s="433">
        <f t="shared" si="34"/>
        <v>1074867.7818086459</v>
      </c>
      <c r="J34" s="433">
        <f t="shared" si="34"/>
        <v>1052442.1011276124</v>
      </c>
      <c r="K34" s="433">
        <f t="shared" ref="K34:AN34" ca="1" si="35">SUM(K30:K31)</f>
        <v>828912.87062238774</v>
      </c>
      <c r="L34" s="433">
        <f t="shared" ca="1" si="35"/>
        <v>829177.6457599249</v>
      </c>
      <c r="M34" s="433">
        <f t="shared" ca="1" si="35"/>
        <v>864578.24709010217</v>
      </c>
      <c r="N34" s="433">
        <f t="shared" ca="1" si="35"/>
        <v>890587.03744047927</v>
      </c>
      <c r="O34" s="433">
        <f t="shared" ca="1" si="35"/>
        <v>909479.38919644046</v>
      </c>
      <c r="P34" s="433">
        <f t="shared" ca="1" si="35"/>
        <v>925192.75038609118</v>
      </c>
      <c r="Q34" s="433">
        <f t="shared" ca="1" si="35"/>
        <v>927576.85256783641</v>
      </c>
      <c r="R34" s="433">
        <f t="shared" ca="1" si="35"/>
        <v>961864.46446432476</v>
      </c>
      <c r="S34" s="433">
        <f t="shared" ca="1" si="35"/>
        <v>994342.02996263525</v>
      </c>
      <c r="T34" s="433">
        <f t="shared" ca="1" si="35"/>
        <v>1016413.372284907</v>
      </c>
      <c r="U34" s="433">
        <f t="shared" ca="1" si="35"/>
        <v>1035305.7240408682</v>
      </c>
      <c r="V34" s="433">
        <f t="shared" ca="1" si="35"/>
        <v>1019102.557520168</v>
      </c>
      <c r="W34" s="433">
        <f t="shared" ca="1" si="35"/>
        <v>1073090.4275527908</v>
      </c>
      <c r="X34" s="433">
        <f t="shared" ca="1" si="35"/>
        <v>1073905.7174672084</v>
      </c>
      <c r="Y34" s="433">
        <f t="shared" ca="1" si="35"/>
        <v>1070726.7269008979</v>
      </c>
      <c r="Z34" s="433">
        <f t="shared" ca="1" si="35"/>
        <v>1073905.7174672084</v>
      </c>
      <c r="AA34" s="433">
        <f t="shared" ca="1" si="35"/>
        <v>1054218.4773266818</v>
      </c>
      <c r="AB34" s="433">
        <f t="shared" ca="1" si="35"/>
        <v>1066434.7469008984</v>
      </c>
      <c r="AC34" s="433">
        <f t="shared" ca="1" si="35"/>
        <v>1073905.7174672084</v>
      </c>
      <c r="AD34" s="433">
        <f t="shared" ca="1" si="35"/>
        <v>1093152.4075819317</v>
      </c>
      <c r="AE34" s="433">
        <f t="shared" ca="1" si="35"/>
        <v>1089973.4170156212</v>
      </c>
      <c r="AF34" s="433">
        <f t="shared" ca="1" si="35"/>
        <v>1073465.1674414051</v>
      </c>
      <c r="AG34" s="433">
        <f t="shared" ca="1" si="35"/>
        <v>1217619.8427819316</v>
      </c>
      <c r="AH34" s="433">
        <f t="shared" ca="1" si="35"/>
        <v>1338908.2874156209</v>
      </c>
      <c r="AI34" s="433">
        <f t="shared" ca="1" si="35"/>
        <v>1342087.2779819313</v>
      </c>
      <c r="AJ34" s="433">
        <f t="shared" ca="1" si="35"/>
        <v>1342087.2779819313</v>
      </c>
      <c r="AK34" s="433">
        <f t="shared" ca="1" si="35"/>
        <v>1306991.7597052697</v>
      </c>
      <c r="AL34" s="433">
        <f t="shared" ca="1" si="35"/>
        <v>1337795.2979819318</v>
      </c>
      <c r="AM34" s="433">
        <f t="shared" ca="1" si="35"/>
        <v>1342087.2779819313</v>
      </c>
      <c r="AN34" s="433">
        <f t="shared" ca="1" si="35"/>
        <v>1338908.2874156209</v>
      </c>
    </row>
    <row r="35" spans="1:83" ht="15" thickBot="1">
      <c r="C35" s="347" t="s">
        <v>153</v>
      </c>
      <c r="D35" s="433">
        <f t="shared" si="30"/>
        <v>-23955969.560426831</v>
      </c>
      <c r="E35" s="433">
        <f>-Tributação!F13</f>
        <v>0</v>
      </c>
      <c r="F35" s="433">
        <f>-Tributação!G13</f>
        <v>0</v>
      </c>
      <c r="G35" s="433">
        <f>-Tributação!H13</f>
        <v>0</v>
      </c>
      <c r="H35" s="433">
        <f>-Tributação!I13</f>
        <v>-725938.47152808565</v>
      </c>
      <c r="I35" s="433">
        <f>-Tributação!J13</f>
        <v>-725938.47152808565</v>
      </c>
      <c r="J35" s="433">
        <f>-Tributação!K13</f>
        <v>-725938.47152808565</v>
      </c>
      <c r="K35" s="433">
        <f>-Tributação!L13</f>
        <v>-725938.47152808565</v>
      </c>
      <c r="L35" s="433">
        <f>-Tributação!M13</f>
        <v>-725938.47152808565</v>
      </c>
      <c r="M35" s="433">
        <f>-Tributação!N13</f>
        <v>-725938.47152808565</v>
      </c>
      <c r="N35" s="433">
        <f>-Tributação!O13</f>
        <v>-725938.47152808565</v>
      </c>
      <c r="O35" s="433">
        <f>-Tributação!P13</f>
        <v>-725938.47152808565</v>
      </c>
      <c r="P35" s="433">
        <f>-Tributação!Q13</f>
        <v>-725938.47152808565</v>
      </c>
      <c r="Q35" s="433">
        <f>-Tributação!R13</f>
        <v>-725938.47152808565</v>
      </c>
      <c r="R35" s="433">
        <f>-Tributação!S13</f>
        <v>-725938.47152808565</v>
      </c>
      <c r="S35" s="433">
        <f>-Tributação!T13</f>
        <v>-725938.47152808565</v>
      </c>
      <c r="T35" s="433">
        <f>-Tributação!U13</f>
        <v>-725938.47152808565</v>
      </c>
      <c r="U35" s="433">
        <f>-Tributação!V13</f>
        <v>-725938.47152808565</v>
      </c>
      <c r="V35" s="433">
        <f>-Tributação!W13</f>
        <v>-725938.47152808565</v>
      </c>
      <c r="W35" s="433">
        <f>-Tributação!X13</f>
        <v>-725938.47152808565</v>
      </c>
      <c r="X35" s="433">
        <f>-Tributação!Y13</f>
        <v>-725938.47152808565</v>
      </c>
      <c r="Y35" s="433">
        <f>-Tributação!Z13</f>
        <v>-725938.47152808565</v>
      </c>
      <c r="Z35" s="433">
        <f>-Tributação!AA13</f>
        <v>-725938.47152808565</v>
      </c>
      <c r="AA35" s="433">
        <f>-Tributação!AB13</f>
        <v>-725938.47152808565</v>
      </c>
      <c r="AB35" s="433">
        <f>-Tributação!AC13</f>
        <v>-725938.47152808565</v>
      </c>
      <c r="AC35" s="433">
        <f>-Tributação!AD13</f>
        <v>-725938.47152808565</v>
      </c>
      <c r="AD35" s="433">
        <f>-Tributação!AE13</f>
        <v>-725938.47152808565</v>
      </c>
      <c r="AE35" s="433">
        <f>-Tributação!AF13</f>
        <v>-725938.47152808565</v>
      </c>
      <c r="AF35" s="433">
        <f>-Tributação!AG13</f>
        <v>-725938.47152808565</v>
      </c>
      <c r="AG35" s="433">
        <f>-Tributação!AH13</f>
        <v>-725938.47152808565</v>
      </c>
      <c r="AH35" s="433">
        <f>-Tributação!AI13</f>
        <v>-725938.47152808565</v>
      </c>
      <c r="AI35" s="433">
        <f>-Tributação!AJ13</f>
        <v>-725938.47152808565</v>
      </c>
      <c r="AJ35" s="433">
        <f>-Tributação!AK13</f>
        <v>-725938.47152808565</v>
      </c>
      <c r="AK35" s="433">
        <f>-Tributação!AL13</f>
        <v>-725938.47152808565</v>
      </c>
      <c r="AL35" s="433">
        <f>-Tributação!AM13</f>
        <v>-725938.47152808565</v>
      </c>
      <c r="AM35" s="433">
        <f>-Tributação!AN13</f>
        <v>-725938.47152808565</v>
      </c>
      <c r="AN35" s="433">
        <f>-Tributação!AO13</f>
        <v>-725938.47152808565</v>
      </c>
    </row>
    <row r="36" spans="1:83" ht="15" thickBot="1">
      <c r="C36" s="294" t="s">
        <v>154</v>
      </c>
      <c r="D36" s="433">
        <f ca="1">SUM(E36:AN36)</f>
        <v>11904059.21418092</v>
      </c>
      <c r="E36" s="433">
        <f>SUM(E34:E35)</f>
        <v>0</v>
      </c>
      <c r="F36" s="433">
        <f t="shared" ref="F36:J36" si="36">SUM(F34:F35)</f>
        <v>-28404.067664988601</v>
      </c>
      <c r="G36" s="433">
        <f>SUM(G34:G35)</f>
        <v>-42966.7575833886</v>
      </c>
      <c r="H36" s="433">
        <f t="shared" si="36"/>
        <v>566354.47168759187</v>
      </c>
      <c r="I36" s="433">
        <f t="shared" si="36"/>
        <v>348929.31028056028</v>
      </c>
      <c r="J36" s="433">
        <f t="shared" si="36"/>
        <v>326503.62959952676</v>
      </c>
      <c r="K36" s="433">
        <f t="shared" ref="K36:AN36" ca="1" si="37">SUM(K34:K35)</f>
        <v>102974.39909430209</v>
      </c>
      <c r="L36" s="433">
        <f t="shared" ca="1" si="37"/>
        <v>103239.17423183925</v>
      </c>
      <c r="M36" s="433">
        <f t="shared" ca="1" si="37"/>
        <v>138639.77556201653</v>
      </c>
      <c r="N36" s="433">
        <f t="shared" ca="1" si="37"/>
        <v>164648.56591239362</v>
      </c>
      <c r="O36" s="433">
        <f t="shared" ca="1" si="37"/>
        <v>183540.91766835481</v>
      </c>
      <c r="P36" s="433">
        <f t="shared" ca="1" si="37"/>
        <v>199254.27885800553</v>
      </c>
      <c r="Q36" s="433">
        <f t="shared" ca="1" si="37"/>
        <v>201638.38103975076</v>
      </c>
      <c r="R36" s="433">
        <f t="shared" ca="1" si="37"/>
        <v>235925.99293623911</v>
      </c>
      <c r="S36" s="433">
        <f t="shared" ca="1" si="37"/>
        <v>268403.5584345496</v>
      </c>
      <c r="T36" s="433">
        <f t="shared" ca="1" si="37"/>
        <v>290474.90075682139</v>
      </c>
      <c r="U36" s="433">
        <f t="shared" ca="1" si="37"/>
        <v>309367.25251278258</v>
      </c>
      <c r="V36" s="433">
        <f t="shared" ca="1" si="37"/>
        <v>293164.08599208237</v>
      </c>
      <c r="W36" s="433">
        <f t="shared" ca="1" si="37"/>
        <v>347151.9560247052</v>
      </c>
      <c r="X36" s="433">
        <f t="shared" ca="1" si="37"/>
        <v>347967.24593912275</v>
      </c>
      <c r="Y36" s="433">
        <f t="shared" ca="1" si="37"/>
        <v>344788.25537281227</v>
      </c>
      <c r="Z36" s="433">
        <f t="shared" ca="1" si="37"/>
        <v>347967.24593912275</v>
      </c>
      <c r="AA36" s="433">
        <f t="shared" ca="1" si="37"/>
        <v>328280.00579859619</v>
      </c>
      <c r="AB36" s="433">
        <f t="shared" ca="1" si="37"/>
        <v>340496.27537281276</v>
      </c>
      <c r="AC36" s="433">
        <f t="shared" ca="1" si="37"/>
        <v>347967.24593912275</v>
      </c>
      <c r="AD36" s="433">
        <f t="shared" ca="1" si="37"/>
        <v>367213.93605384603</v>
      </c>
      <c r="AE36" s="433">
        <f t="shared" ca="1" si="37"/>
        <v>364034.94548753556</v>
      </c>
      <c r="AF36" s="433">
        <f t="shared" ca="1" si="37"/>
        <v>347526.69591331948</v>
      </c>
      <c r="AG36" s="433">
        <f t="shared" ca="1" si="37"/>
        <v>491681.37125384598</v>
      </c>
      <c r="AH36" s="433">
        <f t="shared" ca="1" si="37"/>
        <v>612969.81588753522</v>
      </c>
      <c r="AI36" s="433">
        <f t="shared" ca="1" si="37"/>
        <v>616148.8064538457</v>
      </c>
      <c r="AJ36" s="433">
        <f t="shared" ca="1" si="37"/>
        <v>616148.8064538457</v>
      </c>
      <c r="AK36" s="433">
        <f t="shared" ca="1" si="37"/>
        <v>581053.28817718406</v>
      </c>
      <c r="AL36" s="433">
        <f t="shared" ca="1" si="37"/>
        <v>611856.82645384618</v>
      </c>
      <c r="AM36" s="433">
        <f t="shared" ca="1" si="37"/>
        <v>616148.8064538457</v>
      </c>
      <c r="AN36" s="433">
        <f t="shared" ca="1" si="37"/>
        <v>612969.81588753522</v>
      </c>
    </row>
    <row r="37" spans="1:83" s="266" customFormat="1" thickBot="1">
      <c r="A37" s="2"/>
      <c r="C37" s="434" t="s">
        <v>155</v>
      </c>
      <c r="D37" s="684">
        <f t="shared" ref="D37:AN37" ca="1" si="38">IFERROR(D36/D21,0)</f>
        <v>5.7289607786354377E-2</v>
      </c>
      <c r="E37" s="684">
        <f t="shared" si="38"/>
        <v>0</v>
      </c>
      <c r="F37" s="684">
        <f t="shared" si="38"/>
        <v>0</v>
      </c>
      <c r="G37" s="684">
        <f t="shared" si="38"/>
        <v>0</v>
      </c>
      <c r="H37" s="684">
        <f t="shared" si="38"/>
        <v>8.9946246395386842E-2</v>
      </c>
      <c r="I37" s="684">
        <f t="shared" si="38"/>
        <v>5.5415615636526569E-2</v>
      </c>
      <c r="J37" s="684">
        <f t="shared" si="38"/>
        <v>5.1854054986868334E-2</v>
      </c>
      <c r="K37" s="684">
        <f t="shared" ca="1" si="38"/>
        <v>1.6353999370313291E-2</v>
      </c>
      <c r="L37" s="684">
        <f t="shared" ca="1" si="38"/>
        <v>1.6396049942791913E-2</v>
      </c>
      <c r="M37" s="684">
        <f t="shared" ca="1" si="38"/>
        <v>2.2018237757961846E-2</v>
      </c>
      <c r="N37" s="684">
        <f t="shared" ca="1" si="38"/>
        <v>2.6148854151490413E-2</v>
      </c>
      <c r="O37" s="684">
        <f t="shared" ca="1" si="38"/>
        <v>2.9149265044277284E-2</v>
      </c>
      <c r="P37" s="684">
        <f t="shared" ca="1" si="38"/>
        <v>3.1644800840176603E-2</v>
      </c>
      <c r="Q37" s="684">
        <f t="shared" ca="1" si="38"/>
        <v>3.2023434810580433E-2</v>
      </c>
      <c r="R37" s="684">
        <f t="shared" ca="1" si="38"/>
        <v>3.7468861909904429E-2</v>
      </c>
      <c r="S37" s="684">
        <f t="shared" ca="1" si="38"/>
        <v>4.262682437805413E-2</v>
      </c>
      <c r="T37" s="684">
        <f t="shared" ca="1" si="38"/>
        <v>4.6132110367728574E-2</v>
      </c>
      <c r="U37" s="684">
        <f t="shared" ca="1" si="38"/>
        <v>4.9132521260515441E-2</v>
      </c>
      <c r="V37" s="684">
        <f t="shared" ca="1" si="38"/>
        <v>4.6559196459329252E-2</v>
      </c>
      <c r="W37" s="684">
        <f t="shared" ca="1" si="38"/>
        <v>5.5133343046089224E-2</v>
      </c>
      <c r="X37" s="684">
        <f t="shared" ca="1" si="38"/>
        <v>5.5262824265346421E-2</v>
      </c>
      <c r="Y37" s="684">
        <f t="shared" ca="1" si="38"/>
        <v>5.4757949168458865E-2</v>
      </c>
      <c r="Z37" s="684">
        <f t="shared" ca="1" si="38"/>
        <v>5.5262824265346421E-2</v>
      </c>
      <c r="AA37" s="684">
        <f t="shared" ca="1" si="38"/>
        <v>5.2136172246075807E-2</v>
      </c>
      <c r="AB37" s="684">
        <f t="shared" ca="1" si="38"/>
        <v>5.407631335572536E-2</v>
      </c>
      <c r="AC37" s="684">
        <f t="shared" ca="1" si="38"/>
        <v>5.5262824265346421E-2</v>
      </c>
      <c r="AD37" s="684">
        <f t="shared" ca="1" si="38"/>
        <v>5.8319509818117142E-2</v>
      </c>
      <c r="AE37" s="684">
        <f t="shared" ca="1" si="38"/>
        <v>5.7814634721229587E-2</v>
      </c>
      <c r="AF37" s="684">
        <f t="shared" ca="1" si="38"/>
        <v>5.5192857798846529E-2</v>
      </c>
      <c r="AG37" s="684">
        <f t="shared" ca="1" si="38"/>
        <v>7.8086950801396868E-2</v>
      </c>
      <c r="AH37" s="684">
        <f t="shared" ca="1" si="38"/>
        <v>9.7349516687789003E-2</v>
      </c>
      <c r="AI37" s="684">
        <f t="shared" ca="1" si="38"/>
        <v>9.7854391784676559E-2</v>
      </c>
      <c r="AJ37" s="684">
        <f t="shared" ca="1" si="38"/>
        <v>9.7854391784676559E-2</v>
      </c>
      <c r="AK37" s="684">
        <f t="shared" ca="1" si="38"/>
        <v>9.2280656090703447E-2</v>
      </c>
      <c r="AL37" s="684">
        <f t="shared" ca="1" si="38"/>
        <v>9.7172755971943039E-2</v>
      </c>
      <c r="AM37" s="684">
        <f t="shared" ca="1" si="38"/>
        <v>9.7854391784676559E-2</v>
      </c>
      <c r="AN37" s="684">
        <f t="shared" ca="1" si="38"/>
        <v>9.7349516687789003E-2</v>
      </c>
    </row>
    <row r="39" spans="1:83" ht="15" thickBot="1">
      <c r="I39" s="687">
        <f>I24*3.5%</f>
        <v>3618.7288377963696</v>
      </c>
    </row>
    <row r="40" spans="1:83" ht="15" thickBot="1">
      <c r="C40" s="779" t="s">
        <v>156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U40" s="801" t="s">
        <v>157</v>
      </c>
      <c r="AV40" s="801"/>
      <c r="AW40" s="801"/>
      <c r="AX40" s="801"/>
      <c r="AY40" s="774"/>
      <c r="AZ40" s="774"/>
      <c r="BA40" s="774"/>
      <c r="BB40" s="774"/>
      <c r="BC40" s="774"/>
      <c r="BD40" s="774"/>
      <c r="BE40" s="774"/>
      <c r="BF40" s="774"/>
      <c r="BG40" s="774"/>
      <c r="BH40" s="774"/>
      <c r="BI40" s="774"/>
      <c r="BJ40" s="774"/>
      <c r="BK40" s="774"/>
      <c r="BL40" s="774"/>
      <c r="BM40" s="774"/>
      <c r="BN40" s="774"/>
      <c r="BO40" s="774"/>
      <c r="BP40" s="774"/>
      <c r="BQ40" s="774"/>
      <c r="BR40" s="774"/>
      <c r="BS40" s="774"/>
      <c r="BT40" s="774"/>
      <c r="BU40" s="774"/>
      <c r="BV40" s="774"/>
      <c r="BW40" s="774"/>
      <c r="BX40" s="774"/>
      <c r="BY40" s="774"/>
      <c r="BZ40" s="774"/>
      <c r="CA40" s="774"/>
      <c r="CB40" s="774"/>
      <c r="CC40" s="774"/>
      <c r="CD40" s="774"/>
      <c r="CE40" s="774"/>
    </row>
    <row r="41" spans="1:83">
      <c r="C41" s="772" t="s">
        <v>158</v>
      </c>
      <c r="D41" s="438"/>
      <c r="E41" s="438"/>
      <c r="F41" s="439">
        <f>SUM(F42:F45)</f>
        <v>3138828.7371424497</v>
      </c>
      <c r="G41" s="438">
        <f t="shared" ref="G41:AN41" si="39">SUM(G42:G45)</f>
        <v>3138828.7371424497</v>
      </c>
      <c r="H41" s="438">
        <f t="shared" si="39"/>
        <v>688306.40237764607</v>
      </c>
      <c r="I41" s="438">
        <f t="shared" si="39"/>
        <v>819078.03479620907</v>
      </c>
      <c r="J41" s="438">
        <f t="shared" si="39"/>
        <v>838324.72491093224</v>
      </c>
      <c r="K41" s="438">
        <f t="shared" si="39"/>
        <v>838324.72491093224</v>
      </c>
      <c r="L41" s="438">
        <f t="shared" si="39"/>
        <v>837265.06138882972</v>
      </c>
      <c r="M41" s="438">
        <f t="shared" si="39"/>
        <v>837265.06138882972</v>
      </c>
      <c r="N41" s="438">
        <f t="shared" si="39"/>
        <v>833327.61336072441</v>
      </c>
      <c r="O41" s="438">
        <f t="shared" si="39"/>
        <v>833327.61336072441</v>
      </c>
      <c r="P41" s="438">
        <f t="shared" si="39"/>
        <v>833327.61336072441</v>
      </c>
      <c r="Q41" s="438">
        <f t="shared" si="39"/>
        <v>833327.61336072441</v>
      </c>
      <c r="R41" s="438">
        <f t="shared" si="39"/>
        <v>833327.61336072441</v>
      </c>
      <c r="S41" s="438">
        <f t="shared" si="39"/>
        <v>820855.38905206416</v>
      </c>
      <c r="T41" s="438">
        <f t="shared" si="39"/>
        <v>820855.38905206416</v>
      </c>
      <c r="U41" s="438">
        <f t="shared" si="39"/>
        <v>820855.38905206416</v>
      </c>
      <c r="V41" s="438">
        <f t="shared" si="39"/>
        <v>820855.38905206416</v>
      </c>
      <c r="W41" s="438">
        <f t="shared" si="39"/>
        <v>820855.38905206416</v>
      </c>
      <c r="X41" s="438">
        <f t="shared" si="39"/>
        <v>820040.09913764661</v>
      </c>
      <c r="Y41" s="438">
        <f t="shared" si="39"/>
        <v>820040.09913764661</v>
      </c>
      <c r="Z41" s="438">
        <f t="shared" si="39"/>
        <v>820040.09913764661</v>
      </c>
      <c r="AA41" s="438">
        <f t="shared" si="39"/>
        <v>820040.09913764661</v>
      </c>
      <c r="AB41" s="438">
        <f t="shared" si="39"/>
        <v>820040.09913764661</v>
      </c>
      <c r="AC41" s="438">
        <f t="shared" si="39"/>
        <v>820040.09913764661</v>
      </c>
      <c r="AD41" s="438">
        <f t="shared" si="39"/>
        <v>800793.40902292356</v>
      </c>
      <c r="AE41" s="438">
        <f t="shared" si="39"/>
        <v>800793.40902292356</v>
      </c>
      <c r="AF41" s="438">
        <f t="shared" si="39"/>
        <v>800793.40902292356</v>
      </c>
      <c r="AG41" s="438">
        <f t="shared" si="39"/>
        <v>676325.97382292349</v>
      </c>
      <c r="AH41" s="438">
        <f t="shared" si="39"/>
        <v>551858.53862292354</v>
      </c>
      <c r="AI41" s="438">
        <f t="shared" si="39"/>
        <v>551858.53862292354</v>
      </c>
      <c r="AJ41" s="438">
        <f t="shared" si="39"/>
        <v>551858.53862292354</v>
      </c>
      <c r="AK41" s="438">
        <f t="shared" si="39"/>
        <v>551858.53862292354</v>
      </c>
      <c r="AL41" s="438">
        <f t="shared" si="39"/>
        <v>551858.53862292354</v>
      </c>
      <c r="AM41" s="438">
        <f t="shared" si="39"/>
        <v>551858.53862292354</v>
      </c>
      <c r="AN41" s="438">
        <f t="shared" si="39"/>
        <v>551858.53862292354</v>
      </c>
      <c r="AU41" s="331"/>
      <c r="AV41" s="331"/>
      <c r="AW41" s="331">
        <v>2026</v>
      </c>
      <c r="AX41" s="331">
        <v>2027</v>
      </c>
      <c r="AY41" s="331">
        <v>2028</v>
      </c>
      <c r="AZ41" s="331">
        <v>2029</v>
      </c>
      <c r="BA41" s="331">
        <v>2030</v>
      </c>
      <c r="BB41" s="331">
        <v>2031</v>
      </c>
      <c r="BC41" s="331">
        <v>2032</v>
      </c>
      <c r="BD41" s="331">
        <v>2033</v>
      </c>
      <c r="BE41" s="331">
        <v>2034</v>
      </c>
      <c r="BF41" s="331">
        <v>2035</v>
      </c>
      <c r="BG41" s="331">
        <v>2036</v>
      </c>
      <c r="BH41" s="331">
        <v>2037</v>
      </c>
      <c r="BI41" s="331">
        <v>2038</v>
      </c>
      <c r="BJ41" s="331">
        <v>2039</v>
      </c>
      <c r="BK41" s="331">
        <v>2040</v>
      </c>
      <c r="BL41" s="331">
        <v>2041</v>
      </c>
      <c r="BM41" s="331">
        <v>2042</v>
      </c>
      <c r="BN41" s="331">
        <v>2043</v>
      </c>
      <c r="BO41" s="331">
        <v>2044</v>
      </c>
      <c r="BP41" s="331">
        <v>2045</v>
      </c>
      <c r="BQ41" s="331">
        <v>2046</v>
      </c>
      <c r="BR41" s="331">
        <v>2047</v>
      </c>
      <c r="BS41" s="331">
        <v>2048</v>
      </c>
      <c r="BT41" s="331">
        <v>2049</v>
      </c>
      <c r="BU41" s="331">
        <v>2050</v>
      </c>
      <c r="BV41" s="331">
        <v>2051</v>
      </c>
      <c r="BW41" s="331">
        <v>2052</v>
      </c>
      <c r="BX41" s="331">
        <v>2053</v>
      </c>
      <c r="BY41" s="331">
        <v>2054</v>
      </c>
      <c r="BZ41" s="331">
        <v>2055</v>
      </c>
      <c r="CA41" s="331">
        <v>2056</v>
      </c>
      <c r="CB41" s="331">
        <v>2057</v>
      </c>
      <c r="CC41" s="331">
        <v>2058</v>
      </c>
      <c r="CD41" s="331">
        <v>2059</v>
      </c>
      <c r="CE41" s="331">
        <v>2060</v>
      </c>
    </row>
    <row r="42" spans="1:83">
      <c r="C42" s="295" t="s">
        <v>159</v>
      </c>
      <c r="D42" s="438"/>
      <c r="E42" s="438"/>
      <c r="F42" s="439">
        <v>0</v>
      </c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8"/>
      <c r="U42" s="438"/>
      <c r="V42" s="438"/>
      <c r="W42" s="438"/>
      <c r="X42" s="438"/>
      <c r="Y42" s="438"/>
      <c r="Z42" s="438"/>
      <c r="AA42" s="438"/>
      <c r="AB42" s="438"/>
      <c r="AC42" s="438"/>
      <c r="AD42" s="438"/>
      <c r="AE42" s="438"/>
      <c r="AF42" s="438"/>
      <c r="AG42" s="438"/>
      <c r="AH42" s="438"/>
      <c r="AI42" s="438"/>
      <c r="AJ42" s="438"/>
      <c r="AK42" s="438"/>
      <c r="AL42" s="438"/>
      <c r="AM42" s="438"/>
      <c r="AN42" s="438"/>
      <c r="AU42" s="331" t="s">
        <v>160</v>
      </c>
      <c r="AV42" s="331" t="s">
        <v>161</v>
      </c>
      <c r="AW42" s="331" t="s">
        <v>84</v>
      </c>
      <c r="AX42" s="331" t="s">
        <v>86</v>
      </c>
      <c r="AY42" s="331" t="s">
        <v>92</v>
      </c>
      <c r="AZ42" s="331" t="s">
        <v>93</v>
      </c>
      <c r="BA42" s="331" t="s">
        <v>94</v>
      </c>
      <c r="BB42" s="331" t="s">
        <v>95</v>
      </c>
      <c r="BC42" s="331" t="s">
        <v>96</v>
      </c>
      <c r="BD42" s="331" t="s">
        <v>97</v>
      </c>
      <c r="BE42" s="331" t="s">
        <v>98</v>
      </c>
      <c r="BF42" s="331" t="s">
        <v>99</v>
      </c>
      <c r="BG42" s="331" t="s">
        <v>100</v>
      </c>
      <c r="BH42" s="331" t="s">
        <v>101</v>
      </c>
      <c r="BI42" s="331" t="s">
        <v>102</v>
      </c>
      <c r="BJ42" s="331" t="s">
        <v>103</v>
      </c>
      <c r="BK42" s="331" t="s">
        <v>104</v>
      </c>
      <c r="BL42" s="331" t="s">
        <v>105</v>
      </c>
      <c r="BM42" s="331" t="s">
        <v>106</v>
      </c>
      <c r="BN42" s="331" t="s">
        <v>107</v>
      </c>
      <c r="BO42" s="331" t="s">
        <v>108</v>
      </c>
      <c r="BP42" s="331" t="s">
        <v>109</v>
      </c>
      <c r="BQ42" s="331" t="s">
        <v>110</v>
      </c>
      <c r="BR42" s="331" t="s">
        <v>111</v>
      </c>
      <c r="BS42" s="331" t="s">
        <v>112</v>
      </c>
      <c r="BT42" s="331" t="s">
        <v>113</v>
      </c>
      <c r="BU42" s="331" t="s">
        <v>114</v>
      </c>
      <c r="BV42" s="331" t="s">
        <v>115</v>
      </c>
      <c r="BW42" s="331" t="s">
        <v>116</v>
      </c>
      <c r="BX42" s="331" t="s">
        <v>117</v>
      </c>
      <c r="BY42" s="331" t="s">
        <v>118</v>
      </c>
      <c r="BZ42" s="331" t="s">
        <v>119</v>
      </c>
      <c r="CA42" s="331" t="s">
        <v>120</v>
      </c>
      <c r="CB42" s="331" t="s">
        <v>121</v>
      </c>
      <c r="CC42" s="331" t="s">
        <v>122</v>
      </c>
      <c r="CD42" s="331" t="s">
        <v>123</v>
      </c>
      <c r="CE42" s="331" t="s">
        <v>124</v>
      </c>
    </row>
    <row r="43" spans="1:83">
      <c r="C43" s="295" t="s">
        <v>162</v>
      </c>
      <c r="D43" s="438"/>
      <c r="E43" s="438"/>
      <c r="F43" s="439">
        <f>F21*DFs!AW43/30/12</f>
        <v>0</v>
      </c>
      <c r="G43" s="438">
        <f>G21*DFs!AX43/30/12</f>
        <v>0</v>
      </c>
      <c r="H43" s="438">
        <f>H21*DFs!AY43/30/12</f>
        <v>524715.68148047349</v>
      </c>
      <c r="I43" s="438">
        <f>I21*DFs!AZ43/30/12</f>
        <v>524715.68148047349</v>
      </c>
      <c r="J43" s="438">
        <f>J21*DFs!BA43/30/12</f>
        <v>524715.68148047349</v>
      </c>
      <c r="K43" s="438">
        <f>K21*DFs!BB43/30/12</f>
        <v>524715.68148047349</v>
      </c>
      <c r="L43" s="438">
        <f>L21*DFs!BC43/30/12</f>
        <v>524715.68148047349</v>
      </c>
      <c r="M43" s="438">
        <f>M21*DFs!BD43/30/12</f>
        <v>524715.68148047349</v>
      </c>
      <c r="N43" s="438">
        <f>N21*DFs!BE43/30/12</f>
        <v>524715.68148047349</v>
      </c>
      <c r="O43" s="438">
        <f>O21*DFs!BF43/30/12</f>
        <v>524715.68148047349</v>
      </c>
      <c r="P43" s="438">
        <f>P21*DFs!BG43/30/12</f>
        <v>524715.68148047349</v>
      </c>
      <c r="Q43" s="438">
        <f>Q21*DFs!BH43/30/12</f>
        <v>524715.68148047349</v>
      </c>
      <c r="R43" s="438">
        <f>R21*DFs!BI43/30/12</f>
        <v>524715.68148047349</v>
      </c>
      <c r="S43" s="438">
        <f>S21*DFs!BJ43/30/12</f>
        <v>524715.68148047349</v>
      </c>
      <c r="T43" s="438">
        <f>T21*DFs!BK43/30/12</f>
        <v>524715.68148047349</v>
      </c>
      <c r="U43" s="438">
        <f>U21*DFs!BL43/30/12</f>
        <v>524715.68148047349</v>
      </c>
      <c r="V43" s="438">
        <f>V21*DFs!BM43/30/12</f>
        <v>524715.68148047349</v>
      </c>
      <c r="W43" s="438">
        <f>W21*DFs!BN43/30/12</f>
        <v>524715.68148047349</v>
      </c>
      <c r="X43" s="438">
        <f>X21*DFs!BO43/30/12</f>
        <v>524715.68148047349</v>
      </c>
      <c r="Y43" s="438">
        <f>Y21*DFs!BP43/30/12</f>
        <v>524715.68148047349</v>
      </c>
      <c r="Z43" s="438">
        <f>Z21*DFs!BQ43/30/12</f>
        <v>524715.68148047349</v>
      </c>
      <c r="AA43" s="438">
        <f>AA21*DFs!BR43/30/12</f>
        <v>524715.68148047349</v>
      </c>
      <c r="AB43" s="438">
        <f>AB21*DFs!BS43/30/12</f>
        <v>524715.68148047349</v>
      </c>
      <c r="AC43" s="438">
        <f>AC21*DFs!BT43/30/12</f>
        <v>524715.68148047349</v>
      </c>
      <c r="AD43" s="438">
        <f>AD21*DFs!BU43/30/12</f>
        <v>524715.68148047349</v>
      </c>
      <c r="AE43" s="438">
        <f>AE21*DFs!BV43/30/12</f>
        <v>524715.68148047349</v>
      </c>
      <c r="AF43" s="438">
        <f>AF21*DFs!BW43/30/12</f>
        <v>524715.68148047349</v>
      </c>
      <c r="AG43" s="438">
        <f>AG21*DFs!BX43/30/12</f>
        <v>524715.68148047349</v>
      </c>
      <c r="AH43" s="438">
        <f>AH21*DFs!BY43/30/12</f>
        <v>524715.68148047349</v>
      </c>
      <c r="AI43" s="438">
        <f>AI21*DFs!BZ43/30/12</f>
        <v>524715.68148047349</v>
      </c>
      <c r="AJ43" s="438">
        <f>AJ21*DFs!CA43/30/12</f>
        <v>524715.68148047349</v>
      </c>
      <c r="AK43" s="438">
        <f>AK21*DFs!CB43/30/12</f>
        <v>524715.68148047349</v>
      </c>
      <c r="AL43" s="438">
        <f>AL21*DFs!CC43/30/12</f>
        <v>524715.68148047349</v>
      </c>
      <c r="AM43" s="438">
        <f>AM21*DFs!CD43/30/12</f>
        <v>524715.68148047349</v>
      </c>
      <c r="AN43" s="438">
        <f>AN21*DFs!CE43/30/12</f>
        <v>524715.68148047349</v>
      </c>
      <c r="AU43" s="331" t="s">
        <v>163</v>
      </c>
      <c r="AV43" s="331" t="s">
        <v>164</v>
      </c>
      <c r="AW43" s="331">
        <v>30</v>
      </c>
      <c r="AX43" s="331">
        <f>AW43</f>
        <v>30</v>
      </c>
      <c r="AY43" s="331">
        <f t="shared" ref="AY43:CE43" si="40">AX43</f>
        <v>30</v>
      </c>
      <c r="AZ43" s="331">
        <f t="shared" si="40"/>
        <v>30</v>
      </c>
      <c r="BA43" s="331">
        <f t="shared" si="40"/>
        <v>30</v>
      </c>
      <c r="BB43" s="331">
        <f t="shared" si="40"/>
        <v>30</v>
      </c>
      <c r="BC43" s="331">
        <f t="shared" si="40"/>
        <v>30</v>
      </c>
      <c r="BD43" s="331">
        <f t="shared" si="40"/>
        <v>30</v>
      </c>
      <c r="BE43" s="331">
        <f t="shared" si="40"/>
        <v>30</v>
      </c>
      <c r="BF43" s="331">
        <f t="shared" si="40"/>
        <v>30</v>
      </c>
      <c r="BG43" s="331">
        <f t="shared" si="40"/>
        <v>30</v>
      </c>
      <c r="BH43" s="331">
        <f t="shared" si="40"/>
        <v>30</v>
      </c>
      <c r="BI43" s="331">
        <f t="shared" si="40"/>
        <v>30</v>
      </c>
      <c r="BJ43" s="331">
        <f t="shared" si="40"/>
        <v>30</v>
      </c>
      <c r="BK43" s="331">
        <f t="shared" si="40"/>
        <v>30</v>
      </c>
      <c r="BL43" s="331">
        <f t="shared" si="40"/>
        <v>30</v>
      </c>
      <c r="BM43" s="331">
        <f t="shared" si="40"/>
        <v>30</v>
      </c>
      <c r="BN43" s="331">
        <f t="shared" si="40"/>
        <v>30</v>
      </c>
      <c r="BO43" s="331">
        <f t="shared" si="40"/>
        <v>30</v>
      </c>
      <c r="BP43" s="331">
        <f t="shared" si="40"/>
        <v>30</v>
      </c>
      <c r="BQ43" s="331">
        <f t="shared" si="40"/>
        <v>30</v>
      </c>
      <c r="BR43" s="331">
        <f t="shared" si="40"/>
        <v>30</v>
      </c>
      <c r="BS43" s="331">
        <f t="shared" si="40"/>
        <v>30</v>
      </c>
      <c r="BT43" s="331">
        <f t="shared" si="40"/>
        <v>30</v>
      </c>
      <c r="BU43" s="331">
        <f t="shared" si="40"/>
        <v>30</v>
      </c>
      <c r="BV43" s="331">
        <f t="shared" si="40"/>
        <v>30</v>
      </c>
      <c r="BW43" s="331">
        <f t="shared" si="40"/>
        <v>30</v>
      </c>
      <c r="BX43" s="331">
        <f t="shared" si="40"/>
        <v>30</v>
      </c>
      <c r="BY43" s="331">
        <f t="shared" si="40"/>
        <v>30</v>
      </c>
      <c r="BZ43" s="331">
        <f t="shared" si="40"/>
        <v>30</v>
      </c>
      <c r="CA43" s="331">
        <f t="shared" si="40"/>
        <v>30</v>
      </c>
      <c r="CB43" s="331">
        <f t="shared" si="40"/>
        <v>30</v>
      </c>
      <c r="CC43" s="331">
        <f t="shared" si="40"/>
        <v>30</v>
      </c>
      <c r="CD43" s="331">
        <f t="shared" si="40"/>
        <v>30</v>
      </c>
      <c r="CE43" s="331">
        <f t="shared" si="40"/>
        <v>30</v>
      </c>
    </row>
    <row r="44" spans="1:83">
      <c r="C44" s="295" t="s">
        <v>165</v>
      </c>
      <c r="D44" s="438"/>
      <c r="E44" s="438"/>
      <c r="F44" s="439">
        <v>0</v>
      </c>
      <c r="G44" s="438"/>
      <c r="H44" s="438"/>
      <c r="I44" s="438"/>
      <c r="J44" s="438"/>
      <c r="K44" s="438"/>
      <c r="L44" s="438"/>
      <c r="M44" s="438"/>
      <c r="N44" s="438"/>
      <c r="O44" s="438"/>
      <c r="P44" s="438"/>
      <c r="Q44" s="438"/>
      <c r="R44" s="438"/>
      <c r="S44" s="438"/>
      <c r="T44" s="438"/>
      <c r="U44" s="438"/>
      <c r="V44" s="438"/>
      <c r="W44" s="438"/>
      <c r="X44" s="438"/>
      <c r="Y44" s="438"/>
      <c r="Z44" s="438"/>
      <c r="AA44" s="438"/>
      <c r="AB44" s="438"/>
      <c r="AC44" s="438"/>
      <c r="AD44" s="438"/>
      <c r="AE44" s="438"/>
      <c r="AF44" s="438"/>
      <c r="AG44" s="438"/>
      <c r="AH44" s="438"/>
      <c r="AI44" s="438"/>
      <c r="AJ44" s="438"/>
      <c r="AK44" s="438"/>
      <c r="AL44" s="438"/>
      <c r="AM44" s="438"/>
      <c r="AN44" s="438"/>
      <c r="AU44" s="331" t="s">
        <v>166</v>
      </c>
      <c r="AV44" s="331" t="s">
        <v>164</v>
      </c>
      <c r="AW44" s="331">
        <v>10</v>
      </c>
      <c r="AX44" s="331">
        <f>AW44</f>
        <v>10</v>
      </c>
      <c r="AY44" s="331">
        <v>10</v>
      </c>
      <c r="AZ44" s="331">
        <v>10</v>
      </c>
      <c r="BA44" s="331">
        <v>10</v>
      </c>
      <c r="BB44" s="331">
        <v>10</v>
      </c>
      <c r="BC44" s="331">
        <v>10</v>
      </c>
      <c r="BD44" s="331">
        <v>10</v>
      </c>
      <c r="BE44" s="331">
        <v>10</v>
      </c>
      <c r="BF44" s="331">
        <v>10</v>
      </c>
      <c r="BG44" s="331">
        <v>10</v>
      </c>
      <c r="BH44" s="331">
        <v>10</v>
      </c>
      <c r="BI44" s="331">
        <v>10</v>
      </c>
      <c r="BJ44" s="331">
        <v>10</v>
      </c>
      <c r="BK44" s="331">
        <v>10</v>
      </c>
      <c r="BL44" s="331">
        <v>10</v>
      </c>
      <c r="BM44" s="331">
        <v>10</v>
      </c>
      <c r="BN44" s="331">
        <v>10</v>
      </c>
      <c r="BO44" s="331">
        <v>10</v>
      </c>
      <c r="BP44" s="331">
        <v>10</v>
      </c>
      <c r="BQ44" s="331">
        <v>10</v>
      </c>
      <c r="BR44" s="331">
        <v>10</v>
      </c>
      <c r="BS44" s="331">
        <v>10</v>
      </c>
      <c r="BT44" s="331">
        <v>10</v>
      </c>
      <c r="BU44" s="331">
        <v>10</v>
      </c>
      <c r="BV44" s="331">
        <v>10</v>
      </c>
      <c r="BW44" s="331">
        <v>10</v>
      </c>
      <c r="BX44" s="331">
        <v>10</v>
      </c>
      <c r="BY44" s="331">
        <v>10</v>
      </c>
      <c r="BZ44" s="331">
        <v>10</v>
      </c>
      <c r="CA44" s="331">
        <v>10</v>
      </c>
      <c r="CB44" s="331">
        <v>10</v>
      </c>
      <c r="CC44" s="331">
        <v>10</v>
      </c>
      <c r="CD44" s="331">
        <v>10</v>
      </c>
      <c r="CE44" s="331">
        <v>10</v>
      </c>
    </row>
    <row r="45" spans="1:83">
      <c r="C45" s="295" t="s">
        <v>167</v>
      </c>
      <c r="D45" s="438"/>
      <c r="E45" s="438"/>
      <c r="F45" s="439">
        <f>F60</f>
        <v>3138828.7371424497</v>
      </c>
      <c r="G45" s="438">
        <f t="shared" ref="G45:AN45" si="41">G60</f>
        <v>3138828.7371424497</v>
      </c>
      <c r="H45" s="438">
        <f t="shared" si="41"/>
        <v>163590.72089717261</v>
      </c>
      <c r="I45" s="438">
        <f t="shared" si="41"/>
        <v>294362.35331573559</v>
      </c>
      <c r="J45" s="438">
        <f t="shared" si="41"/>
        <v>313609.04343045875</v>
      </c>
      <c r="K45" s="438">
        <f t="shared" si="41"/>
        <v>313609.04343045875</v>
      </c>
      <c r="L45" s="438">
        <f t="shared" si="41"/>
        <v>312549.37990835629</v>
      </c>
      <c r="M45" s="438">
        <f t="shared" si="41"/>
        <v>312549.37990835629</v>
      </c>
      <c r="N45" s="438">
        <f t="shared" si="41"/>
        <v>308611.93188025098</v>
      </c>
      <c r="O45" s="438">
        <f t="shared" si="41"/>
        <v>308611.93188025098</v>
      </c>
      <c r="P45" s="438">
        <f t="shared" si="41"/>
        <v>308611.93188025098</v>
      </c>
      <c r="Q45" s="438">
        <f t="shared" si="41"/>
        <v>308611.93188025098</v>
      </c>
      <c r="R45" s="438">
        <f t="shared" si="41"/>
        <v>308611.93188025098</v>
      </c>
      <c r="S45" s="438">
        <f t="shared" si="41"/>
        <v>296139.70757159067</v>
      </c>
      <c r="T45" s="438">
        <f t="shared" si="41"/>
        <v>296139.70757159067</v>
      </c>
      <c r="U45" s="438">
        <f t="shared" si="41"/>
        <v>296139.70757159067</v>
      </c>
      <c r="V45" s="438">
        <f t="shared" si="41"/>
        <v>296139.70757159067</v>
      </c>
      <c r="W45" s="438">
        <f t="shared" si="41"/>
        <v>296139.70757159067</v>
      </c>
      <c r="X45" s="438">
        <f t="shared" si="41"/>
        <v>295324.41765717318</v>
      </c>
      <c r="Y45" s="438">
        <f t="shared" si="41"/>
        <v>295324.41765717318</v>
      </c>
      <c r="Z45" s="438">
        <f t="shared" si="41"/>
        <v>295324.41765717318</v>
      </c>
      <c r="AA45" s="438">
        <f t="shared" si="41"/>
        <v>295324.41765717318</v>
      </c>
      <c r="AB45" s="438">
        <f t="shared" si="41"/>
        <v>295324.41765717318</v>
      </c>
      <c r="AC45" s="438">
        <f t="shared" si="41"/>
        <v>295324.41765717318</v>
      </c>
      <c r="AD45" s="438">
        <f t="shared" si="41"/>
        <v>276077.72754245001</v>
      </c>
      <c r="AE45" s="438">
        <f t="shared" si="41"/>
        <v>276077.72754245001</v>
      </c>
      <c r="AF45" s="438">
        <f t="shared" si="41"/>
        <v>276077.72754245001</v>
      </c>
      <c r="AG45" s="438">
        <f t="shared" si="41"/>
        <v>151610.29234245</v>
      </c>
      <c r="AH45" s="438">
        <f t="shared" si="41"/>
        <v>27142.857142450001</v>
      </c>
      <c r="AI45" s="438">
        <f t="shared" si="41"/>
        <v>27142.857142450001</v>
      </c>
      <c r="AJ45" s="438">
        <f t="shared" si="41"/>
        <v>27142.857142450001</v>
      </c>
      <c r="AK45" s="438">
        <f t="shared" si="41"/>
        <v>27142.857142450001</v>
      </c>
      <c r="AL45" s="438">
        <f t="shared" si="41"/>
        <v>27142.857142450001</v>
      </c>
      <c r="AM45" s="438">
        <f t="shared" si="41"/>
        <v>27142.857142450001</v>
      </c>
      <c r="AN45" s="438">
        <f t="shared" si="41"/>
        <v>27142.857142450001</v>
      </c>
      <c r="AU45" s="331" t="s">
        <v>168</v>
      </c>
      <c r="AV45" s="331" t="s">
        <v>164</v>
      </c>
      <c r="AW45" s="331">
        <v>20</v>
      </c>
      <c r="AX45" s="331">
        <f>AW45</f>
        <v>20</v>
      </c>
      <c r="AY45" s="331">
        <v>20</v>
      </c>
      <c r="AZ45" s="331">
        <v>20</v>
      </c>
      <c r="BA45" s="331">
        <v>20</v>
      </c>
      <c r="BB45" s="331">
        <v>20</v>
      </c>
      <c r="BC45" s="331">
        <v>20</v>
      </c>
      <c r="BD45" s="331">
        <v>20</v>
      </c>
      <c r="BE45" s="331">
        <v>20</v>
      </c>
      <c r="BF45" s="331">
        <v>20</v>
      </c>
      <c r="BG45" s="331">
        <v>20</v>
      </c>
      <c r="BH45" s="331">
        <v>20</v>
      </c>
      <c r="BI45" s="331">
        <v>20</v>
      </c>
      <c r="BJ45" s="331">
        <v>20</v>
      </c>
      <c r="BK45" s="331">
        <v>20</v>
      </c>
      <c r="BL45" s="331">
        <v>20</v>
      </c>
      <c r="BM45" s="331">
        <v>20</v>
      </c>
      <c r="BN45" s="331">
        <v>20</v>
      </c>
      <c r="BO45" s="331">
        <v>20</v>
      </c>
      <c r="BP45" s="331">
        <v>20</v>
      </c>
      <c r="BQ45" s="331">
        <v>20</v>
      </c>
      <c r="BR45" s="331">
        <v>20</v>
      </c>
      <c r="BS45" s="331">
        <v>20</v>
      </c>
      <c r="BT45" s="331">
        <v>20</v>
      </c>
      <c r="BU45" s="331">
        <v>20</v>
      </c>
      <c r="BV45" s="331">
        <v>20</v>
      </c>
      <c r="BW45" s="331">
        <v>20</v>
      </c>
      <c r="BX45" s="331">
        <v>20</v>
      </c>
      <c r="BY45" s="331">
        <v>20</v>
      </c>
      <c r="BZ45" s="331">
        <v>20</v>
      </c>
      <c r="CA45" s="331">
        <v>20</v>
      </c>
      <c r="CB45" s="331">
        <v>20</v>
      </c>
      <c r="CC45" s="331">
        <v>20</v>
      </c>
      <c r="CD45" s="331">
        <v>20</v>
      </c>
      <c r="CE45" s="331">
        <v>20</v>
      </c>
    </row>
    <row r="46" spans="1:83" ht="15" thickBot="1">
      <c r="AU46" s="331"/>
      <c r="AV46" s="331"/>
      <c r="AW46" s="331">
        <v>2026</v>
      </c>
      <c r="AX46" s="331">
        <v>2027</v>
      </c>
      <c r="AY46" s="331">
        <v>2028</v>
      </c>
      <c r="AZ46" s="331">
        <v>2029</v>
      </c>
      <c r="BA46" s="331">
        <v>2030</v>
      </c>
      <c r="BB46" s="331">
        <v>2031</v>
      </c>
      <c r="BC46" s="331">
        <v>2032</v>
      </c>
      <c r="BD46" s="331">
        <v>2033</v>
      </c>
      <c r="BE46" s="331">
        <v>2034</v>
      </c>
      <c r="BF46" s="331">
        <v>2035</v>
      </c>
      <c r="BG46" s="331">
        <v>2036</v>
      </c>
      <c r="BH46" s="331">
        <v>2037</v>
      </c>
      <c r="BI46" s="331">
        <v>2038</v>
      </c>
      <c r="BJ46" s="331">
        <v>2039</v>
      </c>
      <c r="BK46" s="331">
        <v>2040</v>
      </c>
      <c r="BL46" s="331">
        <v>2041</v>
      </c>
      <c r="BM46" s="331">
        <v>2042</v>
      </c>
      <c r="BN46" s="331">
        <v>2043</v>
      </c>
      <c r="BO46" s="331">
        <v>2044</v>
      </c>
      <c r="BP46" s="331">
        <v>2045</v>
      </c>
      <c r="BQ46" s="331">
        <v>2046</v>
      </c>
      <c r="BR46" s="331">
        <v>2047</v>
      </c>
      <c r="BS46" s="331">
        <v>2048</v>
      </c>
      <c r="BT46" s="331">
        <v>2049</v>
      </c>
      <c r="BU46" s="331">
        <v>2050</v>
      </c>
      <c r="BV46" s="331">
        <v>2051</v>
      </c>
      <c r="BW46" s="331">
        <v>2052</v>
      </c>
      <c r="BX46" s="331">
        <v>2053</v>
      </c>
      <c r="BY46" s="331">
        <v>2054</v>
      </c>
      <c r="BZ46" s="331">
        <v>2055</v>
      </c>
      <c r="CA46" s="331">
        <v>2056</v>
      </c>
      <c r="CB46" s="331">
        <v>2057</v>
      </c>
      <c r="CC46" s="331">
        <v>2058</v>
      </c>
      <c r="CD46" s="331">
        <v>2059</v>
      </c>
      <c r="CE46" s="331">
        <v>2060</v>
      </c>
    </row>
    <row r="47" spans="1:83" ht="15" thickBot="1">
      <c r="C47" s="779" t="s">
        <v>169</v>
      </c>
      <c r="D47" s="779"/>
      <c r="E47" s="779"/>
      <c r="F47" s="440">
        <f>SUM(F48:F50)</f>
        <v>3138688.6026399457</v>
      </c>
      <c r="G47" s="440">
        <f t="shared" ref="G47:AN47" si="42">SUM(G48:G50)</f>
        <v>3137070.525982345</v>
      </c>
      <c r="H47" s="440">
        <f t="shared" si="42"/>
        <v>150450.34530510916</v>
      </c>
      <c r="I47" s="440">
        <f t="shared" si="42"/>
        <v>271593.80783606454</v>
      </c>
      <c r="J47" s="440">
        <f t="shared" si="42"/>
        <v>290487.27677675325</v>
      </c>
      <c r="K47" s="440">
        <f t="shared" si="42"/>
        <v>290840.4979507876</v>
      </c>
      <c r="L47" s="440">
        <f t="shared" si="42"/>
        <v>287593.36330195988</v>
      </c>
      <c r="M47" s="440">
        <f t="shared" si="42"/>
        <v>289427.61325465073</v>
      </c>
      <c r="N47" s="440">
        <f t="shared" si="42"/>
        <v>285843.38640057988</v>
      </c>
      <c r="O47" s="440">
        <f t="shared" si="42"/>
        <v>285843.38640057988</v>
      </c>
      <c r="P47" s="440">
        <f t="shared" si="42"/>
        <v>285490.16522654542</v>
      </c>
      <c r="Q47" s="440">
        <f t="shared" si="42"/>
        <v>283655.91527385457</v>
      </c>
      <c r="R47" s="440">
        <f t="shared" si="42"/>
        <v>285366.49973391322</v>
      </c>
      <c r="S47" s="440">
        <f t="shared" si="42"/>
        <v>273017.94091788516</v>
      </c>
      <c r="T47" s="440">
        <f t="shared" si="42"/>
        <v>273371.16209191963</v>
      </c>
      <c r="U47" s="440">
        <f t="shared" si="42"/>
        <v>273371.16209191963</v>
      </c>
      <c r="V47" s="440">
        <f t="shared" si="42"/>
        <v>269471.66006117943</v>
      </c>
      <c r="W47" s="440">
        <f t="shared" si="42"/>
        <v>273371.16209191963</v>
      </c>
      <c r="X47" s="440">
        <f t="shared" si="42"/>
        <v>272555.87217750208</v>
      </c>
      <c r="Y47" s="440">
        <f t="shared" si="42"/>
        <v>272202.65100346762</v>
      </c>
      <c r="Z47" s="440">
        <f t="shared" si="42"/>
        <v>272555.87217750208</v>
      </c>
      <c r="AA47" s="440">
        <f t="shared" si="42"/>
        <v>270368.40105077677</v>
      </c>
      <c r="AB47" s="440">
        <f t="shared" si="42"/>
        <v>271725.76433680108</v>
      </c>
      <c r="AC47" s="440">
        <f t="shared" si="42"/>
        <v>272555.87217750208</v>
      </c>
      <c r="AD47" s="440">
        <f t="shared" si="42"/>
        <v>253309.18206277903</v>
      </c>
      <c r="AE47" s="440">
        <f t="shared" si="42"/>
        <v>252955.96088874456</v>
      </c>
      <c r="AF47" s="440">
        <f t="shared" si="42"/>
        <v>251121.71093605371</v>
      </c>
      <c r="AG47" s="440">
        <f t="shared" si="42"/>
        <v>128841.74686277891</v>
      </c>
      <c r="AH47" s="440">
        <f t="shared" si="42"/>
        <v>4021.0904887445504</v>
      </c>
      <c r="AI47" s="440">
        <f t="shared" si="42"/>
        <v>4374.3116627789568</v>
      </c>
      <c r="AJ47" s="440">
        <f t="shared" si="42"/>
        <v>4374.3116627789568</v>
      </c>
      <c r="AK47" s="440">
        <f t="shared" si="42"/>
        <v>474.80963203881402</v>
      </c>
      <c r="AL47" s="440">
        <f t="shared" si="42"/>
        <v>3897.4249961123569</v>
      </c>
      <c r="AM47" s="440">
        <f t="shared" si="42"/>
        <v>4374.3116627789568</v>
      </c>
      <c r="AN47" s="440">
        <f t="shared" si="42"/>
        <v>4021.0904887445504</v>
      </c>
      <c r="AU47" s="331" t="s">
        <v>170</v>
      </c>
      <c r="AV47" s="331"/>
      <c r="AW47" s="331" t="s">
        <v>84</v>
      </c>
      <c r="AX47" s="331" t="s">
        <v>86</v>
      </c>
      <c r="AY47" s="331" t="s">
        <v>92</v>
      </c>
      <c r="AZ47" s="331" t="s">
        <v>93</v>
      </c>
      <c r="BA47" s="331" t="s">
        <v>94</v>
      </c>
      <c r="BB47" s="331" t="s">
        <v>95</v>
      </c>
      <c r="BC47" s="331" t="s">
        <v>96</v>
      </c>
      <c r="BD47" s="331" t="s">
        <v>97</v>
      </c>
      <c r="BE47" s="331" t="s">
        <v>98</v>
      </c>
      <c r="BF47" s="331" t="s">
        <v>99</v>
      </c>
      <c r="BG47" s="331" t="s">
        <v>100</v>
      </c>
      <c r="BH47" s="331" t="s">
        <v>101</v>
      </c>
      <c r="BI47" s="331" t="s">
        <v>102</v>
      </c>
      <c r="BJ47" s="331" t="s">
        <v>103</v>
      </c>
      <c r="BK47" s="331" t="s">
        <v>104</v>
      </c>
      <c r="BL47" s="331" t="s">
        <v>105</v>
      </c>
      <c r="BM47" s="331" t="s">
        <v>106</v>
      </c>
      <c r="BN47" s="331" t="s">
        <v>107</v>
      </c>
      <c r="BO47" s="331" t="s">
        <v>108</v>
      </c>
      <c r="BP47" s="331" t="s">
        <v>109</v>
      </c>
      <c r="BQ47" s="331" t="s">
        <v>110</v>
      </c>
      <c r="BR47" s="331" t="s">
        <v>111</v>
      </c>
      <c r="BS47" s="331" t="s">
        <v>112</v>
      </c>
      <c r="BT47" s="331" t="s">
        <v>113</v>
      </c>
      <c r="BU47" s="331" t="s">
        <v>114</v>
      </c>
      <c r="BV47" s="331" t="s">
        <v>115</v>
      </c>
      <c r="BW47" s="331" t="s">
        <v>116</v>
      </c>
      <c r="BX47" s="331" t="s">
        <v>117</v>
      </c>
      <c r="BY47" s="331" t="s">
        <v>118</v>
      </c>
      <c r="BZ47" s="331" t="s">
        <v>119</v>
      </c>
      <c r="CA47" s="331" t="s">
        <v>120</v>
      </c>
      <c r="CB47" s="331" t="s">
        <v>121</v>
      </c>
      <c r="CC47" s="331" t="s">
        <v>122</v>
      </c>
      <c r="CD47" s="331" t="s">
        <v>123</v>
      </c>
      <c r="CE47" s="331" t="s">
        <v>124</v>
      </c>
    </row>
    <row r="48" spans="1:83">
      <c r="C48" s="295" t="s">
        <v>171</v>
      </c>
      <c r="D48" s="439"/>
      <c r="E48" s="439"/>
      <c r="F48" s="439">
        <f t="shared" ref="F48:AN48" si="43">F22*AW45/30/12</f>
        <v>-70.067251252144501</v>
      </c>
      <c r="G48" s="439">
        <f t="shared" si="43"/>
        <v>-879.10558005214443</v>
      </c>
      <c r="H48" s="439">
        <f t="shared" si="43"/>
        <v>-268928.02853626845</v>
      </c>
      <c r="I48" s="439">
        <f t="shared" si="43"/>
        <v>-273742.11348007229</v>
      </c>
      <c r="J48" s="439">
        <f t="shared" si="43"/>
        <v>-273918.7240670895</v>
      </c>
      <c r="K48" s="439">
        <f t="shared" si="43"/>
        <v>-273742.11348007229</v>
      </c>
      <c r="L48" s="439">
        <f t="shared" si="43"/>
        <v>-274835.84904343489</v>
      </c>
      <c r="M48" s="439">
        <f t="shared" si="43"/>
        <v>-273918.7240670895</v>
      </c>
      <c r="N48" s="439">
        <f t="shared" si="43"/>
        <v>-273742.11348007229</v>
      </c>
      <c r="O48" s="439">
        <f t="shared" si="43"/>
        <v>-273742.11348007229</v>
      </c>
      <c r="P48" s="439">
        <f t="shared" si="43"/>
        <v>-273918.7240670895</v>
      </c>
      <c r="Q48" s="439">
        <f t="shared" si="43"/>
        <v>-274835.84904343489</v>
      </c>
      <c r="R48" s="439">
        <f t="shared" si="43"/>
        <v>-273980.55681340559</v>
      </c>
      <c r="S48" s="439">
        <f t="shared" si="43"/>
        <v>-273918.7240670895</v>
      </c>
      <c r="T48" s="439">
        <f t="shared" si="43"/>
        <v>-273742.11348007229</v>
      </c>
      <c r="U48" s="439">
        <f t="shared" si="43"/>
        <v>-273742.11348007229</v>
      </c>
      <c r="V48" s="439">
        <f t="shared" si="43"/>
        <v>-275691.86449544237</v>
      </c>
      <c r="W48" s="439">
        <f t="shared" si="43"/>
        <v>-273742.11348007229</v>
      </c>
      <c r="X48" s="439">
        <f t="shared" si="43"/>
        <v>-273742.11348007229</v>
      </c>
      <c r="Y48" s="439">
        <f t="shared" si="43"/>
        <v>-273918.7240670895</v>
      </c>
      <c r="Z48" s="439">
        <f t="shared" si="43"/>
        <v>-273742.11348007229</v>
      </c>
      <c r="AA48" s="439">
        <f t="shared" si="43"/>
        <v>-274835.84904343489</v>
      </c>
      <c r="AB48" s="439">
        <f t="shared" si="43"/>
        <v>-274157.1674004228</v>
      </c>
      <c r="AC48" s="439">
        <f t="shared" si="43"/>
        <v>-273742.11348007229</v>
      </c>
      <c r="AD48" s="439">
        <f t="shared" si="43"/>
        <v>-273742.11348007229</v>
      </c>
      <c r="AE48" s="439">
        <f t="shared" si="43"/>
        <v>-273918.7240670895</v>
      </c>
      <c r="AF48" s="439">
        <f t="shared" si="43"/>
        <v>-274835.84904343489</v>
      </c>
      <c r="AG48" s="439">
        <f t="shared" si="43"/>
        <v>-273742.11348007229</v>
      </c>
      <c r="AH48" s="439">
        <f t="shared" si="43"/>
        <v>-273918.7240670895</v>
      </c>
      <c r="AI48" s="439">
        <f t="shared" si="43"/>
        <v>-273742.11348007229</v>
      </c>
      <c r="AJ48" s="439">
        <f t="shared" si="43"/>
        <v>-273742.11348007229</v>
      </c>
      <c r="AK48" s="439">
        <f t="shared" si="43"/>
        <v>-275691.86449544237</v>
      </c>
      <c r="AL48" s="439">
        <f t="shared" si="43"/>
        <v>-273980.55681340559</v>
      </c>
      <c r="AM48" s="439">
        <f t="shared" si="43"/>
        <v>-273742.11348007229</v>
      </c>
      <c r="AN48" s="439">
        <f t="shared" si="43"/>
        <v>-273918.7240670895</v>
      </c>
      <c r="AU48" s="331" t="s">
        <v>172</v>
      </c>
      <c r="AV48" s="331" t="s">
        <v>164</v>
      </c>
      <c r="AW48" s="331">
        <v>365</v>
      </c>
      <c r="AX48" s="331">
        <v>365</v>
      </c>
      <c r="AY48" s="331">
        <v>365</v>
      </c>
      <c r="AZ48" s="331">
        <v>365</v>
      </c>
      <c r="BA48" s="331">
        <v>365</v>
      </c>
      <c r="BB48" s="331">
        <v>365</v>
      </c>
      <c r="BC48" s="331">
        <v>365</v>
      </c>
      <c r="BD48" s="331">
        <v>365</v>
      </c>
      <c r="BE48" s="331">
        <v>365</v>
      </c>
      <c r="BF48" s="331">
        <v>365</v>
      </c>
      <c r="BG48" s="331">
        <v>365</v>
      </c>
      <c r="BH48" s="331">
        <v>365</v>
      </c>
      <c r="BI48" s="331">
        <v>365</v>
      </c>
      <c r="BJ48" s="331">
        <v>365</v>
      </c>
      <c r="BK48" s="331">
        <v>365</v>
      </c>
      <c r="BL48" s="331">
        <v>365</v>
      </c>
      <c r="BM48" s="331">
        <v>365</v>
      </c>
      <c r="BN48" s="331">
        <v>365</v>
      </c>
      <c r="BO48" s="331">
        <v>365</v>
      </c>
      <c r="BP48" s="331">
        <v>365</v>
      </c>
      <c r="BQ48" s="331">
        <v>365</v>
      </c>
      <c r="BR48" s="331">
        <v>365</v>
      </c>
      <c r="BS48" s="331">
        <v>365</v>
      </c>
      <c r="BT48" s="331">
        <v>365</v>
      </c>
      <c r="BU48" s="331">
        <v>365</v>
      </c>
      <c r="BV48" s="331">
        <v>365</v>
      </c>
      <c r="BW48" s="331">
        <v>365</v>
      </c>
      <c r="BX48" s="331">
        <v>365</v>
      </c>
      <c r="BY48" s="331">
        <v>365</v>
      </c>
      <c r="BZ48" s="331">
        <v>365</v>
      </c>
      <c r="CA48" s="331">
        <v>365</v>
      </c>
      <c r="CB48" s="331">
        <v>365</v>
      </c>
      <c r="CC48" s="331">
        <v>365</v>
      </c>
      <c r="CD48" s="331">
        <v>365</v>
      </c>
      <c r="CE48" s="331">
        <v>365</v>
      </c>
    </row>
    <row r="49" spans="3:83">
      <c r="C49" s="295" t="s">
        <v>173</v>
      </c>
      <c r="D49" s="439"/>
      <c r="E49" s="439"/>
      <c r="F49" s="439">
        <v>0</v>
      </c>
      <c r="G49" s="439"/>
      <c r="H49" s="439"/>
      <c r="I49" s="439"/>
      <c r="J49" s="439"/>
      <c r="K49" s="439"/>
      <c r="L49" s="439"/>
      <c r="M49" s="439"/>
      <c r="N49" s="439"/>
      <c r="O49" s="439"/>
      <c r="P49" s="439"/>
      <c r="Q49" s="439"/>
      <c r="R49" s="439"/>
      <c r="S49" s="439"/>
      <c r="T49" s="439"/>
      <c r="U49" s="439"/>
      <c r="V49" s="439"/>
      <c r="W49" s="439"/>
      <c r="X49" s="439"/>
      <c r="Y49" s="439"/>
      <c r="Z49" s="439"/>
      <c r="AA49" s="439"/>
      <c r="AB49" s="439"/>
      <c r="AC49" s="439"/>
      <c r="AD49" s="439"/>
      <c r="AE49" s="439"/>
      <c r="AF49" s="439"/>
      <c r="AG49" s="439"/>
      <c r="AH49" s="439"/>
      <c r="AI49" s="439"/>
      <c r="AJ49" s="439"/>
      <c r="AK49" s="439"/>
      <c r="AL49" s="439"/>
      <c r="AM49" s="439"/>
      <c r="AN49" s="439"/>
      <c r="AU49" s="331" t="s">
        <v>174</v>
      </c>
      <c r="AV49" s="331" t="s">
        <v>174</v>
      </c>
      <c r="AW49" s="331">
        <v>12</v>
      </c>
      <c r="AX49" s="331">
        <v>12</v>
      </c>
      <c r="AY49" s="331">
        <v>12</v>
      </c>
      <c r="AZ49" s="331">
        <v>12</v>
      </c>
      <c r="BA49" s="331">
        <v>12</v>
      </c>
      <c r="BB49" s="331">
        <v>12</v>
      </c>
      <c r="BC49" s="331">
        <v>12</v>
      </c>
      <c r="BD49" s="331">
        <v>12</v>
      </c>
      <c r="BE49" s="331">
        <v>12</v>
      </c>
      <c r="BF49" s="331">
        <v>12</v>
      </c>
      <c r="BG49" s="331">
        <v>12</v>
      </c>
      <c r="BH49" s="331">
        <v>12</v>
      </c>
      <c r="BI49" s="331">
        <v>12</v>
      </c>
      <c r="BJ49" s="331">
        <v>12</v>
      </c>
      <c r="BK49" s="331">
        <v>12</v>
      </c>
      <c r="BL49" s="331">
        <v>12</v>
      </c>
      <c r="BM49" s="331">
        <v>12</v>
      </c>
      <c r="BN49" s="331">
        <v>12</v>
      </c>
      <c r="BO49" s="331">
        <v>12</v>
      </c>
      <c r="BP49" s="331">
        <v>12</v>
      </c>
      <c r="BQ49" s="331">
        <v>12</v>
      </c>
      <c r="BR49" s="331">
        <v>12</v>
      </c>
      <c r="BS49" s="331">
        <v>12</v>
      </c>
      <c r="BT49" s="331">
        <v>12</v>
      </c>
      <c r="BU49" s="331">
        <v>12</v>
      </c>
      <c r="BV49" s="331">
        <v>12</v>
      </c>
      <c r="BW49" s="331">
        <v>12</v>
      </c>
      <c r="BX49" s="331">
        <v>12</v>
      </c>
      <c r="BY49" s="331">
        <v>12</v>
      </c>
      <c r="BZ49" s="331">
        <v>12</v>
      </c>
      <c r="CA49" s="331">
        <v>12</v>
      </c>
      <c r="CB49" s="331">
        <v>12</v>
      </c>
      <c r="CC49" s="331">
        <v>12</v>
      </c>
      <c r="CD49" s="331">
        <v>12</v>
      </c>
      <c r="CE49" s="331">
        <v>12</v>
      </c>
    </row>
    <row r="50" spans="3:83">
      <c r="C50" s="295" t="s">
        <v>175</v>
      </c>
      <c r="D50" s="439"/>
      <c r="E50" s="439"/>
      <c r="F50" s="439">
        <f t="shared" ref="F50:AN50" si="44">F41+SUM(F48:F49)</f>
        <v>3138758.6698911977</v>
      </c>
      <c r="G50" s="439">
        <f t="shared" si="44"/>
        <v>3137949.6315623973</v>
      </c>
      <c r="H50" s="439">
        <f t="shared" si="44"/>
        <v>419378.37384137762</v>
      </c>
      <c r="I50" s="439">
        <f t="shared" si="44"/>
        <v>545335.92131613684</v>
      </c>
      <c r="J50" s="439">
        <f t="shared" si="44"/>
        <v>564406.00084384275</v>
      </c>
      <c r="K50" s="439">
        <f t="shared" si="44"/>
        <v>564582.61143085989</v>
      </c>
      <c r="L50" s="439">
        <f t="shared" si="44"/>
        <v>562429.21234539477</v>
      </c>
      <c r="M50" s="439">
        <f t="shared" si="44"/>
        <v>563346.33732174023</v>
      </c>
      <c r="N50" s="439">
        <f t="shared" si="44"/>
        <v>559585.49988065218</v>
      </c>
      <c r="O50" s="439">
        <f t="shared" si="44"/>
        <v>559585.49988065218</v>
      </c>
      <c r="P50" s="439">
        <f t="shared" si="44"/>
        <v>559408.88929363491</v>
      </c>
      <c r="Q50" s="439">
        <f t="shared" si="44"/>
        <v>558491.76431728946</v>
      </c>
      <c r="R50" s="439">
        <f t="shared" si="44"/>
        <v>559347.05654731882</v>
      </c>
      <c r="S50" s="439">
        <f t="shared" si="44"/>
        <v>546936.66498497466</v>
      </c>
      <c r="T50" s="439">
        <f t="shared" si="44"/>
        <v>547113.27557199192</v>
      </c>
      <c r="U50" s="439">
        <f t="shared" si="44"/>
        <v>547113.27557199192</v>
      </c>
      <c r="V50" s="439">
        <f t="shared" si="44"/>
        <v>545163.52455662179</v>
      </c>
      <c r="W50" s="439">
        <f t="shared" si="44"/>
        <v>547113.27557199192</v>
      </c>
      <c r="X50" s="439">
        <f t="shared" si="44"/>
        <v>546297.98565757438</v>
      </c>
      <c r="Y50" s="439">
        <f t="shared" si="44"/>
        <v>546121.37507055711</v>
      </c>
      <c r="Z50" s="439">
        <f t="shared" si="44"/>
        <v>546297.98565757438</v>
      </c>
      <c r="AA50" s="439">
        <f t="shared" si="44"/>
        <v>545204.25009421166</v>
      </c>
      <c r="AB50" s="439">
        <f t="shared" si="44"/>
        <v>545882.93173722387</v>
      </c>
      <c r="AC50" s="439">
        <f t="shared" si="44"/>
        <v>546297.98565757438</v>
      </c>
      <c r="AD50" s="439">
        <f t="shared" si="44"/>
        <v>527051.29554285132</v>
      </c>
      <c r="AE50" s="439">
        <f t="shared" si="44"/>
        <v>526874.68495583406</v>
      </c>
      <c r="AF50" s="439">
        <f t="shared" si="44"/>
        <v>525957.55997948861</v>
      </c>
      <c r="AG50" s="439">
        <f t="shared" si="44"/>
        <v>402583.8603428512</v>
      </c>
      <c r="AH50" s="439">
        <f t="shared" si="44"/>
        <v>277939.81455583405</v>
      </c>
      <c r="AI50" s="439">
        <f t="shared" si="44"/>
        <v>278116.42514285125</v>
      </c>
      <c r="AJ50" s="439">
        <f t="shared" si="44"/>
        <v>278116.42514285125</v>
      </c>
      <c r="AK50" s="439">
        <f t="shared" si="44"/>
        <v>276166.67412748118</v>
      </c>
      <c r="AL50" s="439">
        <f t="shared" si="44"/>
        <v>277877.98180951795</v>
      </c>
      <c r="AM50" s="439">
        <f t="shared" si="44"/>
        <v>278116.42514285125</v>
      </c>
      <c r="AN50" s="439">
        <f t="shared" si="44"/>
        <v>277939.81455583405</v>
      </c>
    </row>
    <row r="51" spans="3:83" ht="15" thickBot="1"/>
    <row r="52" spans="3:83" ht="15" thickBot="1">
      <c r="C52" s="779" t="s">
        <v>176</v>
      </c>
      <c r="D52" s="779"/>
      <c r="E52" s="779"/>
      <c r="F52" s="779"/>
      <c r="G52" s="779"/>
      <c r="H52" s="779"/>
      <c r="I52" s="779"/>
      <c r="J52" s="779"/>
      <c r="K52" s="779"/>
      <c r="L52" s="779"/>
      <c r="M52" s="779"/>
      <c r="N52" s="779"/>
      <c r="O52" s="779"/>
      <c r="P52" s="779"/>
      <c r="Q52" s="779"/>
      <c r="R52" s="779"/>
      <c r="S52" s="779"/>
      <c r="T52" s="779"/>
      <c r="U52" s="779"/>
      <c r="V52" s="779"/>
      <c r="W52" s="779"/>
      <c r="X52" s="779"/>
      <c r="Y52" s="779"/>
      <c r="Z52" s="779"/>
      <c r="AA52" s="779"/>
      <c r="AB52" s="779"/>
      <c r="AC52" s="779"/>
      <c r="AD52" s="779"/>
      <c r="AE52" s="779"/>
      <c r="AF52" s="779"/>
      <c r="AG52" s="779"/>
      <c r="AH52" s="779"/>
      <c r="AI52" s="779"/>
      <c r="AJ52" s="779"/>
      <c r="AK52" s="779"/>
      <c r="AL52" s="779"/>
      <c r="AM52" s="779"/>
      <c r="AN52" s="779"/>
    </row>
    <row r="53" spans="3:83" ht="15" thickBot="1">
      <c r="C53" s="779" t="s">
        <v>177</v>
      </c>
      <c r="D53" s="779"/>
      <c r="E53" s="779"/>
      <c r="F53" s="442">
        <v>0</v>
      </c>
      <c r="G53" s="296">
        <f>F60</f>
        <v>3138828.7371424497</v>
      </c>
      <c r="H53" s="296">
        <f t="shared" ref="H53:AN53" si="45">G60</f>
        <v>3138828.7371424497</v>
      </c>
      <c r="I53" s="296">
        <f t="shared" si="45"/>
        <v>163590.72089717261</v>
      </c>
      <c r="J53" s="296">
        <f t="shared" si="45"/>
        <v>294362.35331573559</v>
      </c>
      <c r="K53" s="296">
        <f t="shared" si="45"/>
        <v>313609.04343045875</v>
      </c>
      <c r="L53" s="296">
        <f t="shared" si="45"/>
        <v>313609.04343045875</v>
      </c>
      <c r="M53" s="296">
        <f t="shared" si="45"/>
        <v>312549.37990835629</v>
      </c>
      <c r="N53" s="296">
        <f t="shared" si="45"/>
        <v>312549.37990835629</v>
      </c>
      <c r="O53" s="296">
        <f t="shared" si="45"/>
        <v>308611.93188025098</v>
      </c>
      <c r="P53" s="296">
        <f t="shared" si="45"/>
        <v>308611.93188025098</v>
      </c>
      <c r="Q53" s="296">
        <f t="shared" si="45"/>
        <v>308611.93188025098</v>
      </c>
      <c r="R53" s="296">
        <f t="shared" si="45"/>
        <v>308611.93188025098</v>
      </c>
      <c r="S53" s="296">
        <f t="shared" si="45"/>
        <v>308611.93188025098</v>
      </c>
      <c r="T53" s="296">
        <f t="shared" si="45"/>
        <v>296139.70757159067</v>
      </c>
      <c r="U53" s="296">
        <f t="shared" si="45"/>
        <v>296139.70757159067</v>
      </c>
      <c r="V53" s="296">
        <f t="shared" si="45"/>
        <v>296139.70757159067</v>
      </c>
      <c r="W53" s="296">
        <f t="shared" si="45"/>
        <v>296139.70757159067</v>
      </c>
      <c r="X53" s="296">
        <f t="shared" si="45"/>
        <v>296139.70757159067</v>
      </c>
      <c r="Y53" s="296">
        <f t="shared" si="45"/>
        <v>295324.41765717318</v>
      </c>
      <c r="Z53" s="296">
        <f t="shared" si="45"/>
        <v>295324.41765717318</v>
      </c>
      <c r="AA53" s="296">
        <f t="shared" si="45"/>
        <v>295324.41765717318</v>
      </c>
      <c r="AB53" s="296">
        <f t="shared" si="45"/>
        <v>295324.41765717318</v>
      </c>
      <c r="AC53" s="296">
        <f t="shared" si="45"/>
        <v>295324.41765717318</v>
      </c>
      <c r="AD53" s="296">
        <f t="shared" si="45"/>
        <v>295324.41765717318</v>
      </c>
      <c r="AE53" s="296">
        <f t="shared" si="45"/>
        <v>276077.72754245001</v>
      </c>
      <c r="AF53" s="296">
        <f t="shared" si="45"/>
        <v>276077.72754245001</v>
      </c>
      <c r="AG53" s="296">
        <f t="shared" si="45"/>
        <v>276077.72754245001</v>
      </c>
      <c r="AH53" s="296">
        <f t="shared" si="45"/>
        <v>151610.29234245</v>
      </c>
      <c r="AI53" s="296">
        <f t="shared" si="45"/>
        <v>27142.857142450001</v>
      </c>
      <c r="AJ53" s="296">
        <f t="shared" si="45"/>
        <v>27142.857142450001</v>
      </c>
      <c r="AK53" s="296">
        <f t="shared" si="45"/>
        <v>27142.857142450001</v>
      </c>
      <c r="AL53" s="296">
        <f t="shared" si="45"/>
        <v>27142.857142450001</v>
      </c>
      <c r="AM53" s="296">
        <f t="shared" si="45"/>
        <v>27142.857142450001</v>
      </c>
      <c r="AN53" s="296">
        <f t="shared" si="45"/>
        <v>27142.857142450001</v>
      </c>
    </row>
    <row r="54" spans="3:83">
      <c r="C54" s="772" t="s">
        <v>178</v>
      </c>
      <c r="D54" s="439"/>
      <c r="E54" s="439">
        <v>0</v>
      </c>
      <c r="F54" s="439">
        <f>F55+F56</f>
        <v>3111685.88</v>
      </c>
      <c r="G54" s="439">
        <f t="shared" ref="G54:AN54" si="46">G55+G56</f>
        <v>3111685.88</v>
      </c>
      <c r="H54" s="439">
        <f t="shared" si="46"/>
        <v>0</v>
      </c>
      <c r="I54" s="439">
        <f t="shared" si="46"/>
        <v>0</v>
      </c>
      <c r="J54" s="439">
        <f t="shared" si="46"/>
        <v>0</v>
      </c>
      <c r="K54" s="439">
        <f t="shared" si="46"/>
        <v>0</v>
      </c>
      <c r="L54" s="439">
        <f t="shared" si="46"/>
        <v>0</v>
      </c>
      <c r="M54" s="439">
        <f t="shared" si="46"/>
        <v>0</v>
      </c>
      <c r="N54" s="439">
        <f t="shared" si="46"/>
        <v>0</v>
      </c>
      <c r="O54" s="439">
        <f t="shared" si="46"/>
        <v>0</v>
      </c>
      <c r="P54" s="439">
        <f t="shared" si="46"/>
        <v>0</v>
      </c>
      <c r="Q54" s="439">
        <f t="shared" si="46"/>
        <v>0</v>
      </c>
      <c r="R54" s="439">
        <f t="shared" si="46"/>
        <v>0</v>
      </c>
      <c r="S54" s="439">
        <f t="shared" si="46"/>
        <v>0</v>
      </c>
      <c r="T54" s="439">
        <f t="shared" si="46"/>
        <v>0</v>
      </c>
      <c r="U54" s="439">
        <f t="shared" si="46"/>
        <v>0</v>
      </c>
      <c r="V54" s="439">
        <f t="shared" si="46"/>
        <v>0</v>
      </c>
      <c r="W54" s="439">
        <f t="shared" si="46"/>
        <v>0</v>
      </c>
      <c r="X54" s="439">
        <f t="shared" si="46"/>
        <v>0</v>
      </c>
      <c r="Y54" s="439">
        <f t="shared" si="46"/>
        <v>0</v>
      </c>
      <c r="Z54" s="439">
        <f t="shared" si="46"/>
        <v>0</v>
      </c>
      <c r="AA54" s="439">
        <f t="shared" si="46"/>
        <v>0</v>
      </c>
      <c r="AB54" s="439">
        <f t="shared" si="46"/>
        <v>0</v>
      </c>
      <c r="AC54" s="439">
        <f t="shared" si="46"/>
        <v>0</v>
      </c>
      <c r="AD54" s="439">
        <f t="shared" si="46"/>
        <v>0</v>
      </c>
      <c r="AE54" s="439">
        <f t="shared" si="46"/>
        <v>0</v>
      </c>
      <c r="AF54" s="439">
        <f t="shared" si="46"/>
        <v>0</v>
      </c>
      <c r="AG54" s="439">
        <f t="shared" si="46"/>
        <v>0</v>
      </c>
      <c r="AH54" s="439">
        <f t="shared" si="46"/>
        <v>0</v>
      </c>
      <c r="AI54" s="439">
        <f t="shared" si="46"/>
        <v>0</v>
      </c>
      <c r="AJ54" s="439">
        <f t="shared" si="46"/>
        <v>0</v>
      </c>
      <c r="AK54" s="439">
        <f t="shared" si="46"/>
        <v>0</v>
      </c>
      <c r="AL54" s="439">
        <f t="shared" si="46"/>
        <v>0</v>
      </c>
      <c r="AM54" s="439">
        <f t="shared" si="46"/>
        <v>0</v>
      </c>
      <c r="AN54" s="439">
        <f t="shared" si="46"/>
        <v>0</v>
      </c>
    </row>
    <row r="55" spans="3:83">
      <c r="C55" s="295" t="s">
        <v>179</v>
      </c>
      <c r="D55" s="439"/>
      <c r="E55" s="439">
        <v>0</v>
      </c>
      <c r="F55" s="439">
        <f>CAPEX!I29</f>
        <v>3111685.88</v>
      </c>
      <c r="G55" s="439">
        <f>CAPEX!J29</f>
        <v>3111685.88</v>
      </c>
      <c r="H55" s="439">
        <f>CAPEX!K29</f>
        <v>0</v>
      </c>
      <c r="I55" s="439">
        <f>CAPEX!L29</f>
        <v>0</v>
      </c>
      <c r="J55" s="439">
        <f>CAPEX!M29</f>
        <v>0</v>
      </c>
      <c r="K55" s="439">
        <f>CAPEX!N29</f>
        <v>0</v>
      </c>
      <c r="L55" s="439">
        <f>CAPEX!O29</f>
        <v>0</v>
      </c>
      <c r="M55" s="439">
        <f>CAPEX!P29</f>
        <v>0</v>
      </c>
      <c r="N55" s="439">
        <f>CAPEX!Q29</f>
        <v>0</v>
      </c>
      <c r="O55" s="439">
        <f>CAPEX!R29</f>
        <v>0</v>
      </c>
      <c r="P55" s="439">
        <f>CAPEX!S29</f>
        <v>0</v>
      </c>
      <c r="Q55" s="439">
        <f>CAPEX!T29</f>
        <v>0</v>
      </c>
      <c r="R55" s="439">
        <f>CAPEX!U29</f>
        <v>0</v>
      </c>
      <c r="S55" s="439">
        <f>CAPEX!V29</f>
        <v>0</v>
      </c>
      <c r="T55" s="439">
        <f>CAPEX!W29</f>
        <v>0</v>
      </c>
      <c r="U55" s="439">
        <f>CAPEX!X29</f>
        <v>0</v>
      </c>
      <c r="V55" s="439">
        <f>CAPEX!Y29</f>
        <v>0</v>
      </c>
      <c r="W55" s="439">
        <f>CAPEX!Z29</f>
        <v>0</v>
      </c>
      <c r="X55" s="439">
        <f>CAPEX!AA29</f>
        <v>0</v>
      </c>
      <c r="Y55" s="439">
        <f>CAPEX!AB29</f>
        <v>0</v>
      </c>
      <c r="Z55" s="439">
        <f>CAPEX!AC29</f>
        <v>0</v>
      </c>
      <c r="AA55" s="439">
        <f>CAPEX!AD29</f>
        <v>0</v>
      </c>
      <c r="AB55" s="439">
        <f>CAPEX!AE29</f>
        <v>0</v>
      </c>
      <c r="AC55" s="439">
        <f>CAPEX!AF29</f>
        <v>0</v>
      </c>
      <c r="AD55" s="439">
        <f>CAPEX!AG29</f>
        <v>0</v>
      </c>
      <c r="AE55" s="439">
        <f>CAPEX!AH29</f>
        <v>0</v>
      </c>
      <c r="AF55" s="439">
        <f>CAPEX!AI29</f>
        <v>0</v>
      </c>
      <c r="AG55" s="439">
        <f>CAPEX!AJ29</f>
        <v>0</v>
      </c>
      <c r="AH55" s="439">
        <f>CAPEX!AK29</f>
        <v>0</v>
      </c>
      <c r="AI55" s="439">
        <f>CAPEX!AL29</f>
        <v>0</v>
      </c>
      <c r="AJ55" s="439">
        <f>CAPEX!AM29</f>
        <v>0</v>
      </c>
      <c r="AK55" s="439">
        <f>CAPEX!AN29</f>
        <v>0</v>
      </c>
      <c r="AL55" s="439">
        <f>CAPEX!AO29</f>
        <v>0</v>
      </c>
      <c r="AM55" s="439">
        <f>CAPEX!AP29</f>
        <v>0</v>
      </c>
      <c r="AN55" s="439">
        <f>CAPEX!AQ29</f>
        <v>0</v>
      </c>
    </row>
    <row r="56" spans="3:83">
      <c r="C56" s="295" t="s">
        <v>180</v>
      </c>
      <c r="D56" s="439"/>
      <c r="E56" s="439">
        <v>0</v>
      </c>
      <c r="F56" s="439">
        <v>0</v>
      </c>
      <c r="G56" s="439">
        <v>0</v>
      </c>
      <c r="H56" s="439">
        <v>0</v>
      </c>
      <c r="I56" s="439">
        <v>0</v>
      </c>
      <c r="J56" s="439">
        <v>0</v>
      </c>
      <c r="K56" s="439">
        <v>0</v>
      </c>
      <c r="L56" s="439">
        <v>0</v>
      </c>
      <c r="M56" s="439">
        <v>0</v>
      </c>
      <c r="N56" s="439">
        <v>0</v>
      </c>
      <c r="O56" s="439">
        <v>0</v>
      </c>
      <c r="P56" s="439">
        <v>0</v>
      </c>
      <c r="Q56" s="439">
        <v>0</v>
      </c>
      <c r="R56" s="439">
        <v>0</v>
      </c>
      <c r="S56" s="439">
        <v>0</v>
      </c>
      <c r="T56" s="439">
        <v>0</v>
      </c>
      <c r="U56" s="439">
        <v>0</v>
      </c>
      <c r="V56" s="439">
        <v>0</v>
      </c>
      <c r="W56" s="439">
        <v>0</v>
      </c>
      <c r="X56" s="439">
        <v>0</v>
      </c>
      <c r="Y56" s="439">
        <v>0</v>
      </c>
      <c r="Z56" s="439">
        <v>0</v>
      </c>
      <c r="AA56" s="439">
        <v>0</v>
      </c>
      <c r="AB56" s="439">
        <v>0</v>
      </c>
      <c r="AC56" s="439">
        <v>0</v>
      </c>
      <c r="AD56" s="439">
        <v>0</v>
      </c>
      <c r="AE56" s="439">
        <v>0</v>
      </c>
      <c r="AF56" s="439">
        <v>0</v>
      </c>
      <c r="AG56" s="439">
        <v>0</v>
      </c>
      <c r="AH56" s="439">
        <v>0</v>
      </c>
      <c r="AI56" s="439">
        <v>0</v>
      </c>
      <c r="AJ56" s="439">
        <v>0</v>
      </c>
      <c r="AK56" s="439">
        <v>0</v>
      </c>
      <c r="AL56" s="439">
        <v>0</v>
      </c>
      <c r="AM56" s="439">
        <v>0</v>
      </c>
      <c r="AN56" s="439">
        <v>0</v>
      </c>
    </row>
    <row r="57" spans="3:83">
      <c r="C57" s="295" t="s">
        <v>181</v>
      </c>
      <c r="D57" s="439"/>
      <c r="E57" s="439">
        <v>0</v>
      </c>
      <c r="F57" s="439">
        <f>CAPEX!I36</f>
        <v>27142.857142450001</v>
      </c>
      <c r="G57" s="439">
        <f>CAPEX!J36</f>
        <v>27142.857142450001</v>
      </c>
      <c r="H57" s="439">
        <f>CAPEX!K36</f>
        <v>163590.72089717261</v>
      </c>
      <c r="I57" s="439">
        <f>CAPEX!L36</f>
        <v>294362.35331573559</v>
      </c>
      <c r="J57" s="439">
        <f>CAPEX!M36</f>
        <v>313609.04343045875</v>
      </c>
      <c r="K57" s="439">
        <f>CAPEX!N36</f>
        <v>313609.04343045875</v>
      </c>
      <c r="L57" s="439">
        <f>CAPEX!O36</f>
        <v>312549.37990835629</v>
      </c>
      <c r="M57" s="439">
        <f>CAPEX!P36</f>
        <v>312549.37990835629</v>
      </c>
      <c r="N57" s="439">
        <f>CAPEX!Q36</f>
        <v>308611.93188025098</v>
      </c>
      <c r="O57" s="439">
        <f>CAPEX!R36</f>
        <v>308611.93188025098</v>
      </c>
      <c r="P57" s="439">
        <f>CAPEX!S36</f>
        <v>308611.93188025098</v>
      </c>
      <c r="Q57" s="439">
        <f>CAPEX!T36</f>
        <v>308611.93188025098</v>
      </c>
      <c r="R57" s="439">
        <f>CAPEX!U36</f>
        <v>308611.93188025098</v>
      </c>
      <c r="S57" s="439">
        <f>CAPEX!V36</f>
        <v>296139.70757159067</v>
      </c>
      <c r="T57" s="439">
        <f>CAPEX!W36</f>
        <v>296139.70757159067</v>
      </c>
      <c r="U57" s="439">
        <f>CAPEX!X36</f>
        <v>296139.70757159067</v>
      </c>
      <c r="V57" s="439">
        <f>CAPEX!Y36</f>
        <v>296139.70757159067</v>
      </c>
      <c r="W57" s="439">
        <f>CAPEX!Z36</f>
        <v>296139.70757159067</v>
      </c>
      <c r="X57" s="439">
        <f>CAPEX!AA36</f>
        <v>295324.41765717318</v>
      </c>
      <c r="Y57" s="439">
        <f>CAPEX!AB36</f>
        <v>295324.41765717318</v>
      </c>
      <c r="Z57" s="439">
        <f>CAPEX!AC36</f>
        <v>295324.41765717318</v>
      </c>
      <c r="AA57" s="439">
        <f>CAPEX!AD36</f>
        <v>295324.41765717318</v>
      </c>
      <c r="AB57" s="439">
        <f>CAPEX!AE36</f>
        <v>295324.41765717318</v>
      </c>
      <c r="AC57" s="439">
        <f>CAPEX!AF36</f>
        <v>295324.41765717318</v>
      </c>
      <c r="AD57" s="439">
        <f>CAPEX!AG36</f>
        <v>276077.72754245001</v>
      </c>
      <c r="AE57" s="439">
        <f>CAPEX!AH36</f>
        <v>276077.72754245001</v>
      </c>
      <c r="AF57" s="439">
        <f>CAPEX!AI36</f>
        <v>276077.72754245001</v>
      </c>
      <c r="AG57" s="439">
        <f>CAPEX!AJ36</f>
        <v>151610.29234245</v>
      </c>
      <c r="AH57" s="439">
        <f>CAPEX!AK36</f>
        <v>27142.857142450001</v>
      </c>
      <c r="AI57" s="439">
        <f>CAPEX!AL36</f>
        <v>27142.857142450001</v>
      </c>
      <c r="AJ57" s="439">
        <f>CAPEX!AM36</f>
        <v>27142.857142450001</v>
      </c>
      <c r="AK57" s="439">
        <f>CAPEX!AN36</f>
        <v>27142.857142450001</v>
      </c>
      <c r="AL57" s="439">
        <f>CAPEX!AO36</f>
        <v>27142.857142450001</v>
      </c>
      <c r="AM57" s="439">
        <f>CAPEX!AP36</f>
        <v>27142.857142450001</v>
      </c>
      <c r="AN57" s="439">
        <f>CAPEX!AQ36</f>
        <v>27142.857142450001</v>
      </c>
    </row>
    <row r="58" spans="3:83">
      <c r="C58" s="295" t="s">
        <v>182</v>
      </c>
      <c r="D58" s="439"/>
      <c r="E58" s="439">
        <v>0</v>
      </c>
      <c r="F58" s="439">
        <f>CAPEX!I24</f>
        <v>0</v>
      </c>
      <c r="G58" s="439">
        <f>CAPEX!J24</f>
        <v>0</v>
      </c>
      <c r="H58" s="439">
        <f>CAPEX!K24</f>
        <v>0</v>
      </c>
      <c r="I58" s="439">
        <f>CAPEX!L24</f>
        <v>0</v>
      </c>
      <c r="J58" s="439">
        <f>CAPEX!M24</f>
        <v>0</v>
      </c>
      <c r="K58" s="439">
        <f>CAPEX!N24</f>
        <v>0</v>
      </c>
      <c r="L58" s="439">
        <f>CAPEX!O24</f>
        <v>0</v>
      </c>
      <c r="M58" s="439">
        <f>CAPEX!P24</f>
        <v>0</v>
      </c>
      <c r="N58" s="439">
        <f>CAPEX!Q24</f>
        <v>0</v>
      </c>
      <c r="O58" s="439">
        <f>CAPEX!R24</f>
        <v>0</v>
      </c>
      <c r="P58" s="439">
        <f>CAPEX!S24</f>
        <v>0</v>
      </c>
      <c r="Q58" s="439">
        <f>CAPEX!T24</f>
        <v>0</v>
      </c>
      <c r="R58" s="439">
        <f>CAPEX!U24</f>
        <v>0</v>
      </c>
      <c r="S58" s="439">
        <f>CAPEX!V24</f>
        <v>0</v>
      </c>
      <c r="T58" s="439">
        <f>CAPEX!W24</f>
        <v>0</v>
      </c>
      <c r="U58" s="439">
        <f>CAPEX!X24</f>
        <v>0</v>
      </c>
      <c r="V58" s="439">
        <f>CAPEX!Y24</f>
        <v>0</v>
      </c>
      <c r="W58" s="439">
        <f>CAPEX!Z24</f>
        <v>0</v>
      </c>
      <c r="X58" s="439">
        <f>CAPEX!AA24</f>
        <v>0</v>
      </c>
      <c r="Y58" s="439">
        <f>CAPEX!AB24</f>
        <v>0</v>
      </c>
      <c r="Z58" s="439">
        <f>CAPEX!AC24</f>
        <v>0</v>
      </c>
      <c r="AA58" s="439">
        <f>CAPEX!AD24</f>
        <v>0</v>
      </c>
      <c r="AB58" s="439">
        <f>CAPEX!AE24</f>
        <v>0</v>
      </c>
      <c r="AC58" s="439">
        <f>CAPEX!AF24</f>
        <v>0</v>
      </c>
      <c r="AD58" s="439">
        <f>CAPEX!AG24</f>
        <v>0</v>
      </c>
      <c r="AE58" s="439">
        <f>CAPEX!AH24</f>
        <v>0</v>
      </c>
      <c r="AF58" s="439">
        <f>CAPEX!AI24</f>
        <v>0</v>
      </c>
      <c r="AG58" s="439">
        <f>CAPEX!AJ24</f>
        <v>0</v>
      </c>
      <c r="AH58" s="439">
        <f>CAPEX!AK24</f>
        <v>0</v>
      </c>
      <c r="AI58" s="439">
        <f>CAPEX!AL24</f>
        <v>0</v>
      </c>
      <c r="AJ58" s="439">
        <f>CAPEX!AM24</f>
        <v>0</v>
      </c>
      <c r="AK58" s="439">
        <f>CAPEX!AN24</f>
        <v>0</v>
      </c>
      <c r="AL58" s="439">
        <f>CAPEX!AO24</f>
        <v>0</v>
      </c>
      <c r="AM58" s="439">
        <f>CAPEX!AP24</f>
        <v>0</v>
      </c>
      <c r="AN58" s="439">
        <f>CAPEX!AQ24</f>
        <v>0</v>
      </c>
    </row>
    <row r="59" spans="3:83" ht="15" thickBot="1">
      <c r="C59" s="295" t="s">
        <v>183</v>
      </c>
      <c r="D59" s="439"/>
      <c r="E59" s="439">
        <v>0</v>
      </c>
      <c r="F59" s="439">
        <v>0</v>
      </c>
      <c r="G59" s="439">
        <v>0</v>
      </c>
      <c r="H59" s="439">
        <v>0</v>
      </c>
      <c r="I59" s="439">
        <v>0</v>
      </c>
      <c r="J59" s="439">
        <v>0</v>
      </c>
      <c r="K59" s="439">
        <v>0</v>
      </c>
      <c r="L59" s="439">
        <v>0</v>
      </c>
      <c r="M59" s="439">
        <v>0</v>
      </c>
      <c r="N59" s="439">
        <v>0</v>
      </c>
      <c r="O59" s="439">
        <v>0</v>
      </c>
      <c r="P59" s="439">
        <v>0</v>
      </c>
      <c r="Q59" s="439">
        <v>0</v>
      </c>
      <c r="R59" s="439">
        <v>0</v>
      </c>
      <c r="S59" s="439">
        <v>0</v>
      </c>
      <c r="T59" s="439">
        <v>0</v>
      </c>
      <c r="U59" s="439">
        <v>0</v>
      </c>
      <c r="V59" s="439">
        <v>0</v>
      </c>
      <c r="W59" s="439">
        <v>0</v>
      </c>
      <c r="X59" s="439">
        <v>0</v>
      </c>
      <c r="Y59" s="439">
        <v>0</v>
      </c>
      <c r="Z59" s="439">
        <v>0</v>
      </c>
      <c r="AA59" s="439">
        <v>0</v>
      </c>
      <c r="AB59" s="439">
        <v>0</v>
      </c>
      <c r="AC59" s="439">
        <v>0</v>
      </c>
      <c r="AD59" s="439">
        <v>0</v>
      </c>
      <c r="AE59" s="439">
        <v>0</v>
      </c>
      <c r="AF59" s="439">
        <v>0</v>
      </c>
      <c r="AG59" s="439">
        <v>0</v>
      </c>
      <c r="AH59" s="439">
        <v>0</v>
      </c>
      <c r="AI59" s="439">
        <v>0</v>
      </c>
      <c r="AJ59" s="439">
        <v>0</v>
      </c>
      <c r="AK59" s="439">
        <v>0</v>
      </c>
      <c r="AL59" s="439">
        <v>0</v>
      </c>
      <c r="AM59" s="439">
        <v>0</v>
      </c>
      <c r="AN59" s="439">
        <v>0</v>
      </c>
    </row>
    <row r="60" spans="3:83" ht="15" thickBot="1">
      <c r="C60" s="296" t="s">
        <v>184</v>
      </c>
      <c r="D60" s="441"/>
      <c r="E60" s="441">
        <v>0</v>
      </c>
      <c r="F60" s="441">
        <f>F59+F58+F57+F54</f>
        <v>3138828.7371424497</v>
      </c>
      <c r="G60" s="441">
        <f t="shared" ref="G60:AN60" si="47">G59+G58+G57+G54</f>
        <v>3138828.7371424497</v>
      </c>
      <c r="H60" s="441">
        <f t="shared" si="47"/>
        <v>163590.72089717261</v>
      </c>
      <c r="I60" s="441">
        <f t="shared" si="47"/>
        <v>294362.35331573559</v>
      </c>
      <c r="J60" s="441">
        <f t="shared" si="47"/>
        <v>313609.04343045875</v>
      </c>
      <c r="K60" s="441">
        <f t="shared" si="47"/>
        <v>313609.04343045875</v>
      </c>
      <c r="L60" s="441">
        <f t="shared" si="47"/>
        <v>312549.37990835629</v>
      </c>
      <c r="M60" s="441">
        <f t="shared" si="47"/>
        <v>312549.37990835629</v>
      </c>
      <c r="N60" s="441">
        <f t="shared" si="47"/>
        <v>308611.93188025098</v>
      </c>
      <c r="O60" s="441">
        <f t="shared" si="47"/>
        <v>308611.93188025098</v>
      </c>
      <c r="P60" s="441">
        <f t="shared" si="47"/>
        <v>308611.93188025098</v>
      </c>
      <c r="Q60" s="441">
        <f t="shared" si="47"/>
        <v>308611.93188025098</v>
      </c>
      <c r="R60" s="441">
        <f t="shared" si="47"/>
        <v>308611.93188025098</v>
      </c>
      <c r="S60" s="441">
        <f t="shared" si="47"/>
        <v>296139.70757159067</v>
      </c>
      <c r="T60" s="441">
        <f t="shared" si="47"/>
        <v>296139.70757159067</v>
      </c>
      <c r="U60" s="441">
        <f t="shared" si="47"/>
        <v>296139.70757159067</v>
      </c>
      <c r="V60" s="441">
        <f t="shared" si="47"/>
        <v>296139.70757159067</v>
      </c>
      <c r="W60" s="441">
        <f t="shared" si="47"/>
        <v>296139.70757159067</v>
      </c>
      <c r="X60" s="441">
        <f t="shared" si="47"/>
        <v>295324.41765717318</v>
      </c>
      <c r="Y60" s="441">
        <f t="shared" si="47"/>
        <v>295324.41765717318</v>
      </c>
      <c r="Z60" s="441">
        <f t="shared" si="47"/>
        <v>295324.41765717318</v>
      </c>
      <c r="AA60" s="441">
        <f t="shared" si="47"/>
        <v>295324.41765717318</v>
      </c>
      <c r="AB60" s="441">
        <f t="shared" si="47"/>
        <v>295324.41765717318</v>
      </c>
      <c r="AC60" s="441">
        <f t="shared" si="47"/>
        <v>295324.41765717318</v>
      </c>
      <c r="AD60" s="441">
        <f t="shared" si="47"/>
        <v>276077.72754245001</v>
      </c>
      <c r="AE60" s="441">
        <f t="shared" si="47"/>
        <v>276077.72754245001</v>
      </c>
      <c r="AF60" s="441">
        <f t="shared" si="47"/>
        <v>276077.72754245001</v>
      </c>
      <c r="AG60" s="441">
        <f t="shared" si="47"/>
        <v>151610.29234245</v>
      </c>
      <c r="AH60" s="441">
        <f t="shared" si="47"/>
        <v>27142.857142450001</v>
      </c>
      <c r="AI60" s="441">
        <f t="shared" si="47"/>
        <v>27142.857142450001</v>
      </c>
      <c r="AJ60" s="441">
        <f t="shared" si="47"/>
        <v>27142.857142450001</v>
      </c>
      <c r="AK60" s="441">
        <f t="shared" si="47"/>
        <v>27142.857142450001</v>
      </c>
      <c r="AL60" s="441">
        <f t="shared" si="47"/>
        <v>27142.857142450001</v>
      </c>
      <c r="AM60" s="441">
        <f t="shared" si="47"/>
        <v>27142.857142450001</v>
      </c>
      <c r="AN60" s="441">
        <f t="shared" si="47"/>
        <v>27142.857142450001</v>
      </c>
    </row>
    <row r="62" spans="3:83" ht="15" thickBot="1">
      <c r="C62" s="802" t="s">
        <v>185</v>
      </c>
      <c r="D62" s="802"/>
    </row>
    <row r="63" spans="3:83" ht="15" thickBot="1">
      <c r="C63" s="297" t="s">
        <v>186</v>
      </c>
      <c r="D63" s="296"/>
      <c r="E63" s="296">
        <f t="shared" ref="E63:AN63" si="48">E27</f>
        <v>0</v>
      </c>
      <c r="F63" s="441">
        <f t="shared" si="48"/>
        <v>-1261.210522538601</v>
      </c>
      <c r="G63" s="441">
        <f t="shared" si="48"/>
        <v>-15823.9004409386</v>
      </c>
      <c r="H63" s="441">
        <f t="shared" si="48"/>
        <v>1455883.6641128501</v>
      </c>
      <c r="I63" s="441">
        <f t="shared" si="48"/>
        <v>1369230.1351243816</v>
      </c>
      <c r="J63" s="441">
        <f t="shared" si="48"/>
        <v>1366051.1445580712</v>
      </c>
      <c r="K63" s="441">
        <f t="shared" si="48"/>
        <v>1369230.1351243816</v>
      </c>
      <c r="L63" s="441">
        <f t="shared" si="48"/>
        <v>1349542.8949838551</v>
      </c>
      <c r="M63" s="441">
        <f t="shared" si="48"/>
        <v>1366051.1445580712</v>
      </c>
      <c r="N63" s="441">
        <f t="shared" si="48"/>
        <v>1369230.1351243816</v>
      </c>
      <c r="O63" s="441">
        <f t="shared" si="48"/>
        <v>1369230.1351243816</v>
      </c>
      <c r="P63" s="441">
        <f t="shared" si="48"/>
        <v>1366051.1445580712</v>
      </c>
      <c r="Q63" s="441">
        <f t="shared" si="48"/>
        <v>1349542.8949838551</v>
      </c>
      <c r="R63" s="441">
        <f t="shared" si="48"/>
        <v>1364938.1551243821</v>
      </c>
      <c r="S63" s="441">
        <f t="shared" si="48"/>
        <v>1366051.1445580712</v>
      </c>
      <c r="T63" s="441">
        <f t="shared" si="48"/>
        <v>1369230.1351243816</v>
      </c>
      <c r="U63" s="441">
        <f t="shared" si="48"/>
        <v>1369230.1351243816</v>
      </c>
      <c r="V63" s="441">
        <f t="shared" si="48"/>
        <v>1334134.61684772</v>
      </c>
      <c r="W63" s="441">
        <f t="shared" si="48"/>
        <v>1369230.1351243816</v>
      </c>
      <c r="X63" s="441">
        <f t="shared" si="48"/>
        <v>1369230.1351243816</v>
      </c>
      <c r="Y63" s="441">
        <f t="shared" si="48"/>
        <v>1366051.1445580712</v>
      </c>
      <c r="Z63" s="441">
        <f t="shared" si="48"/>
        <v>1369230.1351243816</v>
      </c>
      <c r="AA63" s="441">
        <f t="shared" si="48"/>
        <v>1349542.8949838551</v>
      </c>
      <c r="AB63" s="441">
        <f t="shared" si="48"/>
        <v>1361759.1645580716</v>
      </c>
      <c r="AC63" s="441">
        <f t="shared" si="48"/>
        <v>1369230.1351243816</v>
      </c>
      <c r="AD63" s="441">
        <f t="shared" si="48"/>
        <v>1369230.1351243816</v>
      </c>
      <c r="AE63" s="441">
        <f t="shared" si="48"/>
        <v>1366051.1445580712</v>
      </c>
      <c r="AF63" s="441">
        <f t="shared" si="48"/>
        <v>1349542.8949838551</v>
      </c>
      <c r="AG63" s="441">
        <f t="shared" si="48"/>
        <v>1369230.1351243816</v>
      </c>
      <c r="AH63" s="441">
        <f t="shared" si="48"/>
        <v>1366051.1445580712</v>
      </c>
      <c r="AI63" s="441">
        <f t="shared" si="48"/>
        <v>1369230.1351243816</v>
      </c>
      <c r="AJ63" s="441">
        <f t="shared" si="48"/>
        <v>1369230.1351243816</v>
      </c>
      <c r="AK63" s="441">
        <f t="shared" si="48"/>
        <v>1334134.61684772</v>
      </c>
      <c r="AL63" s="441">
        <f t="shared" si="48"/>
        <v>1364938.1551243821</v>
      </c>
      <c r="AM63" s="441">
        <f t="shared" si="48"/>
        <v>1369230.1351243816</v>
      </c>
      <c r="AN63" s="441">
        <f t="shared" si="48"/>
        <v>1366051.1445580712</v>
      </c>
    </row>
    <row r="64" spans="3:83" ht="15" thickBot="1">
      <c r="C64" s="297" t="s">
        <v>187</v>
      </c>
      <c r="D64" s="296"/>
      <c r="E64" s="296">
        <f>E65+E69+E70+E68</f>
        <v>0</v>
      </c>
      <c r="F64" s="441">
        <f>F65+F69+F70+F68</f>
        <v>-3087330.8278636746</v>
      </c>
      <c r="G64" s="441">
        <f t="shared" ref="G64:AN64" si="49">G65+G69+G70+G68</f>
        <v>-2694062.8200761257</v>
      </c>
      <c r="H64" s="441">
        <f t="shared" si="49"/>
        <v>0</v>
      </c>
      <c r="I64" s="441">
        <f t="shared" si="49"/>
        <v>0</v>
      </c>
      <c r="J64" s="441">
        <f t="shared" si="49"/>
        <v>0</v>
      </c>
      <c r="K64" s="441">
        <f t="shared" si="49"/>
        <v>0</v>
      </c>
      <c r="L64" s="441">
        <f t="shared" si="49"/>
        <v>0</v>
      </c>
      <c r="M64" s="441">
        <f t="shared" si="49"/>
        <v>0</v>
      </c>
      <c r="N64" s="441">
        <f t="shared" si="49"/>
        <v>0</v>
      </c>
      <c r="O64" s="441">
        <f t="shared" si="49"/>
        <v>0</v>
      </c>
      <c r="P64" s="441">
        <f t="shared" si="49"/>
        <v>0</v>
      </c>
      <c r="Q64" s="441">
        <f t="shared" si="49"/>
        <v>0</v>
      </c>
      <c r="R64" s="441">
        <f t="shared" si="49"/>
        <v>0</v>
      </c>
      <c r="S64" s="441">
        <f t="shared" si="49"/>
        <v>0</v>
      </c>
      <c r="T64" s="441">
        <f t="shared" si="49"/>
        <v>0</v>
      </c>
      <c r="U64" s="441">
        <f t="shared" si="49"/>
        <v>0</v>
      </c>
      <c r="V64" s="441">
        <f t="shared" si="49"/>
        <v>0</v>
      </c>
      <c r="W64" s="441">
        <f t="shared" si="49"/>
        <v>0</v>
      </c>
      <c r="X64" s="441">
        <f t="shared" si="49"/>
        <v>0</v>
      </c>
      <c r="Y64" s="441">
        <f t="shared" si="49"/>
        <v>0</v>
      </c>
      <c r="Z64" s="441">
        <f t="shared" si="49"/>
        <v>0</v>
      </c>
      <c r="AA64" s="441">
        <f t="shared" si="49"/>
        <v>0</v>
      </c>
      <c r="AB64" s="441">
        <f t="shared" si="49"/>
        <v>0</v>
      </c>
      <c r="AC64" s="441">
        <f t="shared" si="49"/>
        <v>0</v>
      </c>
      <c r="AD64" s="441">
        <f t="shared" si="49"/>
        <v>0</v>
      </c>
      <c r="AE64" s="441">
        <f t="shared" si="49"/>
        <v>0</v>
      </c>
      <c r="AF64" s="441">
        <f t="shared" si="49"/>
        <v>0</v>
      </c>
      <c r="AG64" s="441">
        <f t="shared" si="49"/>
        <v>0</v>
      </c>
      <c r="AH64" s="441">
        <f t="shared" si="49"/>
        <v>0</v>
      </c>
      <c r="AI64" s="441">
        <f t="shared" si="49"/>
        <v>0</v>
      </c>
      <c r="AJ64" s="441">
        <f t="shared" si="49"/>
        <v>0</v>
      </c>
      <c r="AK64" s="441">
        <f t="shared" si="49"/>
        <v>0</v>
      </c>
      <c r="AL64" s="441">
        <f t="shared" si="49"/>
        <v>0</v>
      </c>
      <c r="AM64" s="441">
        <f t="shared" si="49"/>
        <v>0</v>
      </c>
      <c r="AN64" s="441">
        <f t="shared" si="49"/>
        <v>0</v>
      </c>
    </row>
    <row r="65" spans="2:40">
      <c r="B65" s="747"/>
      <c r="C65" s="535" t="s">
        <v>188</v>
      </c>
      <c r="D65" s="439"/>
      <c r="E65" s="439"/>
      <c r="F65" s="439">
        <f>F66+F67</f>
        <v>-3111685.88</v>
      </c>
      <c r="G65" s="439">
        <f t="shared" ref="G65:AN65" si="50">G66+G67</f>
        <v>-3111685.88</v>
      </c>
      <c r="H65" s="439">
        <f t="shared" si="50"/>
        <v>0</v>
      </c>
      <c r="I65" s="439">
        <f t="shared" si="50"/>
        <v>0</v>
      </c>
      <c r="J65" s="439">
        <f t="shared" si="50"/>
        <v>0</v>
      </c>
      <c r="K65" s="439">
        <f t="shared" si="50"/>
        <v>0</v>
      </c>
      <c r="L65" s="439">
        <f t="shared" si="50"/>
        <v>0</v>
      </c>
      <c r="M65" s="439">
        <f t="shared" si="50"/>
        <v>0</v>
      </c>
      <c r="N65" s="439">
        <f t="shared" si="50"/>
        <v>0</v>
      </c>
      <c r="O65" s="439">
        <f t="shared" si="50"/>
        <v>0</v>
      </c>
      <c r="P65" s="439">
        <f t="shared" si="50"/>
        <v>0</v>
      </c>
      <c r="Q65" s="439">
        <f t="shared" si="50"/>
        <v>0</v>
      </c>
      <c r="R65" s="439">
        <f t="shared" si="50"/>
        <v>0</v>
      </c>
      <c r="S65" s="439">
        <f t="shared" si="50"/>
        <v>0</v>
      </c>
      <c r="T65" s="439">
        <f t="shared" si="50"/>
        <v>0</v>
      </c>
      <c r="U65" s="439">
        <f t="shared" si="50"/>
        <v>0</v>
      </c>
      <c r="V65" s="439">
        <f t="shared" si="50"/>
        <v>0</v>
      </c>
      <c r="W65" s="439">
        <f t="shared" si="50"/>
        <v>0</v>
      </c>
      <c r="X65" s="439">
        <f t="shared" si="50"/>
        <v>0</v>
      </c>
      <c r="Y65" s="439">
        <f t="shared" si="50"/>
        <v>0</v>
      </c>
      <c r="Z65" s="439">
        <f t="shared" si="50"/>
        <v>0</v>
      </c>
      <c r="AA65" s="439">
        <f t="shared" si="50"/>
        <v>0</v>
      </c>
      <c r="AB65" s="439">
        <f t="shared" si="50"/>
        <v>0</v>
      </c>
      <c r="AC65" s="439">
        <f t="shared" si="50"/>
        <v>0</v>
      </c>
      <c r="AD65" s="439">
        <f t="shared" si="50"/>
        <v>0</v>
      </c>
      <c r="AE65" s="439">
        <f t="shared" si="50"/>
        <v>0</v>
      </c>
      <c r="AF65" s="439">
        <f t="shared" si="50"/>
        <v>0</v>
      </c>
      <c r="AG65" s="439">
        <f t="shared" si="50"/>
        <v>0</v>
      </c>
      <c r="AH65" s="439">
        <f t="shared" si="50"/>
        <v>0</v>
      </c>
      <c r="AI65" s="439">
        <f t="shared" si="50"/>
        <v>0</v>
      </c>
      <c r="AJ65" s="439">
        <f t="shared" si="50"/>
        <v>0</v>
      </c>
      <c r="AK65" s="439">
        <f t="shared" si="50"/>
        <v>0</v>
      </c>
      <c r="AL65" s="439">
        <f t="shared" si="50"/>
        <v>0</v>
      </c>
      <c r="AM65" s="439">
        <f t="shared" si="50"/>
        <v>0</v>
      </c>
      <c r="AN65" s="439">
        <f t="shared" si="50"/>
        <v>0</v>
      </c>
    </row>
    <row r="66" spans="2:40">
      <c r="B66" s="747">
        <f>SUM(E66:AN66)</f>
        <v>-6223371.7599999998</v>
      </c>
      <c r="C66" s="536" t="s">
        <v>189</v>
      </c>
      <c r="D66" s="439"/>
      <c r="E66" s="439">
        <f>CAPEX!H29</f>
        <v>0</v>
      </c>
      <c r="F66" s="439">
        <f>-CAPEX!I29</f>
        <v>-3111685.88</v>
      </c>
      <c r="G66" s="439">
        <f>-CAPEX!J29</f>
        <v>-3111685.88</v>
      </c>
      <c r="H66" s="439">
        <f>-CAPEX!K29</f>
        <v>0</v>
      </c>
      <c r="I66" s="439">
        <f>-CAPEX!L29</f>
        <v>0</v>
      </c>
      <c r="J66" s="439">
        <f>-CAPEX!M29</f>
        <v>0</v>
      </c>
      <c r="K66" s="439">
        <f>-CAPEX!N29</f>
        <v>0</v>
      </c>
      <c r="L66" s="439">
        <f>-CAPEX!O29</f>
        <v>0</v>
      </c>
      <c r="M66" s="439">
        <f>-CAPEX!P29</f>
        <v>0</v>
      </c>
      <c r="N66" s="439">
        <f>-CAPEX!Q29</f>
        <v>0</v>
      </c>
      <c r="O66" s="439">
        <f>-CAPEX!R29</f>
        <v>0</v>
      </c>
      <c r="P66" s="439">
        <f>-CAPEX!S29</f>
        <v>0</v>
      </c>
      <c r="Q66" s="439">
        <f>-CAPEX!T29</f>
        <v>0</v>
      </c>
      <c r="R66" s="439">
        <f>-CAPEX!U29</f>
        <v>0</v>
      </c>
      <c r="S66" s="439">
        <f>-CAPEX!V29</f>
        <v>0</v>
      </c>
      <c r="T66" s="439">
        <f>-CAPEX!W29</f>
        <v>0</v>
      </c>
      <c r="U66" s="439">
        <f>-CAPEX!X29</f>
        <v>0</v>
      </c>
      <c r="V66" s="439">
        <f>-CAPEX!Y29</f>
        <v>0</v>
      </c>
      <c r="W66" s="439">
        <f>-CAPEX!Z29</f>
        <v>0</v>
      </c>
      <c r="X66" s="439">
        <f>-CAPEX!AA29</f>
        <v>0</v>
      </c>
      <c r="Y66" s="439">
        <f>-CAPEX!AB29</f>
        <v>0</v>
      </c>
      <c r="Z66" s="439">
        <f>-CAPEX!AC29</f>
        <v>0</v>
      </c>
      <c r="AA66" s="439">
        <f>-CAPEX!AD29</f>
        <v>0</v>
      </c>
      <c r="AB66" s="439">
        <f>-CAPEX!AE29</f>
        <v>0</v>
      </c>
      <c r="AC66" s="439">
        <f>-CAPEX!AF29</f>
        <v>0</v>
      </c>
      <c r="AD66" s="439">
        <f>-CAPEX!AG29</f>
        <v>0</v>
      </c>
      <c r="AE66" s="439">
        <f>-CAPEX!AH29</f>
        <v>0</v>
      </c>
      <c r="AF66" s="439">
        <f>-CAPEX!AI29</f>
        <v>0</v>
      </c>
      <c r="AG66" s="439">
        <f>-CAPEX!AJ29</f>
        <v>0</v>
      </c>
      <c r="AH66" s="439">
        <f>-CAPEX!AK29</f>
        <v>0</v>
      </c>
      <c r="AI66" s="439">
        <f>-CAPEX!AL29</f>
        <v>0</v>
      </c>
      <c r="AJ66" s="439">
        <f>-CAPEX!AM29</f>
        <v>0</v>
      </c>
      <c r="AK66" s="439">
        <f>-CAPEX!AN29</f>
        <v>0</v>
      </c>
      <c r="AL66" s="439">
        <f>-CAPEX!AO29</f>
        <v>0</v>
      </c>
      <c r="AM66" s="439">
        <f>-CAPEX!AP29</f>
        <v>0</v>
      </c>
      <c r="AN66" s="439">
        <f>-CAPEX!AQ29</f>
        <v>0</v>
      </c>
    </row>
    <row r="67" spans="2:40">
      <c r="B67" s="747">
        <f>SUM(E67:AN67)</f>
        <v>0</v>
      </c>
      <c r="C67" s="536" t="s">
        <v>190</v>
      </c>
      <c r="D67" s="439"/>
      <c r="E67" s="439">
        <f>CAPEX!H24</f>
        <v>0</v>
      </c>
      <c r="F67" s="439">
        <f>CAPEX!I24</f>
        <v>0</v>
      </c>
      <c r="G67" s="439">
        <f>CAPEX!J24</f>
        <v>0</v>
      </c>
      <c r="H67" s="439">
        <f>CAPEX!K24</f>
        <v>0</v>
      </c>
      <c r="I67" s="439">
        <f>CAPEX!L24</f>
        <v>0</v>
      </c>
      <c r="J67" s="439">
        <f>CAPEX!M24</f>
        <v>0</v>
      </c>
      <c r="K67" s="439">
        <f>CAPEX!N24</f>
        <v>0</v>
      </c>
      <c r="L67" s="439">
        <f>CAPEX!O24</f>
        <v>0</v>
      </c>
      <c r="M67" s="439">
        <f>CAPEX!P24</f>
        <v>0</v>
      </c>
      <c r="N67" s="439">
        <f>CAPEX!Q24</f>
        <v>0</v>
      </c>
      <c r="O67" s="439">
        <f>CAPEX!R24</f>
        <v>0</v>
      </c>
      <c r="P67" s="439">
        <f>CAPEX!S24</f>
        <v>0</v>
      </c>
      <c r="Q67" s="439">
        <f>CAPEX!T24</f>
        <v>0</v>
      </c>
      <c r="R67" s="439">
        <f>CAPEX!U24</f>
        <v>0</v>
      </c>
      <c r="S67" s="439">
        <f>CAPEX!V24</f>
        <v>0</v>
      </c>
      <c r="T67" s="439">
        <f>CAPEX!W24</f>
        <v>0</v>
      </c>
      <c r="U67" s="439">
        <f>CAPEX!X24</f>
        <v>0</v>
      </c>
      <c r="V67" s="439">
        <f>CAPEX!Y24</f>
        <v>0</v>
      </c>
      <c r="W67" s="439">
        <f>CAPEX!Z24</f>
        <v>0</v>
      </c>
      <c r="X67" s="439">
        <f>CAPEX!AA24</f>
        <v>0</v>
      </c>
      <c r="Y67" s="439">
        <f>CAPEX!AB24</f>
        <v>0</v>
      </c>
      <c r="Z67" s="439">
        <f>CAPEX!AC24</f>
        <v>0</v>
      </c>
      <c r="AA67" s="439">
        <f>CAPEX!AD24</f>
        <v>0</v>
      </c>
      <c r="AB67" s="439">
        <f>CAPEX!AE24</f>
        <v>0</v>
      </c>
      <c r="AC67" s="439">
        <f>CAPEX!AF24</f>
        <v>0</v>
      </c>
      <c r="AD67" s="439">
        <f>CAPEX!AG24</f>
        <v>0</v>
      </c>
      <c r="AE67" s="439">
        <f>CAPEX!AH24</f>
        <v>0</v>
      </c>
      <c r="AF67" s="439">
        <f>CAPEX!AI24</f>
        <v>0</v>
      </c>
      <c r="AG67" s="439">
        <f>CAPEX!AJ24</f>
        <v>0</v>
      </c>
      <c r="AH67" s="439">
        <f>CAPEX!AK24</f>
        <v>0</v>
      </c>
      <c r="AI67" s="439">
        <f>CAPEX!AL24</f>
        <v>0</v>
      </c>
      <c r="AJ67" s="439">
        <f>CAPEX!AM24</f>
        <v>0</v>
      </c>
      <c r="AK67" s="439">
        <f>CAPEX!AN24</f>
        <v>0</v>
      </c>
      <c r="AL67" s="439">
        <f>CAPEX!AO24</f>
        <v>0</v>
      </c>
      <c r="AM67" s="439">
        <f>CAPEX!AP24</f>
        <v>0</v>
      </c>
      <c r="AN67" s="439">
        <f>CAPEX!AQ24</f>
        <v>0</v>
      </c>
    </row>
    <row r="68" spans="2:40">
      <c r="B68" s="747">
        <f>SUM(E68:AN68)</f>
        <v>-556731.99221245095</v>
      </c>
      <c r="C68" s="535" t="s">
        <v>191</v>
      </c>
      <c r="D68" s="439"/>
      <c r="E68" s="439">
        <f>-(CAPEX!H30+CAPEX!H31+CAPEX!H33+CAPEX!H34)</f>
        <v>0</v>
      </c>
      <c r="F68" s="439">
        <f>-(CAPEX!I30+CAPEX!I31+CAPEX!I33+CAPEX!I34)</f>
        <v>0</v>
      </c>
      <c r="G68" s="439">
        <f>-(CAPEX!J30+CAPEX!J31+CAPEX!J33+CAPEX!J34)</f>
        <v>-556731.99221245095</v>
      </c>
      <c r="H68" s="439">
        <f>-(CAPEX!K30+CAPEX!K31+CAPEX!K33+CAPEX!K34)</f>
        <v>0</v>
      </c>
      <c r="I68" s="439">
        <f>-(CAPEX!L30+CAPEX!L31+CAPEX!L33+CAPEX!L34)</f>
        <v>0</v>
      </c>
      <c r="J68" s="439">
        <f>-(CAPEX!M30+CAPEX!M31+CAPEX!M33+CAPEX!M34)</f>
        <v>0</v>
      </c>
      <c r="K68" s="439">
        <f>-(CAPEX!N30+CAPEX!N31+CAPEX!N33+CAPEX!N34)</f>
        <v>0</v>
      </c>
      <c r="L68" s="439">
        <f>-(CAPEX!O30+CAPEX!O31+CAPEX!O33+CAPEX!O34)</f>
        <v>0</v>
      </c>
      <c r="M68" s="439">
        <f>-(CAPEX!P30+CAPEX!P31+CAPEX!P33+CAPEX!P34)</f>
        <v>0</v>
      </c>
      <c r="N68" s="439">
        <f>-(CAPEX!Q30+CAPEX!Q31+CAPEX!Q33+CAPEX!Q34)</f>
        <v>0</v>
      </c>
      <c r="O68" s="439">
        <f>-(CAPEX!R30+CAPEX!R31+CAPEX!R33+CAPEX!R34)</f>
        <v>0</v>
      </c>
      <c r="P68" s="439">
        <f>-(CAPEX!S30+CAPEX!S31+CAPEX!S33+CAPEX!S34)</f>
        <v>0</v>
      </c>
      <c r="Q68" s="439">
        <f>-(CAPEX!T30+CAPEX!T31+CAPEX!T33+CAPEX!T34)</f>
        <v>0</v>
      </c>
      <c r="R68" s="439">
        <f>-(CAPEX!U30+CAPEX!U31+CAPEX!U33+CAPEX!U34)</f>
        <v>0</v>
      </c>
      <c r="S68" s="439">
        <f>-(CAPEX!V30+CAPEX!V31+CAPEX!V33+CAPEX!V34)</f>
        <v>0</v>
      </c>
      <c r="T68" s="439">
        <f>-(CAPEX!W30+CAPEX!W31+CAPEX!W33+CAPEX!W34)</f>
        <v>0</v>
      </c>
      <c r="U68" s="439">
        <f>-(CAPEX!X30+CAPEX!X31+CAPEX!X33+CAPEX!X34)</f>
        <v>0</v>
      </c>
      <c r="V68" s="439">
        <f>-(CAPEX!Y30+CAPEX!Y31+CAPEX!Y33+CAPEX!Y34)</f>
        <v>0</v>
      </c>
      <c r="W68" s="439">
        <f>-(CAPEX!Z30+CAPEX!Z31+CAPEX!Z33+CAPEX!Z34)</f>
        <v>0</v>
      </c>
      <c r="X68" s="439">
        <f>-(CAPEX!AA30+CAPEX!AA31+CAPEX!AA33+CAPEX!AA34)</f>
        <v>0</v>
      </c>
      <c r="Y68" s="439">
        <f>-(CAPEX!AB30+CAPEX!AB31+CAPEX!AB33+CAPEX!AB34)</f>
        <v>0</v>
      </c>
      <c r="Z68" s="439">
        <f>-(CAPEX!AC30+CAPEX!AC31+CAPEX!AC33+CAPEX!AC34)</f>
        <v>0</v>
      </c>
      <c r="AA68" s="439">
        <f>-(CAPEX!AD30+CAPEX!AD31+CAPEX!AD33+CAPEX!AD34)</f>
        <v>0</v>
      </c>
      <c r="AB68" s="439">
        <f>-(CAPEX!AE30+CAPEX!AE31+CAPEX!AE33+CAPEX!AE34)</f>
        <v>0</v>
      </c>
      <c r="AC68" s="439">
        <f>-(CAPEX!AF30+CAPEX!AF31+CAPEX!AF33+CAPEX!AF34)</f>
        <v>0</v>
      </c>
      <c r="AD68" s="439">
        <f>-(CAPEX!AG30+CAPEX!AG31+CAPEX!AG33+CAPEX!AG34)</f>
        <v>0</v>
      </c>
      <c r="AE68" s="439">
        <f>-(CAPEX!AH30+CAPEX!AH31+CAPEX!AH33+CAPEX!AH34)</f>
        <v>0</v>
      </c>
      <c r="AF68" s="439">
        <f>-(CAPEX!AI30+CAPEX!AI31+CAPEX!AI33+CAPEX!AI34)</f>
        <v>0</v>
      </c>
      <c r="AG68" s="439">
        <f>-(CAPEX!AJ30+CAPEX!AJ31+CAPEX!AJ33+CAPEX!AJ34)</f>
        <v>0</v>
      </c>
      <c r="AH68" s="439">
        <f>-(CAPEX!AK30+CAPEX!AK31+CAPEX!AK33+CAPEX!AK34)</f>
        <v>0</v>
      </c>
      <c r="AI68" s="439">
        <f>-(CAPEX!AL30+CAPEX!AL31+CAPEX!AL33+CAPEX!AL34)</f>
        <v>0</v>
      </c>
      <c r="AJ68" s="439">
        <f>-(CAPEX!AM30+CAPEX!AM31+CAPEX!AM33+CAPEX!AM34)</f>
        <v>0</v>
      </c>
      <c r="AK68" s="439">
        <f>-(CAPEX!AN30+CAPEX!AN31+CAPEX!AN33+CAPEX!AN34)</f>
        <v>0</v>
      </c>
      <c r="AL68" s="439">
        <f>-(CAPEX!AO30+CAPEX!AO31+CAPEX!AO33+CAPEX!AO34)</f>
        <v>0</v>
      </c>
      <c r="AM68" s="439">
        <f>-(CAPEX!AP30+CAPEX!AP31+CAPEX!AP33+CAPEX!AP34)</f>
        <v>0</v>
      </c>
      <c r="AN68" s="439">
        <f>-(CAPEX!AQ30+CAPEX!AQ31+CAPEX!AQ33+CAPEX!AQ34)</f>
        <v>0</v>
      </c>
    </row>
    <row r="69" spans="2:40">
      <c r="B69" s="747">
        <f>SUM(E69:AN69)</f>
        <v>-950000</v>
      </c>
      <c r="C69" s="535" t="s">
        <v>192</v>
      </c>
      <c r="D69" s="439"/>
      <c r="E69" s="439">
        <f>CAPEX!H17</f>
        <v>0</v>
      </c>
      <c r="F69" s="439">
        <f>-CAPEX!I17</f>
        <v>-950000</v>
      </c>
      <c r="G69" s="439">
        <f>-CAPEX!J17</f>
        <v>0</v>
      </c>
      <c r="H69" s="439">
        <f>-CAPEX!K17</f>
        <v>0</v>
      </c>
      <c r="I69" s="439">
        <f>-CAPEX!L17</f>
        <v>0</v>
      </c>
      <c r="J69" s="439">
        <f>-CAPEX!M17</f>
        <v>0</v>
      </c>
      <c r="K69" s="439">
        <f>-CAPEX!N17</f>
        <v>0</v>
      </c>
      <c r="L69" s="439">
        <f>-CAPEX!O17</f>
        <v>0</v>
      </c>
      <c r="M69" s="439">
        <f>-CAPEX!P17</f>
        <v>0</v>
      </c>
      <c r="N69" s="439">
        <f>-CAPEX!Q17</f>
        <v>0</v>
      </c>
      <c r="O69" s="439">
        <f>-CAPEX!R17</f>
        <v>0</v>
      </c>
      <c r="P69" s="439">
        <f>-CAPEX!S17</f>
        <v>0</v>
      </c>
      <c r="Q69" s="439">
        <f>-CAPEX!T17</f>
        <v>0</v>
      </c>
      <c r="R69" s="439">
        <f>-CAPEX!U17</f>
        <v>0</v>
      </c>
      <c r="S69" s="439">
        <f>-CAPEX!V17</f>
        <v>0</v>
      </c>
      <c r="T69" s="439">
        <f>-CAPEX!W17</f>
        <v>0</v>
      </c>
      <c r="U69" s="439">
        <f>-CAPEX!X17</f>
        <v>0</v>
      </c>
      <c r="V69" s="439">
        <f>-CAPEX!Y17</f>
        <v>0</v>
      </c>
      <c r="W69" s="439">
        <f>-CAPEX!Z17</f>
        <v>0</v>
      </c>
      <c r="X69" s="439">
        <f>-CAPEX!AA17</f>
        <v>0</v>
      </c>
      <c r="Y69" s="439">
        <f>-CAPEX!AB17</f>
        <v>0</v>
      </c>
      <c r="Z69" s="439">
        <f>-CAPEX!AC17</f>
        <v>0</v>
      </c>
      <c r="AA69" s="439">
        <f>-CAPEX!AD17</f>
        <v>0</v>
      </c>
      <c r="AB69" s="439">
        <f>-CAPEX!AE17</f>
        <v>0</v>
      </c>
      <c r="AC69" s="439">
        <f>-CAPEX!AF17</f>
        <v>0</v>
      </c>
      <c r="AD69" s="439">
        <f>-CAPEX!AG17</f>
        <v>0</v>
      </c>
      <c r="AE69" s="439">
        <f>-CAPEX!AH17</f>
        <v>0</v>
      </c>
      <c r="AF69" s="439">
        <f>-CAPEX!AI17</f>
        <v>0</v>
      </c>
      <c r="AG69" s="439">
        <f>-CAPEX!AJ17</f>
        <v>0</v>
      </c>
      <c r="AH69" s="439">
        <f>-CAPEX!AK17</f>
        <v>0</v>
      </c>
      <c r="AI69" s="439">
        <f>-CAPEX!AL17</f>
        <v>0</v>
      </c>
      <c r="AJ69" s="439">
        <f>-CAPEX!AM17</f>
        <v>0</v>
      </c>
      <c r="AK69" s="439">
        <f>-CAPEX!AN17</f>
        <v>0</v>
      </c>
      <c r="AL69" s="439">
        <f>-CAPEX!AO17</f>
        <v>0</v>
      </c>
      <c r="AM69" s="439">
        <f>-CAPEX!AP17</f>
        <v>0</v>
      </c>
      <c r="AN69" s="439">
        <f>-CAPEX!AQ17</f>
        <v>0</v>
      </c>
    </row>
    <row r="70" spans="2:40">
      <c r="B70" s="747">
        <f>SUM(E70:AN70)</f>
        <v>1948710.104272651</v>
      </c>
      <c r="C70" s="535" t="s">
        <v>81</v>
      </c>
      <c r="D70" s="439"/>
      <c r="E70" s="439">
        <v>0</v>
      </c>
      <c r="F70" s="439">
        <f t="array" ref="F70:G70">TRANSPOSE('INPUTS&amp;OUTPUTS'!E40:E41)</f>
        <v>974355.05213632551</v>
      </c>
      <c r="G70" s="439">
        <v>974355.05213632551</v>
      </c>
      <c r="H70" s="439">
        <v>0</v>
      </c>
      <c r="I70" s="439">
        <v>0</v>
      </c>
      <c r="J70" s="439">
        <v>0</v>
      </c>
      <c r="K70" s="439">
        <v>0</v>
      </c>
      <c r="L70" s="439">
        <v>0</v>
      </c>
      <c r="M70" s="439">
        <v>0</v>
      </c>
      <c r="N70" s="439">
        <v>0</v>
      </c>
      <c r="O70" s="439">
        <v>0</v>
      </c>
      <c r="P70" s="439">
        <v>0</v>
      </c>
      <c r="Q70" s="439">
        <v>0</v>
      </c>
      <c r="R70" s="439">
        <v>0</v>
      </c>
      <c r="S70" s="439">
        <v>0</v>
      </c>
      <c r="T70" s="439">
        <v>0</v>
      </c>
      <c r="U70" s="439">
        <v>0</v>
      </c>
      <c r="V70" s="439">
        <v>0</v>
      </c>
      <c r="W70" s="439">
        <v>0</v>
      </c>
      <c r="X70" s="439">
        <v>0</v>
      </c>
      <c r="Y70" s="439">
        <v>0</v>
      </c>
      <c r="Z70" s="439">
        <v>0</v>
      </c>
      <c r="AA70" s="439">
        <v>0</v>
      </c>
      <c r="AB70" s="439">
        <v>0</v>
      </c>
      <c r="AC70" s="439">
        <v>0</v>
      </c>
      <c r="AD70" s="439">
        <v>0</v>
      </c>
      <c r="AE70" s="439">
        <v>0</v>
      </c>
      <c r="AF70" s="439">
        <v>0</v>
      </c>
      <c r="AG70" s="439">
        <v>0</v>
      </c>
      <c r="AH70" s="439">
        <v>0</v>
      </c>
      <c r="AI70" s="439">
        <v>0</v>
      </c>
      <c r="AJ70" s="439">
        <v>0</v>
      </c>
      <c r="AK70" s="439">
        <v>0</v>
      </c>
      <c r="AL70" s="439">
        <v>0</v>
      </c>
      <c r="AM70" s="439">
        <v>0</v>
      </c>
      <c r="AN70" s="439">
        <v>0</v>
      </c>
    </row>
    <row r="71" spans="2:40">
      <c r="C71" s="297" t="s">
        <v>193</v>
      </c>
      <c r="D71" s="439"/>
      <c r="E71" s="439">
        <f t="shared" ref="E71:AN71" si="51">E48+E43+E42</f>
        <v>0</v>
      </c>
      <c r="F71" s="439">
        <f>F48+F43+F42</f>
        <v>-70.067251252144501</v>
      </c>
      <c r="G71" s="439">
        <f t="shared" si="51"/>
        <v>-879.10558005214443</v>
      </c>
      <c r="H71" s="439">
        <f t="shared" si="51"/>
        <v>255787.65294420504</v>
      </c>
      <c r="I71" s="439">
        <f t="shared" si="51"/>
        <v>250973.5680004012</v>
      </c>
      <c r="J71" s="439">
        <f t="shared" si="51"/>
        <v>250796.95741338399</v>
      </c>
      <c r="K71" s="439">
        <f t="shared" si="51"/>
        <v>250973.5680004012</v>
      </c>
      <c r="L71" s="439">
        <f t="shared" si="51"/>
        <v>249879.8324370386</v>
      </c>
      <c r="M71" s="439">
        <f t="shared" si="51"/>
        <v>250796.95741338399</v>
      </c>
      <c r="N71" s="439">
        <f t="shared" si="51"/>
        <v>250973.5680004012</v>
      </c>
      <c r="O71" s="439">
        <f t="shared" si="51"/>
        <v>250973.5680004012</v>
      </c>
      <c r="P71" s="439">
        <f t="shared" si="51"/>
        <v>250796.95741338399</v>
      </c>
      <c r="Q71" s="439">
        <f t="shared" si="51"/>
        <v>249879.8324370386</v>
      </c>
      <c r="R71" s="439">
        <f t="shared" si="51"/>
        <v>250735.1246670679</v>
      </c>
      <c r="S71" s="439">
        <f t="shared" si="51"/>
        <v>250796.95741338399</v>
      </c>
      <c r="T71" s="439">
        <f t="shared" si="51"/>
        <v>250973.5680004012</v>
      </c>
      <c r="U71" s="439">
        <f t="shared" si="51"/>
        <v>250973.5680004012</v>
      </c>
      <c r="V71" s="439">
        <f t="shared" si="51"/>
        <v>249023.81698503112</v>
      </c>
      <c r="W71" s="439">
        <f t="shared" si="51"/>
        <v>250973.5680004012</v>
      </c>
      <c r="X71" s="439">
        <f t="shared" si="51"/>
        <v>250973.5680004012</v>
      </c>
      <c r="Y71" s="439">
        <f t="shared" si="51"/>
        <v>250796.95741338399</v>
      </c>
      <c r="Z71" s="439">
        <f t="shared" si="51"/>
        <v>250973.5680004012</v>
      </c>
      <c r="AA71" s="439">
        <f t="shared" si="51"/>
        <v>249879.8324370386</v>
      </c>
      <c r="AB71" s="439">
        <f t="shared" si="51"/>
        <v>250558.51408005069</v>
      </c>
      <c r="AC71" s="439">
        <f t="shared" si="51"/>
        <v>250973.5680004012</v>
      </c>
      <c r="AD71" s="439">
        <f t="shared" si="51"/>
        <v>250973.5680004012</v>
      </c>
      <c r="AE71" s="439">
        <f t="shared" si="51"/>
        <v>250796.95741338399</v>
      </c>
      <c r="AF71" s="439">
        <f t="shared" si="51"/>
        <v>249879.8324370386</v>
      </c>
      <c r="AG71" s="439">
        <f t="shared" si="51"/>
        <v>250973.5680004012</v>
      </c>
      <c r="AH71" s="439">
        <f t="shared" si="51"/>
        <v>250796.95741338399</v>
      </c>
      <c r="AI71" s="439">
        <f t="shared" si="51"/>
        <v>250973.5680004012</v>
      </c>
      <c r="AJ71" s="439">
        <f t="shared" si="51"/>
        <v>250973.5680004012</v>
      </c>
      <c r="AK71" s="439">
        <f t="shared" si="51"/>
        <v>249023.81698503112</v>
      </c>
      <c r="AL71" s="439">
        <f t="shared" si="51"/>
        <v>250735.1246670679</v>
      </c>
      <c r="AM71" s="439">
        <f t="shared" si="51"/>
        <v>250973.5680004012</v>
      </c>
      <c r="AN71" s="439">
        <f t="shared" si="51"/>
        <v>250796.95741338399</v>
      </c>
    </row>
    <row r="72" spans="2:40">
      <c r="C72" s="297" t="s">
        <v>194</v>
      </c>
      <c r="D72" s="439"/>
      <c r="E72" s="439">
        <f t="shared" ref="E72:J72" si="52">E31</f>
        <v>0</v>
      </c>
      <c r="F72" s="439">
        <f t="shared" si="52"/>
        <v>0</v>
      </c>
      <c r="G72" s="439">
        <f t="shared" si="52"/>
        <v>0</v>
      </c>
      <c r="H72" s="439">
        <f t="shared" si="52"/>
        <v>0</v>
      </c>
      <c r="I72" s="439">
        <f t="shared" si="52"/>
        <v>0</v>
      </c>
      <c r="J72" s="439">
        <f t="shared" si="52"/>
        <v>0</v>
      </c>
      <c r="K72" s="439">
        <f t="shared" ref="K72:AN72" ca="1" si="53">K31</f>
        <v>-226708.22107153511</v>
      </c>
      <c r="L72" s="439">
        <f t="shared" ca="1" si="53"/>
        <v>-207815.86931557386</v>
      </c>
      <c r="M72" s="439">
        <f t="shared" ca="1" si="53"/>
        <v>-188923.51755961264</v>
      </c>
      <c r="N72" s="439">
        <f t="shared" ca="1" si="53"/>
        <v>-170031.16580365138</v>
      </c>
      <c r="O72" s="439">
        <f t="shared" ca="1" si="53"/>
        <v>-151138.81404769013</v>
      </c>
      <c r="P72" s="439">
        <f t="shared" ca="1" si="53"/>
        <v>-132246.46229172888</v>
      </c>
      <c r="Q72" s="439">
        <f t="shared" ca="1" si="53"/>
        <v>-113354.11053576761</v>
      </c>
      <c r="R72" s="439">
        <f t="shared" ca="1" si="53"/>
        <v>-94461.758779806347</v>
      </c>
      <c r="S72" s="439">
        <f t="shared" ca="1" si="53"/>
        <v>-75569.407023845095</v>
      </c>
      <c r="T72" s="439">
        <f t="shared" ca="1" si="53"/>
        <v>-56677.055267883828</v>
      </c>
      <c r="U72" s="439">
        <f t="shared" ca="1" si="53"/>
        <v>-37784.703511922569</v>
      </c>
      <c r="V72" s="439">
        <f t="shared" ca="1" si="53"/>
        <v>-18892.351755961314</v>
      </c>
      <c r="W72" s="439">
        <f t="shared" ca="1" si="53"/>
        <v>-5.3155235946178437E-11</v>
      </c>
      <c r="X72" s="439">
        <f t="shared" ca="1" si="53"/>
        <v>-5.7200349401682616E-11</v>
      </c>
      <c r="Y72" s="439">
        <f t="shared" ca="1" si="53"/>
        <v>-6.1553295991150666E-11</v>
      </c>
      <c r="Z72" s="439">
        <f t="shared" ca="1" si="53"/>
        <v>-6.6237501816077232E-11</v>
      </c>
      <c r="AA72" s="439">
        <f t="shared" ca="1" si="53"/>
        <v>-7.1278175704280713E-11</v>
      </c>
      <c r="AB72" s="439">
        <f t="shared" ca="1" si="53"/>
        <v>-7.6702444875376465E-11</v>
      </c>
      <c r="AC72" s="439">
        <f t="shared" ca="1" si="53"/>
        <v>-8.2539500930392619E-11</v>
      </c>
      <c r="AD72" s="439">
        <f t="shared" ca="1" si="53"/>
        <v>-8.8820756951195492E-11</v>
      </c>
      <c r="AE72" s="439">
        <f t="shared" ca="1" si="53"/>
        <v>-9.5580016555181465E-11</v>
      </c>
      <c r="AF72" s="439">
        <f t="shared" ca="1" si="53"/>
        <v>-1.0285365581503077E-10</v>
      </c>
      <c r="AG72" s="439">
        <f t="shared" ca="1" si="53"/>
        <v>-1.1068081902255462E-10</v>
      </c>
      <c r="AH72" s="439">
        <f t="shared" ca="1" si="53"/>
        <v>-1.1910362935017102E-10</v>
      </c>
      <c r="AI72" s="439">
        <f t="shared" ca="1" si="53"/>
        <v>-1.2816741554371902E-10</v>
      </c>
      <c r="AJ72" s="439">
        <f t="shared" ca="1" si="53"/>
        <v>-1.3792095586659604E-10</v>
      </c>
      <c r="AK72" s="439">
        <f t="shared" ca="1" si="53"/>
        <v>-1.48416740608044E-10</v>
      </c>
      <c r="AL72" s="439">
        <f t="shared" ca="1" si="53"/>
        <v>-1.5971125456831614E-10</v>
      </c>
      <c r="AM72" s="439">
        <f t="shared" ca="1" si="53"/>
        <v>-1.7186528104096501E-10</v>
      </c>
      <c r="AN72" s="439">
        <f t="shared" ca="1" si="53"/>
        <v>-1.8494422892818244E-10</v>
      </c>
    </row>
    <row r="73" spans="2:40" ht="15" thickBot="1">
      <c r="C73" s="298" t="s">
        <v>195</v>
      </c>
      <c r="D73" s="439"/>
      <c r="E73" s="439">
        <f t="shared" ref="E73:AN73" si="54">E35-E82</f>
        <v>0</v>
      </c>
      <c r="F73" s="439">
        <f t="shared" si="54"/>
        <v>0</v>
      </c>
      <c r="G73" s="439">
        <f t="shared" si="54"/>
        <v>0</v>
      </c>
      <c r="H73" s="439">
        <f t="shared" si="54"/>
        <v>-725938.47152808565</v>
      </c>
      <c r="I73" s="439">
        <f t="shared" si="54"/>
        <v>-725938.47152808565</v>
      </c>
      <c r="J73" s="439">
        <f t="shared" si="54"/>
        <v>-725938.47152808565</v>
      </c>
      <c r="K73" s="439">
        <f t="shared" si="54"/>
        <v>-725938.47152808565</v>
      </c>
      <c r="L73" s="439">
        <f t="shared" si="54"/>
        <v>-725938.47152808565</v>
      </c>
      <c r="M73" s="439">
        <f t="shared" si="54"/>
        <v>-725938.47152808565</v>
      </c>
      <c r="N73" s="439">
        <f t="shared" si="54"/>
        <v>-725938.47152808565</v>
      </c>
      <c r="O73" s="439">
        <f t="shared" si="54"/>
        <v>-725938.47152808565</v>
      </c>
      <c r="P73" s="439">
        <f t="shared" si="54"/>
        <v>-725938.47152808565</v>
      </c>
      <c r="Q73" s="439">
        <f t="shared" si="54"/>
        <v>-725938.47152808565</v>
      </c>
      <c r="R73" s="439">
        <f t="shared" si="54"/>
        <v>-725938.47152808565</v>
      </c>
      <c r="S73" s="439">
        <f t="shared" si="54"/>
        <v>-725938.47152808565</v>
      </c>
      <c r="T73" s="439">
        <f t="shared" si="54"/>
        <v>-725938.47152808565</v>
      </c>
      <c r="U73" s="439">
        <f t="shared" si="54"/>
        <v>-725938.47152808565</v>
      </c>
      <c r="V73" s="439">
        <f t="shared" si="54"/>
        <v>-725938.47152808565</v>
      </c>
      <c r="W73" s="439">
        <f t="shared" si="54"/>
        <v>-725938.47152808565</v>
      </c>
      <c r="X73" s="439">
        <f t="shared" si="54"/>
        <v>-725938.47152808565</v>
      </c>
      <c r="Y73" s="439">
        <f t="shared" si="54"/>
        <v>-725938.47152808565</v>
      </c>
      <c r="Z73" s="439">
        <f t="shared" si="54"/>
        <v>-725938.47152808565</v>
      </c>
      <c r="AA73" s="439">
        <f t="shared" si="54"/>
        <v>-725938.47152808565</v>
      </c>
      <c r="AB73" s="439">
        <f t="shared" si="54"/>
        <v>-725938.47152808565</v>
      </c>
      <c r="AC73" s="439">
        <f t="shared" si="54"/>
        <v>-725938.47152808565</v>
      </c>
      <c r="AD73" s="439">
        <f t="shared" si="54"/>
        <v>-725938.47152808565</v>
      </c>
      <c r="AE73" s="439">
        <f t="shared" si="54"/>
        <v>-725938.47152808565</v>
      </c>
      <c r="AF73" s="439">
        <f t="shared" si="54"/>
        <v>-725938.47152808565</v>
      </c>
      <c r="AG73" s="439">
        <f t="shared" si="54"/>
        <v>-725938.47152808565</v>
      </c>
      <c r="AH73" s="439">
        <f t="shared" si="54"/>
        <v>-725938.47152808565</v>
      </c>
      <c r="AI73" s="439">
        <f t="shared" si="54"/>
        <v>-725938.47152808565</v>
      </c>
      <c r="AJ73" s="439">
        <f t="shared" si="54"/>
        <v>-725938.47152808565</v>
      </c>
      <c r="AK73" s="439">
        <f t="shared" si="54"/>
        <v>-725938.47152808565</v>
      </c>
      <c r="AL73" s="439">
        <f t="shared" si="54"/>
        <v>-725938.47152808565</v>
      </c>
      <c r="AM73" s="439">
        <f t="shared" si="54"/>
        <v>-725938.47152808565</v>
      </c>
      <c r="AN73" s="439">
        <f t="shared" si="54"/>
        <v>-725938.47152808565</v>
      </c>
    </row>
    <row r="74" spans="2:40" ht="15" thickBot="1">
      <c r="C74" s="298" t="s">
        <v>196</v>
      </c>
      <c r="D74" s="441"/>
      <c r="E74" s="441">
        <f>E73+E72+E71+E64+E63</f>
        <v>0</v>
      </c>
      <c r="F74" s="441">
        <f t="shared" ref="F74:J74" si="55">F73+F72+F71+F64+F63</f>
        <v>-3088662.1056374651</v>
      </c>
      <c r="G74" s="441">
        <f t="shared" si="55"/>
        <v>-2710765.8260971168</v>
      </c>
      <c r="H74" s="441">
        <f t="shared" si="55"/>
        <v>985732.84552896954</v>
      </c>
      <c r="I74" s="441">
        <f t="shared" si="55"/>
        <v>894265.23159669712</v>
      </c>
      <c r="J74" s="441">
        <f t="shared" si="55"/>
        <v>890909.6304433695</v>
      </c>
      <c r="K74" s="441">
        <f t="shared" ref="K74:AN74" ca="1" si="56">K73+K72+K71+K64+K63</f>
        <v>667557.0105251621</v>
      </c>
      <c r="L74" s="441">
        <f t="shared" ca="1" si="56"/>
        <v>665668.38657723414</v>
      </c>
      <c r="M74" s="441">
        <f t="shared" ca="1" si="56"/>
        <v>701986.11288375687</v>
      </c>
      <c r="N74" s="441">
        <f t="shared" ca="1" si="56"/>
        <v>724234.0657930458</v>
      </c>
      <c r="O74" s="441">
        <f t="shared" ca="1" si="56"/>
        <v>743126.41754900711</v>
      </c>
      <c r="P74" s="441">
        <f t="shared" ca="1" si="56"/>
        <v>758663.16815164057</v>
      </c>
      <c r="Q74" s="441">
        <f t="shared" ca="1" si="56"/>
        <v>760130.14535704046</v>
      </c>
      <c r="R74" s="441">
        <f t="shared" ca="1" si="56"/>
        <v>795273.04948355805</v>
      </c>
      <c r="S74" s="441">
        <f t="shared" ca="1" si="56"/>
        <v>815340.22341952438</v>
      </c>
      <c r="T74" s="441">
        <f t="shared" ca="1" si="56"/>
        <v>837588.17632881342</v>
      </c>
      <c r="U74" s="441">
        <f t="shared" ca="1" si="56"/>
        <v>856480.5280847745</v>
      </c>
      <c r="V74" s="441">
        <f t="shared" ca="1" si="56"/>
        <v>838327.61054870416</v>
      </c>
      <c r="W74" s="441">
        <f t="shared" ca="1" si="56"/>
        <v>894265.23159669712</v>
      </c>
      <c r="X74" s="441">
        <f t="shared" ca="1" si="56"/>
        <v>894265.23159669712</v>
      </c>
      <c r="Y74" s="441">
        <f t="shared" ca="1" si="56"/>
        <v>890909.63044336939</v>
      </c>
      <c r="Z74" s="441">
        <f t="shared" ca="1" si="56"/>
        <v>894265.23159669712</v>
      </c>
      <c r="AA74" s="441">
        <f t="shared" ca="1" si="56"/>
        <v>873484.25589280785</v>
      </c>
      <c r="AB74" s="441">
        <f t="shared" ca="1" si="56"/>
        <v>886379.20711003663</v>
      </c>
      <c r="AC74" s="441">
        <f t="shared" ca="1" si="56"/>
        <v>894265.23159669712</v>
      </c>
      <c r="AD74" s="441">
        <f t="shared" ca="1" si="56"/>
        <v>894265.23159669712</v>
      </c>
      <c r="AE74" s="441">
        <f t="shared" ca="1" si="56"/>
        <v>890909.63044336939</v>
      </c>
      <c r="AF74" s="441">
        <f t="shared" ca="1" si="56"/>
        <v>873484.25589280785</v>
      </c>
      <c r="AG74" s="441">
        <f t="shared" ca="1" si="56"/>
        <v>894265.23159669712</v>
      </c>
      <c r="AH74" s="441">
        <f t="shared" ca="1" si="56"/>
        <v>890909.63044336939</v>
      </c>
      <c r="AI74" s="441">
        <f t="shared" ca="1" si="56"/>
        <v>894265.23159669712</v>
      </c>
      <c r="AJ74" s="441">
        <f t="shared" ca="1" si="56"/>
        <v>894265.23159669712</v>
      </c>
      <c r="AK74" s="441">
        <f t="shared" ca="1" si="56"/>
        <v>857219.96230466536</v>
      </c>
      <c r="AL74" s="441">
        <f t="shared" ca="1" si="56"/>
        <v>889734.80826336425</v>
      </c>
      <c r="AM74" s="441">
        <f t="shared" ca="1" si="56"/>
        <v>894265.23159669712</v>
      </c>
      <c r="AN74" s="441">
        <f t="shared" ca="1" si="56"/>
        <v>890909.63044336927</v>
      </c>
    </row>
    <row r="75" spans="2:40" ht="15" thickBot="1">
      <c r="I75" s="374"/>
      <c r="J75" s="315"/>
      <c r="K75" s="374"/>
    </row>
    <row r="76" spans="2:40" ht="15" thickBot="1">
      <c r="C76" s="299" t="s">
        <v>197</v>
      </c>
      <c r="D76" s="441"/>
      <c r="E76" s="441">
        <f>E74</f>
        <v>0</v>
      </c>
      <c r="F76" s="441">
        <f>F74</f>
        <v>-3088662.1056374651</v>
      </c>
      <c r="G76" s="441">
        <f t="shared" ref="G76:J76" si="57">G74</f>
        <v>-2710765.8260971168</v>
      </c>
      <c r="H76" s="441">
        <f t="shared" si="57"/>
        <v>985732.84552896954</v>
      </c>
      <c r="I76" s="441">
        <f t="shared" si="57"/>
        <v>894265.23159669712</v>
      </c>
      <c r="J76" s="441">
        <f t="shared" si="57"/>
        <v>890909.6304433695</v>
      </c>
      <c r="K76" s="441">
        <f t="shared" ref="K76:AN76" ca="1" si="58">K74</f>
        <v>667557.0105251621</v>
      </c>
      <c r="L76" s="441">
        <f t="shared" ca="1" si="58"/>
        <v>665668.38657723414</v>
      </c>
      <c r="M76" s="441">
        <f t="shared" ca="1" si="58"/>
        <v>701986.11288375687</v>
      </c>
      <c r="N76" s="441">
        <f t="shared" ca="1" si="58"/>
        <v>724234.0657930458</v>
      </c>
      <c r="O76" s="441">
        <f t="shared" ca="1" si="58"/>
        <v>743126.41754900711</v>
      </c>
      <c r="P76" s="441">
        <f t="shared" ca="1" si="58"/>
        <v>758663.16815164057</v>
      </c>
      <c r="Q76" s="441">
        <f t="shared" ca="1" si="58"/>
        <v>760130.14535704046</v>
      </c>
      <c r="R76" s="441">
        <f t="shared" ca="1" si="58"/>
        <v>795273.04948355805</v>
      </c>
      <c r="S76" s="441">
        <f t="shared" ca="1" si="58"/>
        <v>815340.22341952438</v>
      </c>
      <c r="T76" s="441">
        <f t="shared" ca="1" si="58"/>
        <v>837588.17632881342</v>
      </c>
      <c r="U76" s="441">
        <f t="shared" ca="1" si="58"/>
        <v>856480.5280847745</v>
      </c>
      <c r="V76" s="441">
        <f t="shared" ca="1" si="58"/>
        <v>838327.61054870416</v>
      </c>
      <c r="W76" s="441">
        <f t="shared" ca="1" si="58"/>
        <v>894265.23159669712</v>
      </c>
      <c r="X76" s="441">
        <f t="shared" ca="1" si="58"/>
        <v>894265.23159669712</v>
      </c>
      <c r="Y76" s="441">
        <f t="shared" ca="1" si="58"/>
        <v>890909.63044336939</v>
      </c>
      <c r="Z76" s="441">
        <f t="shared" ca="1" si="58"/>
        <v>894265.23159669712</v>
      </c>
      <c r="AA76" s="441">
        <f t="shared" ca="1" si="58"/>
        <v>873484.25589280785</v>
      </c>
      <c r="AB76" s="441">
        <f t="shared" ca="1" si="58"/>
        <v>886379.20711003663</v>
      </c>
      <c r="AC76" s="441">
        <f t="shared" ca="1" si="58"/>
        <v>894265.23159669712</v>
      </c>
      <c r="AD76" s="441">
        <f t="shared" ca="1" si="58"/>
        <v>894265.23159669712</v>
      </c>
      <c r="AE76" s="441">
        <f t="shared" ca="1" si="58"/>
        <v>890909.63044336939</v>
      </c>
      <c r="AF76" s="441">
        <f t="shared" ca="1" si="58"/>
        <v>873484.25589280785</v>
      </c>
      <c r="AG76" s="441">
        <f t="shared" ca="1" si="58"/>
        <v>894265.23159669712</v>
      </c>
      <c r="AH76" s="441">
        <f t="shared" ca="1" si="58"/>
        <v>890909.63044336939</v>
      </c>
      <c r="AI76" s="441">
        <f t="shared" ca="1" si="58"/>
        <v>894265.23159669712</v>
      </c>
      <c r="AJ76" s="441">
        <f t="shared" ca="1" si="58"/>
        <v>894265.23159669712</v>
      </c>
      <c r="AK76" s="441">
        <f t="shared" ca="1" si="58"/>
        <v>857219.96230466536</v>
      </c>
      <c r="AL76" s="441">
        <f t="shared" ca="1" si="58"/>
        <v>889734.80826336425</v>
      </c>
      <c r="AM76" s="441">
        <f t="shared" ca="1" si="58"/>
        <v>894265.23159669712</v>
      </c>
      <c r="AN76" s="441">
        <f t="shared" ca="1" si="58"/>
        <v>890909.63044336927</v>
      </c>
    </row>
    <row r="77" spans="2:40" ht="15" thickBot="1">
      <c r="C77" s="299" t="s">
        <v>198</v>
      </c>
      <c r="D77" s="441"/>
      <c r="E77" s="441">
        <f>E74</f>
        <v>0</v>
      </c>
      <c r="F77" s="441">
        <f>F74</f>
        <v>-3088662.1056374651</v>
      </c>
      <c r="G77" s="441">
        <f t="shared" ref="G77:J77" si="59">F77+G74</f>
        <v>-5799427.9317345824</v>
      </c>
      <c r="H77" s="441">
        <f t="shared" si="59"/>
        <v>-4813695.0862056129</v>
      </c>
      <c r="I77" s="441">
        <f t="shared" si="59"/>
        <v>-3919429.8546089157</v>
      </c>
      <c r="J77" s="441">
        <f t="shared" si="59"/>
        <v>-3028520.2241655462</v>
      </c>
      <c r="K77" s="441">
        <f t="shared" ref="K77:AN77" ca="1" si="60">J77+K74</f>
        <v>-2360963.2136403844</v>
      </c>
      <c r="L77" s="441">
        <f t="shared" ca="1" si="60"/>
        <v>-1695294.8270631502</v>
      </c>
      <c r="M77" s="441">
        <f t="shared" ca="1" si="60"/>
        <v>-993308.71417939337</v>
      </c>
      <c r="N77" s="441">
        <f t="shared" ca="1" si="60"/>
        <v>-269074.64838634757</v>
      </c>
      <c r="O77" s="441">
        <f t="shared" ca="1" si="60"/>
        <v>474051.76916265953</v>
      </c>
      <c r="P77" s="441">
        <f t="shared" ca="1" si="60"/>
        <v>1232714.9373143001</v>
      </c>
      <c r="Q77" s="441">
        <f t="shared" ca="1" si="60"/>
        <v>1992845.0826713406</v>
      </c>
      <c r="R77" s="441">
        <f t="shared" ca="1" si="60"/>
        <v>2788118.1321548987</v>
      </c>
      <c r="S77" s="441">
        <f t="shared" ca="1" si="60"/>
        <v>3603458.355574423</v>
      </c>
      <c r="T77" s="441">
        <f t="shared" ca="1" si="60"/>
        <v>4441046.5319032362</v>
      </c>
      <c r="U77" s="441">
        <f t="shared" ca="1" si="60"/>
        <v>5297527.0599880107</v>
      </c>
      <c r="V77" s="441">
        <f t="shared" ca="1" si="60"/>
        <v>6135854.6705367146</v>
      </c>
      <c r="W77" s="441">
        <f t="shared" ca="1" si="60"/>
        <v>7030119.9021334117</v>
      </c>
      <c r="X77" s="441">
        <f t="shared" ca="1" si="60"/>
        <v>7924385.1337301088</v>
      </c>
      <c r="Y77" s="441">
        <f t="shared" ca="1" si="60"/>
        <v>8815294.7641734779</v>
      </c>
      <c r="Z77" s="441">
        <f t="shared" ca="1" si="60"/>
        <v>9709559.995770175</v>
      </c>
      <c r="AA77" s="441">
        <f t="shared" ca="1" si="60"/>
        <v>10583044.251662983</v>
      </c>
      <c r="AB77" s="441">
        <f t="shared" ca="1" si="60"/>
        <v>11469423.458773019</v>
      </c>
      <c r="AC77" s="441">
        <f t="shared" ca="1" si="60"/>
        <v>12363688.690369716</v>
      </c>
      <c r="AD77" s="441">
        <f t="shared" ca="1" si="60"/>
        <v>13257953.921966413</v>
      </c>
      <c r="AE77" s="441">
        <f t="shared" ca="1" si="60"/>
        <v>14148863.552409783</v>
      </c>
      <c r="AF77" s="441">
        <f t="shared" ca="1" si="60"/>
        <v>15022347.808302591</v>
      </c>
      <c r="AG77" s="441">
        <f t="shared" ca="1" si="60"/>
        <v>15916613.039899288</v>
      </c>
      <c r="AH77" s="441">
        <f t="shared" ca="1" si="60"/>
        <v>16807522.670342658</v>
      </c>
      <c r="AI77" s="441">
        <f t="shared" ca="1" si="60"/>
        <v>17701787.901939355</v>
      </c>
      <c r="AJ77" s="441">
        <f t="shared" ca="1" si="60"/>
        <v>18596053.133536052</v>
      </c>
      <c r="AK77" s="441">
        <f t="shared" ca="1" si="60"/>
        <v>19453273.095840719</v>
      </c>
      <c r="AL77" s="441">
        <f t="shared" ca="1" si="60"/>
        <v>20343007.904104084</v>
      </c>
      <c r="AM77" s="441">
        <f t="shared" ca="1" si="60"/>
        <v>21237273.135700781</v>
      </c>
      <c r="AN77" s="441">
        <f t="shared" ca="1" si="60"/>
        <v>22128182.766144149</v>
      </c>
    </row>
    <row r="79" spans="2:40">
      <c r="H79" s="315"/>
      <c r="I79" s="315"/>
      <c r="J79" s="315"/>
      <c r="K79" s="315"/>
    </row>
    <row r="80" spans="2:40">
      <c r="C80" s="447" t="s">
        <v>170</v>
      </c>
      <c r="D80" s="332"/>
      <c r="E80" s="443"/>
      <c r="F80" s="443"/>
      <c r="G80" s="443"/>
      <c r="H80" s="443"/>
      <c r="I80" s="443"/>
      <c r="J80" s="443"/>
      <c r="K80" s="443"/>
      <c r="L80" s="443"/>
      <c r="M80" s="443"/>
      <c r="N80" s="443"/>
      <c r="O80" s="443"/>
      <c r="P80" s="443"/>
      <c r="Q80" s="443"/>
      <c r="R80" s="443"/>
      <c r="S80" s="443"/>
      <c r="T80" s="443"/>
      <c r="U80" s="443"/>
      <c r="V80" s="443"/>
      <c r="W80" s="443"/>
      <c r="X80" s="443"/>
      <c r="Y80" s="443"/>
      <c r="Z80" s="443"/>
      <c r="AA80" s="443"/>
      <c r="AB80" s="443"/>
      <c r="AC80" s="443"/>
      <c r="AD80" s="443"/>
      <c r="AE80" s="443"/>
      <c r="AF80" s="443"/>
      <c r="AG80" s="443"/>
      <c r="AH80" s="443"/>
      <c r="AI80" s="443"/>
      <c r="AJ80" s="443"/>
      <c r="AK80" s="443"/>
      <c r="AL80" s="443"/>
      <c r="AM80" s="443"/>
      <c r="AN80" s="443"/>
    </row>
    <row r="81" spans="3:40">
      <c r="C81" s="332" t="s">
        <v>199</v>
      </c>
      <c r="D81" s="333"/>
      <c r="E81" s="444">
        <f>E71</f>
        <v>0</v>
      </c>
      <c r="F81" s="444">
        <f t="shared" ref="F81:AN81" si="61">F71</f>
        <v>-70.067251252144501</v>
      </c>
      <c r="G81" s="444">
        <f t="shared" si="61"/>
        <v>-879.10558005214443</v>
      </c>
      <c r="H81" s="444">
        <f t="shared" si="61"/>
        <v>255787.65294420504</v>
      </c>
      <c r="I81" s="444">
        <f t="shared" si="61"/>
        <v>250973.5680004012</v>
      </c>
      <c r="J81" s="444">
        <f t="shared" si="61"/>
        <v>250796.95741338399</v>
      </c>
      <c r="K81" s="444">
        <f t="shared" si="61"/>
        <v>250973.5680004012</v>
      </c>
      <c r="L81" s="444">
        <f t="shared" si="61"/>
        <v>249879.8324370386</v>
      </c>
      <c r="M81" s="444">
        <f t="shared" si="61"/>
        <v>250796.95741338399</v>
      </c>
      <c r="N81" s="444">
        <f t="shared" si="61"/>
        <v>250973.5680004012</v>
      </c>
      <c r="O81" s="444">
        <f t="shared" si="61"/>
        <v>250973.5680004012</v>
      </c>
      <c r="P81" s="444">
        <f t="shared" si="61"/>
        <v>250796.95741338399</v>
      </c>
      <c r="Q81" s="444">
        <f t="shared" si="61"/>
        <v>249879.8324370386</v>
      </c>
      <c r="R81" s="444">
        <f t="shared" si="61"/>
        <v>250735.1246670679</v>
      </c>
      <c r="S81" s="444">
        <f t="shared" si="61"/>
        <v>250796.95741338399</v>
      </c>
      <c r="T81" s="444">
        <f t="shared" si="61"/>
        <v>250973.5680004012</v>
      </c>
      <c r="U81" s="444">
        <f t="shared" si="61"/>
        <v>250973.5680004012</v>
      </c>
      <c r="V81" s="444">
        <f t="shared" si="61"/>
        <v>249023.81698503112</v>
      </c>
      <c r="W81" s="444">
        <f t="shared" si="61"/>
        <v>250973.5680004012</v>
      </c>
      <c r="X81" s="444">
        <f t="shared" si="61"/>
        <v>250973.5680004012</v>
      </c>
      <c r="Y81" s="444">
        <f t="shared" si="61"/>
        <v>250796.95741338399</v>
      </c>
      <c r="Z81" s="444">
        <f t="shared" si="61"/>
        <v>250973.5680004012</v>
      </c>
      <c r="AA81" s="444">
        <f t="shared" si="61"/>
        <v>249879.8324370386</v>
      </c>
      <c r="AB81" s="444">
        <f t="shared" si="61"/>
        <v>250558.51408005069</v>
      </c>
      <c r="AC81" s="444">
        <f t="shared" si="61"/>
        <v>250973.5680004012</v>
      </c>
      <c r="AD81" s="444">
        <f t="shared" si="61"/>
        <v>250973.5680004012</v>
      </c>
      <c r="AE81" s="444">
        <f t="shared" si="61"/>
        <v>250796.95741338399</v>
      </c>
      <c r="AF81" s="444">
        <f t="shared" si="61"/>
        <v>249879.8324370386</v>
      </c>
      <c r="AG81" s="444">
        <f t="shared" si="61"/>
        <v>250973.5680004012</v>
      </c>
      <c r="AH81" s="444">
        <f t="shared" si="61"/>
        <v>250796.95741338399</v>
      </c>
      <c r="AI81" s="444">
        <f t="shared" si="61"/>
        <v>250973.5680004012</v>
      </c>
      <c r="AJ81" s="444">
        <f t="shared" si="61"/>
        <v>250973.5680004012</v>
      </c>
      <c r="AK81" s="444">
        <f t="shared" si="61"/>
        <v>249023.81698503112</v>
      </c>
      <c r="AL81" s="444">
        <f t="shared" si="61"/>
        <v>250735.1246670679</v>
      </c>
      <c r="AM81" s="444">
        <f t="shared" si="61"/>
        <v>250973.5680004012</v>
      </c>
      <c r="AN81" s="444">
        <f t="shared" si="61"/>
        <v>250796.95741338399</v>
      </c>
    </row>
    <row r="82" spans="3:40">
      <c r="C82" s="332" t="s">
        <v>200</v>
      </c>
      <c r="D82" s="333"/>
      <c r="E82" s="444">
        <v>0</v>
      </c>
      <c r="F82" s="444">
        <v>0</v>
      </c>
      <c r="G82" s="444">
        <v>0</v>
      </c>
      <c r="H82" s="444">
        <v>0</v>
      </c>
      <c r="I82" s="444">
        <v>0</v>
      </c>
      <c r="J82" s="444">
        <v>0</v>
      </c>
      <c r="K82" s="444">
        <v>0</v>
      </c>
      <c r="L82" s="444">
        <v>0</v>
      </c>
      <c r="M82" s="444">
        <v>0</v>
      </c>
      <c r="N82" s="444">
        <v>0</v>
      </c>
      <c r="O82" s="444">
        <v>0</v>
      </c>
      <c r="P82" s="444">
        <v>0</v>
      </c>
      <c r="Q82" s="444">
        <v>0</v>
      </c>
      <c r="R82" s="444">
        <v>0</v>
      </c>
      <c r="S82" s="444">
        <v>0</v>
      </c>
      <c r="T82" s="444">
        <v>0</v>
      </c>
      <c r="U82" s="444">
        <v>0</v>
      </c>
      <c r="V82" s="444">
        <v>0</v>
      </c>
      <c r="W82" s="444">
        <v>0</v>
      </c>
      <c r="X82" s="444">
        <v>0</v>
      </c>
      <c r="Y82" s="444">
        <v>0</v>
      </c>
      <c r="Z82" s="444">
        <v>0</v>
      </c>
      <c r="AA82" s="444">
        <v>0</v>
      </c>
      <c r="AB82" s="444">
        <v>0</v>
      </c>
      <c r="AC82" s="444">
        <v>0</v>
      </c>
      <c r="AD82" s="444">
        <v>0</v>
      </c>
      <c r="AE82" s="444">
        <v>0</v>
      </c>
      <c r="AF82" s="444">
        <v>0</v>
      </c>
      <c r="AG82" s="444">
        <v>0</v>
      </c>
      <c r="AH82" s="444">
        <v>0</v>
      </c>
      <c r="AI82" s="444">
        <v>0</v>
      </c>
      <c r="AJ82" s="444">
        <v>0</v>
      </c>
      <c r="AK82" s="444">
        <v>0</v>
      </c>
      <c r="AL82" s="444">
        <v>0</v>
      </c>
      <c r="AM82" s="444">
        <v>0</v>
      </c>
      <c r="AN82" s="444">
        <v>0</v>
      </c>
    </row>
    <row r="83" spans="3:40">
      <c r="C83" s="332"/>
      <c r="D83" s="333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  <c r="R83" s="444"/>
      <c r="S83" s="444"/>
      <c r="T83" s="444"/>
      <c r="U83" s="444"/>
      <c r="V83" s="444"/>
      <c r="W83" s="444"/>
      <c r="X83" s="444"/>
      <c r="Y83" s="444"/>
      <c r="Z83" s="444"/>
      <c r="AA83" s="444"/>
      <c r="AB83" s="444"/>
      <c r="AC83" s="444"/>
      <c r="AD83" s="444"/>
      <c r="AE83" s="444"/>
      <c r="AF83" s="444"/>
      <c r="AG83" s="444"/>
      <c r="AH83" s="444"/>
      <c r="AI83" s="444"/>
      <c r="AJ83" s="444"/>
      <c r="AK83" s="444"/>
      <c r="AL83" s="444"/>
      <c r="AM83" s="444"/>
      <c r="AN83" s="444"/>
    </row>
    <row r="84" spans="3:40">
      <c r="C84" s="332" t="s">
        <v>201</v>
      </c>
      <c r="D84" s="333"/>
      <c r="E84" s="444">
        <f>E5</f>
        <v>0</v>
      </c>
      <c r="F84" s="444">
        <f>F5-1</f>
        <v>0</v>
      </c>
      <c r="G84" s="444">
        <f>G5-1</f>
        <v>1</v>
      </c>
      <c r="H84" s="444">
        <f t="shared" ref="H84:AN84" si="62">H5-1</f>
        <v>2</v>
      </c>
      <c r="I84" s="444">
        <f t="shared" si="62"/>
        <v>3</v>
      </c>
      <c r="J84" s="444">
        <f t="shared" si="62"/>
        <v>4</v>
      </c>
      <c r="K84" s="444">
        <f t="shared" si="62"/>
        <v>5</v>
      </c>
      <c r="L84" s="444">
        <f t="shared" si="62"/>
        <v>6</v>
      </c>
      <c r="M84" s="444">
        <f t="shared" si="62"/>
        <v>7</v>
      </c>
      <c r="N84" s="444">
        <f t="shared" si="62"/>
        <v>8</v>
      </c>
      <c r="O84" s="444">
        <f t="shared" si="62"/>
        <v>9</v>
      </c>
      <c r="P84" s="444">
        <f t="shared" si="62"/>
        <v>10</v>
      </c>
      <c r="Q84" s="444">
        <f t="shared" si="62"/>
        <v>11</v>
      </c>
      <c r="R84" s="444">
        <f t="shared" si="62"/>
        <v>12</v>
      </c>
      <c r="S84" s="444">
        <f t="shared" si="62"/>
        <v>13</v>
      </c>
      <c r="T84" s="444">
        <f t="shared" si="62"/>
        <v>14</v>
      </c>
      <c r="U84" s="444">
        <f t="shared" si="62"/>
        <v>15</v>
      </c>
      <c r="V84" s="444">
        <f t="shared" si="62"/>
        <v>16</v>
      </c>
      <c r="W84" s="444">
        <f t="shared" si="62"/>
        <v>17</v>
      </c>
      <c r="X84" s="444">
        <f t="shared" si="62"/>
        <v>18</v>
      </c>
      <c r="Y84" s="444">
        <f t="shared" si="62"/>
        <v>19</v>
      </c>
      <c r="Z84" s="444">
        <f t="shared" si="62"/>
        <v>20</v>
      </c>
      <c r="AA84" s="444">
        <f t="shared" si="62"/>
        <v>21</v>
      </c>
      <c r="AB84" s="444">
        <f t="shared" si="62"/>
        <v>22</v>
      </c>
      <c r="AC84" s="444">
        <f t="shared" si="62"/>
        <v>23</v>
      </c>
      <c r="AD84" s="444">
        <f t="shared" si="62"/>
        <v>24</v>
      </c>
      <c r="AE84" s="444">
        <f t="shared" si="62"/>
        <v>25</v>
      </c>
      <c r="AF84" s="444">
        <f t="shared" si="62"/>
        <v>26</v>
      </c>
      <c r="AG84" s="444">
        <f t="shared" si="62"/>
        <v>27</v>
      </c>
      <c r="AH84" s="444">
        <f t="shared" si="62"/>
        <v>28</v>
      </c>
      <c r="AI84" s="444">
        <f t="shared" si="62"/>
        <v>29</v>
      </c>
      <c r="AJ84" s="444">
        <f t="shared" si="62"/>
        <v>30</v>
      </c>
      <c r="AK84" s="444">
        <f t="shared" si="62"/>
        <v>31</v>
      </c>
      <c r="AL84" s="444">
        <f t="shared" si="62"/>
        <v>32</v>
      </c>
      <c r="AM84" s="444">
        <f t="shared" si="62"/>
        <v>33</v>
      </c>
      <c r="AN84" s="444">
        <f t="shared" si="62"/>
        <v>34</v>
      </c>
    </row>
    <row r="85" spans="3:40">
      <c r="C85" s="332" t="s">
        <v>202</v>
      </c>
      <c r="D85" s="333"/>
      <c r="E85" s="683">
        <f>1/(1+WACC!$E$21)^E84</f>
        <v>1</v>
      </c>
      <c r="F85" s="683">
        <f>1/((1+WACC!$E$21)^F84)</f>
        <v>1</v>
      </c>
      <c r="G85" s="683">
        <f>1/((1+WACC!$E$21)^G84)</f>
        <v>0.88513708809900338</v>
      </c>
      <c r="H85" s="683">
        <f>1/((1+WACC!$E$21)^H84)</f>
        <v>0.78346766472838281</v>
      </c>
      <c r="I85" s="683">
        <f>1/((1+WACC!$E$21)^I84)</f>
        <v>0.69347628737740707</v>
      </c>
      <c r="J85" s="683">
        <f>1/((1+WACC!$E$21)^J84)</f>
        <v>0.6138215816749456</v>
      </c>
      <c r="K85" s="683">
        <f>1/((1+WACC!$E$21)^K84)</f>
        <v>0.54331624741608586</v>
      </c>
      <c r="L85" s="683">
        <f>1/((1+WACC!$E$21)^L84)</f>
        <v>0.48090936115475191</v>
      </c>
      <c r="M85" s="683">
        <f>1/((1+WACC!$E$21)^M84)</f>
        <v>0.42567071157206909</v>
      </c>
      <c r="N85" s="683">
        <f>1/((1+WACC!$E$21)^N84)</f>
        <v>0.37677693412993196</v>
      </c>
      <c r="O85" s="683">
        <f>1/((1+WACC!$E$21)^O84)</f>
        <v>0.33349923833863798</v>
      </c>
      <c r="P85" s="683">
        <f>1/((1+WACC!$E$21)^P84)</f>
        <v>0.29519254470629752</v>
      </c>
      <c r="Q85" s="683">
        <f>1/((1+WACC!$E$21)^Q84)</f>
        <v>0.26128586944986709</v>
      </c>
      <c r="R85" s="683">
        <f>1/((1+WACC!$E$21)^R84)</f>
        <v>0.23127381364627164</v>
      </c>
      <c r="S85" s="683">
        <f>1/((1+WACC!$E$21)^S84)</f>
        <v>0.20470902996441245</v>
      </c>
      <c r="T85" s="683">
        <f>1/((1+WACC!$E$21)^T84)</f>
        <v>0.18119555469027163</v>
      </c>
      <c r="U85" s="683">
        <f>1/((1+WACC!$E$21)^U84)</f>
        <v>0.16038290565503074</v>
      </c>
      <c r="V85" s="683">
        <f>1/((1+WACC!$E$21)^V84)</f>
        <v>0.14196085809235112</v>
      </c>
      <c r="W85" s="683">
        <f>1/((1+WACC!$E$21)^W84)</f>
        <v>0.12565482055589949</v>
      </c>
      <c r="X85" s="683">
        <f>1/((1+WACC!$E$21)^X84)</f>
        <v>0.11122174197245166</v>
      </c>
      <c r="Y85" s="683">
        <f>1/((1+WACC!$E$21)^Y84)</f>
        <v>9.8446488822794581E-2</v>
      </c>
      <c r="Z85" s="683">
        <f>1/((1+WACC!$E$21)^Z84)</f>
        <v>8.7138638450179468E-2</v>
      </c>
      <c r="AA85" s="683">
        <f>1/((1+WACC!$E$21)^AA84)</f>
        <v>7.7129640698703705E-2</v>
      </c>
      <c r="AB85" s="683">
        <f>1/((1+WACC!$E$21)^AB84)</f>
        <v>6.8270305574172963E-2</v>
      </c>
      <c r="AC85" s="683">
        <f>1/((1+WACC!$E$21)^AC84)</f>
        <v>6.0428579479552616E-2</v>
      </c>
      <c r="AD85" s="683">
        <f>1/((1+WACC!$E$21)^AD84)</f>
        <v>5.34875768784904E-2</v>
      </c>
      <c r="AE85" s="683">
        <f>1/((1+WACC!$E$21)^AE84)</f>
        <v>4.7343838047698567E-2</v>
      </c>
      <c r="AF85" s="683">
        <f>1/((1+WACC!$E$21)^AF84)</f>
        <v>4.1905786948970715E-2</v>
      </c>
      <c r="AG85" s="683">
        <f>1/((1+WACC!$E$21)^AG84)</f>
        <v>3.7092366234509157E-2</v>
      </c>
      <c r="AH85" s="683">
        <f>1/((1+WACC!$E$21)^AH84)</f>
        <v>3.2831829039515224E-2</v>
      </c>
      <c r="AI85" s="683">
        <f>1/((1+WACC!$E$21)^AI84)</f>
        <v>2.9060669553000809E-2</v>
      </c>
      <c r="AJ85" s="683">
        <f>1/((1+WACC!$E$21)^AJ84)</f>
        <v>2.5722676426350493E-2</v>
      </c>
      <c r="AK85" s="683">
        <f>1/((1+WACC!$E$21)^AK84)</f>
        <v>2.2768094910132756E-2</v>
      </c>
      <c r="AL85" s="683">
        <f>1/((1+WACC!$E$21)^AL84)</f>
        <v>2.015288523031665E-2</v>
      </c>
      <c r="AM85" s="683">
        <f>1/((1+WACC!$E$21)^AM84)</f>
        <v>1.7838066149555892E-2</v>
      </c>
      <c r="AN85" s="683">
        <f>1/((1+WACC!$E$21)^AN84)</f>
        <v>1.5789133928935304E-2</v>
      </c>
    </row>
    <row r="86" spans="3:40">
      <c r="C86" s="332" t="s">
        <v>203</v>
      </c>
      <c r="D86" s="333"/>
      <c r="E86" s="444">
        <f>E74*E85</f>
        <v>0</v>
      </c>
      <c r="F86" s="444">
        <f t="shared" ref="F86:J86" si="63">F74*F85</f>
        <v>-3088662.1056374651</v>
      </c>
      <c r="G86" s="444">
        <f t="shared" si="63"/>
        <v>-2399399.3698298912</v>
      </c>
      <c r="H86" s="444">
        <f t="shared" si="63"/>
        <v>772289.81053264544</v>
      </c>
      <c r="I86" s="444">
        <f t="shared" si="63"/>
        <v>620151.73273837462</v>
      </c>
      <c r="J86" s="444">
        <f t="shared" si="63"/>
        <v>546859.55848819029</v>
      </c>
      <c r="K86" s="444">
        <f t="shared" ref="K86:AN86" ca="1" si="64">K74*K85</f>
        <v>362694.56989483163</v>
      </c>
      <c r="L86" s="444">
        <f t="shared" ca="1" si="64"/>
        <v>320126.15852977207</v>
      </c>
      <c r="M86" s="444">
        <f t="shared" ca="1" si="64"/>
        <v>298814.92818493961</v>
      </c>
      <c r="N86" s="444">
        <f t="shared" ca="1" si="64"/>
        <v>272874.6909019592</v>
      </c>
      <c r="O86" s="444">
        <f t="shared" ca="1" si="64"/>
        <v>247832.09424191451</v>
      </c>
      <c r="P86" s="444">
        <f t="shared" ca="1" si="64"/>
        <v>223951.71118162447</v>
      </c>
      <c r="Q86" s="444">
        <f t="shared" ca="1" si="64"/>
        <v>198611.26592466817</v>
      </c>
      <c r="R86" s="444">
        <f t="shared" ca="1" si="64"/>
        <v>183925.83104416257</v>
      </c>
      <c r="S86" s="444">
        <f t="shared" ca="1" si="64"/>
        <v>166907.50622717815</v>
      </c>
      <c r="T86" s="444">
        <f t="shared" ca="1" si="64"/>
        <v>151767.2542119124</v>
      </c>
      <c r="U86" s="444">
        <f t="shared" ca="1" si="64"/>
        <v>137364.8357311913</v>
      </c>
      <c r="V86" s="444">
        <f t="shared" ca="1" si="64"/>
        <v>119009.70695600439</v>
      </c>
      <c r="W86" s="444">
        <f t="shared" ca="1" si="64"/>
        <v>112368.73720566288</v>
      </c>
      <c r="X86" s="444">
        <f t="shared" ca="1" si="64"/>
        <v>99461.736843582577</v>
      </c>
      <c r="Y86" s="444">
        <f t="shared" ca="1" si="64"/>
        <v>87706.924975563219</v>
      </c>
      <c r="Z86" s="444">
        <f t="shared" ca="1" si="64"/>
        <v>77925.054694670602</v>
      </c>
      <c r="AA86" s="444">
        <f t="shared" ca="1" si="64"/>
        <v>67371.526812986835</v>
      </c>
      <c r="AB86" s="444">
        <f t="shared" ca="1" si="64"/>
        <v>60513.379323995345</v>
      </c>
      <c r="AC86" s="444">
        <f t="shared" ca="1" si="64"/>
        <v>54039.177623341537</v>
      </c>
      <c r="AD86" s="444">
        <f t="shared" ca="1" si="64"/>
        <v>47832.080324789364</v>
      </c>
      <c r="AE86" s="444">
        <f t="shared" ca="1" si="64"/>
        <v>42179.081258845858</v>
      </c>
      <c r="AF86" s="444">
        <f t="shared" ca="1" si="64"/>
        <v>36604.045130724226</v>
      </c>
      <c r="AG86" s="444">
        <f t="shared" ca="1" si="64"/>
        <v>33170.413481172836</v>
      </c>
      <c r="AH86" s="444">
        <f t="shared" ca="1" si="64"/>
        <v>29250.19267637439</v>
      </c>
      <c r="AI86" s="444">
        <f t="shared" ca="1" si="64"/>
        <v>25987.946388169352</v>
      </c>
      <c r="AJ86" s="444">
        <f t="shared" ca="1" si="64"/>
        <v>23002.895191697226</v>
      </c>
      <c r="AK86" s="444">
        <f t="shared" ca="1" si="64"/>
        <v>19517.265460613045</v>
      </c>
      <c r="AL86" s="444">
        <f t="shared" ca="1" si="64"/>
        <v>17930.723476349369</v>
      </c>
      <c r="AM86" s="444">
        <f t="shared" ca="1" si="64"/>
        <v>15951.962356469803</v>
      </c>
      <c r="AN86" s="444">
        <f t="shared" ca="1" si="64"/>
        <v>14066.691473648614</v>
      </c>
    </row>
    <row r="87" spans="3:40">
      <c r="C87" s="332" t="s">
        <v>204</v>
      </c>
      <c r="D87" s="300"/>
      <c r="E87" s="444"/>
      <c r="F87" s="444">
        <f>F86</f>
        <v>-3088662.1056374651</v>
      </c>
      <c r="G87" s="444">
        <f>F87+G86</f>
        <v>-5488061.4754673559</v>
      </c>
      <c r="H87" s="444">
        <f t="shared" ref="H87:J87" si="65">G87+H86</f>
        <v>-4715771.6649347106</v>
      </c>
      <c r="I87" s="444">
        <f t="shared" si="65"/>
        <v>-4095619.9321963359</v>
      </c>
      <c r="J87" s="444">
        <f t="shared" si="65"/>
        <v>-3548760.3737081457</v>
      </c>
      <c r="K87" s="444">
        <f t="shared" ref="K87:AN87" ca="1" si="66">J87+K86</f>
        <v>-3186065.8038133141</v>
      </c>
      <c r="L87" s="444">
        <f t="shared" ca="1" si="66"/>
        <v>-2865939.6452835421</v>
      </c>
      <c r="M87" s="444">
        <f t="shared" ca="1" si="66"/>
        <v>-2567124.7170986026</v>
      </c>
      <c r="N87" s="444">
        <f t="shared" ca="1" si="66"/>
        <v>-2294250.0261966432</v>
      </c>
      <c r="O87" s="444">
        <f t="shared" ca="1" si="66"/>
        <v>-2046417.9319547287</v>
      </c>
      <c r="P87" s="444">
        <f t="shared" ca="1" si="66"/>
        <v>-1822466.2207731041</v>
      </c>
      <c r="Q87" s="444">
        <f t="shared" ca="1" si="66"/>
        <v>-1623854.9548484359</v>
      </c>
      <c r="R87" s="444">
        <f t="shared" ca="1" si="66"/>
        <v>-1439929.1238042733</v>
      </c>
      <c r="S87" s="444">
        <f t="shared" ca="1" si="66"/>
        <v>-1273021.6175770951</v>
      </c>
      <c r="T87" s="444">
        <f t="shared" ca="1" si="66"/>
        <v>-1121254.3633651827</v>
      </c>
      <c r="U87" s="444">
        <f t="shared" ca="1" si="66"/>
        <v>-983889.52763399133</v>
      </c>
      <c r="V87" s="444">
        <f t="shared" ca="1" si="66"/>
        <v>-864879.82067798695</v>
      </c>
      <c r="W87" s="444">
        <f t="shared" ca="1" si="66"/>
        <v>-752511.08347232407</v>
      </c>
      <c r="X87" s="444">
        <f t="shared" ca="1" si="66"/>
        <v>-653049.34662874148</v>
      </c>
      <c r="Y87" s="444">
        <f t="shared" ca="1" si="66"/>
        <v>-565342.42165317829</v>
      </c>
      <c r="Z87" s="444">
        <f t="shared" ca="1" si="66"/>
        <v>-487417.36695850769</v>
      </c>
      <c r="AA87" s="444">
        <f t="shared" ca="1" si="66"/>
        <v>-420045.84014552087</v>
      </c>
      <c r="AB87" s="444">
        <f t="shared" ca="1" si="66"/>
        <v>-359532.46082152554</v>
      </c>
      <c r="AC87" s="444">
        <f t="shared" ca="1" si="66"/>
        <v>-305493.28319818398</v>
      </c>
      <c r="AD87" s="444">
        <f t="shared" ca="1" si="66"/>
        <v>-257661.20287339462</v>
      </c>
      <c r="AE87" s="444">
        <f t="shared" ca="1" si="66"/>
        <v>-215482.12161454876</v>
      </c>
      <c r="AF87" s="444">
        <f t="shared" ca="1" si="66"/>
        <v>-178878.07648382452</v>
      </c>
      <c r="AG87" s="444">
        <f t="shared" ca="1" si="66"/>
        <v>-145707.66300265168</v>
      </c>
      <c r="AH87" s="444">
        <f t="shared" ca="1" si="66"/>
        <v>-116457.47032627728</v>
      </c>
      <c r="AI87" s="444">
        <f t="shared" ca="1" si="66"/>
        <v>-90469.52393810793</v>
      </c>
      <c r="AJ87" s="444">
        <f t="shared" ca="1" si="66"/>
        <v>-67466.628746410701</v>
      </c>
      <c r="AK87" s="444">
        <f t="shared" ca="1" si="66"/>
        <v>-47949.363285797655</v>
      </c>
      <c r="AL87" s="444">
        <f t="shared" ca="1" si="66"/>
        <v>-30018.639809448287</v>
      </c>
      <c r="AM87" s="444">
        <f t="shared" ca="1" si="66"/>
        <v>-14066.677452978483</v>
      </c>
      <c r="AN87" s="444">
        <f t="shared" ca="1" si="66"/>
        <v>1.4020670130776125E-2</v>
      </c>
    </row>
    <row r="90" spans="3:40">
      <c r="C90" s="301" t="s">
        <v>36</v>
      </c>
      <c r="D90" s="753">
        <f ca="1">SUMPRODUCT(E76:AN76,E85:AN85)</f>
        <v>1.4020670130776125E-2</v>
      </c>
    </row>
    <row r="91" spans="3:40">
      <c r="C91" s="301" t="s">
        <v>33</v>
      </c>
      <c r="D91" s="303">
        <f ca="1">IRR(E76:AN76)</f>
        <v>0.12976849997486162</v>
      </c>
      <c r="E91" s="334" t="str">
        <f ca="1">IF(D91&gt;WACC!E21,"Investir","Não investir")</f>
        <v>Investir</v>
      </c>
    </row>
    <row r="92" spans="3:40">
      <c r="C92" s="301" t="s">
        <v>45</v>
      </c>
      <c r="D92" s="303">
        <f>D28</f>
        <v>0.21687423725008428</v>
      </c>
    </row>
    <row r="93" spans="3:40">
      <c r="C93" s="301" t="s">
        <v>47</v>
      </c>
      <c r="D93" s="303">
        <f ca="1">D37</f>
        <v>5.7289607786354377E-2</v>
      </c>
    </row>
    <row r="94" spans="3:40">
      <c r="C94" s="301" t="s">
        <v>43</v>
      </c>
      <c r="D94" s="754">
        <f ca="1">MIN(E77:AN77)</f>
        <v>-5799427.9317345824</v>
      </c>
    </row>
    <row r="95" spans="3:40">
      <c r="C95" s="301" t="s">
        <v>205</v>
      </c>
      <c r="D95" s="375">
        <f ca="1">MATCH(D94,E77:AN77,0)</f>
        <v>3</v>
      </c>
    </row>
    <row r="96" spans="3:40">
      <c r="C96" s="301" t="s">
        <v>206</v>
      </c>
      <c r="D96" s="376">
        <f ca="1">MATCH(1,F96:AN96,0)</f>
        <v>9</v>
      </c>
      <c r="E96" s="445"/>
      <c r="F96" s="445">
        <f t="shared" ref="F96:AN96" ca="1" si="67">IF(AND(MIN(G77:AN77)&gt;=0,F77&lt;0),1,0)</f>
        <v>0</v>
      </c>
      <c r="G96" s="445">
        <f t="shared" ca="1" si="67"/>
        <v>0</v>
      </c>
      <c r="H96" s="445">
        <f t="shared" ca="1" si="67"/>
        <v>0</v>
      </c>
      <c r="I96" s="445">
        <f t="shared" ca="1" si="67"/>
        <v>0</v>
      </c>
      <c r="J96" s="445">
        <f t="shared" ca="1" si="67"/>
        <v>0</v>
      </c>
      <c r="K96" s="445">
        <f t="shared" ca="1" si="67"/>
        <v>0</v>
      </c>
      <c r="L96" s="445">
        <f t="shared" ca="1" si="67"/>
        <v>0</v>
      </c>
      <c r="M96" s="445">
        <f t="shared" ca="1" si="67"/>
        <v>0</v>
      </c>
      <c r="N96" s="445">
        <f t="shared" ca="1" si="67"/>
        <v>1</v>
      </c>
      <c r="O96" s="445">
        <f t="shared" ca="1" si="67"/>
        <v>0</v>
      </c>
      <c r="P96" s="445">
        <f t="shared" ca="1" si="67"/>
        <v>0</v>
      </c>
      <c r="Q96" s="445">
        <f t="shared" ca="1" si="67"/>
        <v>0</v>
      </c>
      <c r="R96" s="445">
        <f t="shared" ca="1" si="67"/>
        <v>0</v>
      </c>
      <c r="S96" s="445">
        <f t="shared" ca="1" si="67"/>
        <v>0</v>
      </c>
      <c r="T96" s="445">
        <f t="shared" ca="1" si="67"/>
        <v>0</v>
      </c>
      <c r="U96" s="445">
        <f t="shared" ca="1" si="67"/>
        <v>0</v>
      </c>
      <c r="V96" s="445">
        <f t="shared" ca="1" si="67"/>
        <v>0</v>
      </c>
      <c r="W96" s="445">
        <f t="shared" ca="1" si="67"/>
        <v>0</v>
      </c>
      <c r="X96" s="445">
        <f t="shared" ca="1" si="67"/>
        <v>0</v>
      </c>
      <c r="Y96" s="445">
        <f t="shared" ca="1" si="67"/>
        <v>0</v>
      </c>
      <c r="Z96" s="445">
        <f t="shared" ca="1" si="67"/>
        <v>0</v>
      </c>
      <c r="AA96" s="445">
        <f t="shared" ca="1" si="67"/>
        <v>0</v>
      </c>
      <c r="AB96" s="445">
        <f t="shared" ca="1" si="67"/>
        <v>0</v>
      </c>
      <c r="AC96" s="445">
        <f t="shared" ca="1" si="67"/>
        <v>0</v>
      </c>
      <c r="AD96" s="445">
        <f t="shared" ca="1" si="67"/>
        <v>0</v>
      </c>
      <c r="AE96" s="445">
        <f t="shared" ca="1" si="67"/>
        <v>0</v>
      </c>
      <c r="AF96" s="445">
        <f t="shared" ca="1" si="67"/>
        <v>0</v>
      </c>
      <c r="AG96" s="445">
        <f t="shared" ca="1" si="67"/>
        <v>0</v>
      </c>
      <c r="AH96" s="445">
        <f t="shared" ca="1" si="67"/>
        <v>0</v>
      </c>
      <c r="AI96" s="445">
        <f t="shared" ca="1" si="67"/>
        <v>0</v>
      </c>
      <c r="AJ96" s="445">
        <f t="shared" ca="1" si="67"/>
        <v>0</v>
      </c>
      <c r="AK96" s="445">
        <f t="shared" ca="1" si="67"/>
        <v>0</v>
      </c>
      <c r="AL96" s="445">
        <f t="shared" ca="1" si="67"/>
        <v>0</v>
      </c>
      <c r="AM96" s="445">
        <f t="shared" ca="1" si="67"/>
        <v>0</v>
      </c>
      <c r="AN96" s="445">
        <f t="shared" ca="1" si="67"/>
        <v>0</v>
      </c>
    </row>
    <row r="97" spans="3:40">
      <c r="C97" s="301" t="s">
        <v>207</v>
      </c>
      <c r="D97" s="375">
        <f>MATCH(1,E97:AN97,0)</f>
        <v>2</v>
      </c>
      <c r="E97" s="445">
        <f t="shared" ref="E97:AN97" si="68">E5</f>
        <v>0</v>
      </c>
      <c r="F97" s="446">
        <f t="shared" si="68"/>
        <v>1</v>
      </c>
      <c r="G97" s="445">
        <f t="shared" si="68"/>
        <v>2</v>
      </c>
      <c r="H97" s="445">
        <f t="shared" si="68"/>
        <v>3</v>
      </c>
      <c r="I97" s="445">
        <f t="shared" si="68"/>
        <v>4</v>
      </c>
      <c r="J97" s="445">
        <f t="shared" si="68"/>
        <v>5</v>
      </c>
      <c r="K97" s="445">
        <f t="shared" si="68"/>
        <v>6</v>
      </c>
      <c r="L97" s="445">
        <f t="shared" si="68"/>
        <v>7</v>
      </c>
      <c r="M97" s="445">
        <f t="shared" si="68"/>
        <v>8</v>
      </c>
      <c r="N97" s="445">
        <f t="shared" si="68"/>
        <v>9</v>
      </c>
      <c r="O97" s="445">
        <f t="shared" si="68"/>
        <v>10</v>
      </c>
      <c r="P97" s="445">
        <f t="shared" si="68"/>
        <v>11</v>
      </c>
      <c r="Q97" s="445">
        <f t="shared" si="68"/>
        <v>12</v>
      </c>
      <c r="R97" s="445">
        <f t="shared" si="68"/>
        <v>13</v>
      </c>
      <c r="S97" s="445">
        <f t="shared" si="68"/>
        <v>14</v>
      </c>
      <c r="T97" s="445">
        <f t="shared" si="68"/>
        <v>15</v>
      </c>
      <c r="U97" s="445">
        <f t="shared" si="68"/>
        <v>16</v>
      </c>
      <c r="V97" s="445">
        <f t="shared" si="68"/>
        <v>17</v>
      </c>
      <c r="W97" s="445">
        <f t="shared" si="68"/>
        <v>18</v>
      </c>
      <c r="X97" s="445">
        <f t="shared" si="68"/>
        <v>19</v>
      </c>
      <c r="Y97" s="445">
        <f t="shared" si="68"/>
        <v>20</v>
      </c>
      <c r="Z97" s="445">
        <f t="shared" si="68"/>
        <v>21</v>
      </c>
      <c r="AA97" s="445">
        <f t="shared" si="68"/>
        <v>22</v>
      </c>
      <c r="AB97" s="445">
        <f t="shared" si="68"/>
        <v>23</v>
      </c>
      <c r="AC97" s="445">
        <f t="shared" si="68"/>
        <v>24</v>
      </c>
      <c r="AD97" s="445">
        <f t="shared" si="68"/>
        <v>25</v>
      </c>
      <c r="AE97" s="445">
        <f t="shared" si="68"/>
        <v>26</v>
      </c>
      <c r="AF97" s="445">
        <f t="shared" si="68"/>
        <v>27</v>
      </c>
      <c r="AG97" s="445">
        <f t="shared" si="68"/>
        <v>28</v>
      </c>
      <c r="AH97" s="445">
        <f t="shared" si="68"/>
        <v>29</v>
      </c>
      <c r="AI97" s="445">
        <f t="shared" si="68"/>
        <v>30</v>
      </c>
      <c r="AJ97" s="445">
        <f t="shared" si="68"/>
        <v>31</v>
      </c>
      <c r="AK97" s="445">
        <f t="shared" si="68"/>
        <v>32</v>
      </c>
      <c r="AL97" s="445">
        <f t="shared" si="68"/>
        <v>33</v>
      </c>
      <c r="AM97" s="445">
        <f t="shared" si="68"/>
        <v>34</v>
      </c>
      <c r="AN97" s="445">
        <f t="shared" si="68"/>
        <v>35</v>
      </c>
    </row>
    <row r="98" spans="3:40">
      <c r="C98" s="301" t="s">
        <v>208</v>
      </c>
      <c r="D98" s="302"/>
      <c r="E98" s="445">
        <f t="shared" ref="E98" si="69">SUMPRODUCT(E76:E76,E85:E85)</f>
        <v>0</v>
      </c>
      <c r="F98" s="445">
        <f>SUMPRODUCT($F$76:F76,$F$85:F85)</f>
        <v>-3088662.1056374651</v>
      </c>
      <c r="G98" s="445">
        <f>SUMPRODUCT($F$76:G76,$F$85:G85)</f>
        <v>-5488061.4754673559</v>
      </c>
      <c r="H98" s="445">
        <f>SUMPRODUCT($F$76:H76,$F$85:H85)</f>
        <v>-4715771.6649347106</v>
      </c>
      <c r="I98" s="445">
        <f>SUMPRODUCT($F$76:I76,$F$85:I85)</f>
        <v>-4095619.9321963359</v>
      </c>
      <c r="J98" s="445">
        <f>SUMPRODUCT($F$76:J76,$F$85:J85)</f>
        <v>-3548760.3737081457</v>
      </c>
      <c r="K98" s="445">
        <f ca="1">SUMPRODUCT($F$76:K76,$F$85:K85)</f>
        <v>-3186065.8038133141</v>
      </c>
      <c r="L98" s="445">
        <f ca="1">SUMPRODUCT($F$76:L76,$F$85:L85)</f>
        <v>-2865939.6452835421</v>
      </c>
      <c r="M98" s="445">
        <f ca="1">SUMPRODUCT($F$76:M76,$F$85:M85)</f>
        <v>-2567124.7170986026</v>
      </c>
      <c r="N98" s="445">
        <f ca="1">SUMPRODUCT($F$76:N76,$F$85:N85)</f>
        <v>-2294250.0261966432</v>
      </c>
      <c r="O98" s="445">
        <f ca="1">SUMPRODUCT($F$76:O76,$F$85:O85)</f>
        <v>-2046417.9319547287</v>
      </c>
      <c r="P98" s="445">
        <f ca="1">SUMPRODUCT($F$76:P76,$F$85:P85)</f>
        <v>-1822466.2207731041</v>
      </c>
      <c r="Q98" s="445">
        <f ca="1">SUMPRODUCT($F$76:Q76,$F$85:Q85)</f>
        <v>-1623854.9548484359</v>
      </c>
      <c r="R98" s="445">
        <f ca="1">SUMPRODUCT($F$76:R76,$F$85:R85)</f>
        <v>-1439929.1238042733</v>
      </c>
      <c r="S98" s="445">
        <f ca="1">SUMPRODUCT($F$76:S76,$F$85:S85)</f>
        <v>-1273021.6175770951</v>
      </c>
      <c r="T98" s="445">
        <f ca="1">SUMPRODUCT($F$76:T76,$F$85:T85)</f>
        <v>-1121254.3633651827</v>
      </c>
      <c r="U98" s="445">
        <f ca="1">SUMPRODUCT($F$76:U76,$F$85:U85)</f>
        <v>-983889.52763399133</v>
      </c>
      <c r="V98" s="445">
        <f ca="1">SUMPRODUCT($F$76:V76,$F$85:V85)</f>
        <v>-864879.82067798695</v>
      </c>
      <c r="W98" s="445">
        <f ca="1">SUMPRODUCT($F$76:W76,$F$85:W85)</f>
        <v>-752511.08347232407</v>
      </c>
      <c r="X98" s="445">
        <f ca="1">SUMPRODUCT($F$76:X76,$F$85:X85)</f>
        <v>-653049.34662874148</v>
      </c>
      <c r="Y98" s="445">
        <f ca="1">SUMPRODUCT($F$76:Y76,$F$85:Y85)</f>
        <v>-565342.42165317829</v>
      </c>
      <c r="Z98" s="445">
        <f ca="1">SUMPRODUCT($F$76:Z76,$F$85:Z85)</f>
        <v>-487417.36695850769</v>
      </c>
      <c r="AA98" s="445">
        <f ca="1">SUMPRODUCT($F$76:AA76,$F$85:AA85)</f>
        <v>-420045.84014552087</v>
      </c>
      <c r="AB98" s="445">
        <f ca="1">SUMPRODUCT($F$76:AB76,$F$85:AB85)</f>
        <v>-359532.46082152554</v>
      </c>
      <c r="AC98" s="445">
        <f ca="1">SUMPRODUCT($F$76:AC76,$F$85:AC85)</f>
        <v>-305493.28319818398</v>
      </c>
      <c r="AD98" s="445">
        <f ca="1">SUMPRODUCT($F$76:AD76,$F$85:AD85)</f>
        <v>-257661.20287339462</v>
      </c>
      <c r="AE98" s="445">
        <f ca="1">SUMPRODUCT($F$76:AE76,$F$85:AE85)</f>
        <v>-215482.12161454876</v>
      </c>
      <c r="AF98" s="445">
        <f ca="1">SUMPRODUCT($F$76:AF76,$F$85:AF85)</f>
        <v>-178878.07648382452</v>
      </c>
      <c r="AG98" s="445">
        <f ca="1">SUMPRODUCT($F$76:AG76,$F$85:AG85)</f>
        <v>-145707.66300265168</v>
      </c>
      <c r="AH98" s="445">
        <f ca="1">SUMPRODUCT($F$76:AH76,$F$85:AH85)</f>
        <v>-116457.47032627728</v>
      </c>
      <c r="AI98" s="445">
        <f ca="1">SUMPRODUCT($F$76:AI76,$F$85:AI85)</f>
        <v>-90469.52393810793</v>
      </c>
      <c r="AJ98" s="445">
        <f ca="1">SUMPRODUCT($F$76:AJ76,$F$85:AJ85)</f>
        <v>-67466.628746410701</v>
      </c>
      <c r="AK98" s="445">
        <f ca="1">SUMPRODUCT($F$76:AK76,$F$85:AK85)</f>
        <v>-47949.363285797655</v>
      </c>
      <c r="AL98" s="445">
        <f ca="1">SUMPRODUCT($F$76:AL76,$F$85:AL85)</f>
        <v>-30018.639809448287</v>
      </c>
      <c r="AM98" s="445">
        <f ca="1">SUMPRODUCT($F$76:AM76,$F$85:AM85)</f>
        <v>-14066.677452978483</v>
      </c>
      <c r="AN98" s="445">
        <f ca="1">SUMPRODUCT($F$76:AN76,$F$85:AN85)</f>
        <v>1.4020670130776125E-2</v>
      </c>
    </row>
    <row r="99" spans="3:40">
      <c r="C99" s="301" t="s">
        <v>209</v>
      </c>
      <c r="D99" s="302"/>
      <c r="E99" s="445">
        <f>IF(E86&lt;0,0,E86)</f>
        <v>0</v>
      </c>
      <c r="F99" s="445">
        <f t="shared" ref="F99:J99" si="70">IF(F86&lt;0,0,F86)</f>
        <v>0</v>
      </c>
      <c r="G99" s="445">
        <f t="shared" si="70"/>
        <v>0</v>
      </c>
      <c r="H99" s="445">
        <f t="shared" si="70"/>
        <v>772289.81053264544</v>
      </c>
      <c r="I99" s="445">
        <f t="shared" si="70"/>
        <v>620151.73273837462</v>
      </c>
      <c r="J99" s="445">
        <f t="shared" si="70"/>
        <v>546859.55848819029</v>
      </c>
      <c r="K99" s="445">
        <f t="shared" ref="K99:AN99" ca="1" si="71">IF(K86&lt;0,0,K86)</f>
        <v>362694.56989483163</v>
      </c>
      <c r="L99" s="445">
        <f t="shared" ca="1" si="71"/>
        <v>320126.15852977207</v>
      </c>
      <c r="M99" s="445">
        <f t="shared" ca="1" si="71"/>
        <v>298814.92818493961</v>
      </c>
      <c r="N99" s="445">
        <f t="shared" ca="1" si="71"/>
        <v>272874.6909019592</v>
      </c>
      <c r="O99" s="445">
        <f t="shared" ca="1" si="71"/>
        <v>247832.09424191451</v>
      </c>
      <c r="P99" s="445">
        <f t="shared" ca="1" si="71"/>
        <v>223951.71118162447</v>
      </c>
      <c r="Q99" s="445">
        <f t="shared" ca="1" si="71"/>
        <v>198611.26592466817</v>
      </c>
      <c r="R99" s="445">
        <f t="shared" ca="1" si="71"/>
        <v>183925.83104416257</v>
      </c>
      <c r="S99" s="445">
        <f t="shared" ca="1" si="71"/>
        <v>166907.50622717815</v>
      </c>
      <c r="T99" s="445">
        <f t="shared" ca="1" si="71"/>
        <v>151767.2542119124</v>
      </c>
      <c r="U99" s="445">
        <f t="shared" ca="1" si="71"/>
        <v>137364.8357311913</v>
      </c>
      <c r="V99" s="445">
        <f t="shared" ca="1" si="71"/>
        <v>119009.70695600439</v>
      </c>
      <c r="W99" s="445">
        <f t="shared" ca="1" si="71"/>
        <v>112368.73720566288</v>
      </c>
      <c r="X99" s="445">
        <f t="shared" ca="1" si="71"/>
        <v>99461.736843582577</v>
      </c>
      <c r="Y99" s="445">
        <f t="shared" ca="1" si="71"/>
        <v>87706.924975563219</v>
      </c>
      <c r="Z99" s="445">
        <f t="shared" ca="1" si="71"/>
        <v>77925.054694670602</v>
      </c>
      <c r="AA99" s="445">
        <f t="shared" ca="1" si="71"/>
        <v>67371.526812986835</v>
      </c>
      <c r="AB99" s="445">
        <f t="shared" ca="1" si="71"/>
        <v>60513.379323995345</v>
      </c>
      <c r="AC99" s="445">
        <f t="shared" ca="1" si="71"/>
        <v>54039.177623341537</v>
      </c>
      <c r="AD99" s="445">
        <f t="shared" ca="1" si="71"/>
        <v>47832.080324789364</v>
      </c>
      <c r="AE99" s="445">
        <f t="shared" ca="1" si="71"/>
        <v>42179.081258845858</v>
      </c>
      <c r="AF99" s="445">
        <f t="shared" ca="1" si="71"/>
        <v>36604.045130724226</v>
      </c>
      <c r="AG99" s="445">
        <f t="shared" ca="1" si="71"/>
        <v>33170.413481172836</v>
      </c>
      <c r="AH99" s="445">
        <f t="shared" ca="1" si="71"/>
        <v>29250.19267637439</v>
      </c>
      <c r="AI99" s="445">
        <f t="shared" ca="1" si="71"/>
        <v>25987.946388169352</v>
      </c>
      <c r="AJ99" s="445">
        <f t="shared" ca="1" si="71"/>
        <v>23002.895191697226</v>
      </c>
      <c r="AK99" s="445">
        <f t="shared" ca="1" si="71"/>
        <v>19517.265460613045</v>
      </c>
      <c r="AL99" s="445">
        <f t="shared" ca="1" si="71"/>
        <v>17930.723476349369</v>
      </c>
      <c r="AM99" s="445">
        <f t="shared" ca="1" si="71"/>
        <v>15951.962356469803</v>
      </c>
      <c r="AN99" s="445">
        <f t="shared" ca="1" si="71"/>
        <v>14066.691473648614</v>
      </c>
    </row>
    <row r="100" spans="3:40">
      <c r="C100" s="301" t="s">
        <v>210</v>
      </c>
      <c r="D100" s="302"/>
      <c r="E100" s="445">
        <f>IF(E86&gt;0,0,E86)</f>
        <v>0</v>
      </c>
      <c r="F100" s="445">
        <f t="shared" ref="F100:J100" si="72">IF(F86&gt;0,0,F86)</f>
        <v>-3088662.1056374651</v>
      </c>
      <c r="G100" s="445">
        <f t="shared" si="72"/>
        <v>-2399399.3698298912</v>
      </c>
      <c r="H100" s="445">
        <f t="shared" si="72"/>
        <v>0</v>
      </c>
      <c r="I100" s="445">
        <f t="shared" si="72"/>
        <v>0</v>
      </c>
      <c r="J100" s="445">
        <f t="shared" si="72"/>
        <v>0</v>
      </c>
      <c r="K100" s="445">
        <f t="shared" ref="K100:AN100" ca="1" si="73">IF(K86&gt;0,0,K86)</f>
        <v>0</v>
      </c>
      <c r="L100" s="445">
        <f t="shared" ca="1" si="73"/>
        <v>0</v>
      </c>
      <c r="M100" s="445">
        <f t="shared" ca="1" si="73"/>
        <v>0</v>
      </c>
      <c r="N100" s="445">
        <f t="shared" ca="1" si="73"/>
        <v>0</v>
      </c>
      <c r="O100" s="445">
        <f t="shared" ca="1" si="73"/>
        <v>0</v>
      </c>
      <c r="P100" s="445">
        <f t="shared" ca="1" si="73"/>
        <v>0</v>
      </c>
      <c r="Q100" s="445">
        <f t="shared" ca="1" si="73"/>
        <v>0</v>
      </c>
      <c r="R100" s="445">
        <f t="shared" ca="1" si="73"/>
        <v>0</v>
      </c>
      <c r="S100" s="445">
        <f t="shared" ca="1" si="73"/>
        <v>0</v>
      </c>
      <c r="T100" s="445">
        <f t="shared" ca="1" si="73"/>
        <v>0</v>
      </c>
      <c r="U100" s="445">
        <f t="shared" ca="1" si="73"/>
        <v>0</v>
      </c>
      <c r="V100" s="445">
        <f t="shared" ca="1" si="73"/>
        <v>0</v>
      </c>
      <c r="W100" s="445">
        <f t="shared" ca="1" si="73"/>
        <v>0</v>
      </c>
      <c r="X100" s="445">
        <f t="shared" ca="1" si="73"/>
        <v>0</v>
      </c>
      <c r="Y100" s="445">
        <f t="shared" ca="1" si="73"/>
        <v>0</v>
      </c>
      <c r="Z100" s="445">
        <f t="shared" ca="1" si="73"/>
        <v>0</v>
      </c>
      <c r="AA100" s="445">
        <f t="shared" ca="1" si="73"/>
        <v>0</v>
      </c>
      <c r="AB100" s="445">
        <f t="shared" ca="1" si="73"/>
        <v>0</v>
      </c>
      <c r="AC100" s="445">
        <f t="shared" ca="1" si="73"/>
        <v>0</v>
      </c>
      <c r="AD100" s="445">
        <f t="shared" ca="1" si="73"/>
        <v>0</v>
      </c>
      <c r="AE100" s="445">
        <f t="shared" ca="1" si="73"/>
        <v>0</v>
      </c>
      <c r="AF100" s="445">
        <f t="shared" ca="1" si="73"/>
        <v>0</v>
      </c>
      <c r="AG100" s="445">
        <f t="shared" ca="1" si="73"/>
        <v>0</v>
      </c>
      <c r="AH100" s="445">
        <f t="shared" ca="1" si="73"/>
        <v>0</v>
      </c>
      <c r="AI100" s="445">
        <f t="shared" ca="1" si="73"/>
        <v>0</v>
      </c>
      <c r="AJ100" s="445">
        <f t="shared" ca="1" si="73"/>
        <v>0</v>
      </c>
      <c r="AK100" s="445">
        <f t="shared" ca="1" si="73"/>
        <v>0</v>
      </c>
      <c r="AL100" s="445">
        <f t="shared" ca="1" si="73"/>
        <v>0</v>
      </c>
      <c r="AM100" s="445">
        <f t="shared" ca="1" si="73"/>
        <v>0</v>
      </c>
      <c r="AN100" s="445">
        <f t="shared" ca="1" si="73"/>
        <v>0</v>
      </c>
    </row>
  </sheetData>
  <mergeCells count="5">
    <mergeCell ref="C1:D2"/>
    <mergeCell ref="D4:D6"/>
    <mergeCell ref="C4:C6"/>
    <mergeCell ref="AU40:AX40"/>
    <mergeCell ref="C62:D62"/>
  </mergeCells>
  <phoneticPr fontId="69" type="noConversion"/>
  <dataValidations disablePrompts="1" count="1">
    <dataValidation type="custom" allowBlank="1" showInputMessage="1" showErrorMessage="1" errorTitle="Subsídio " error="O subsídio deve ter repassado em até 2 anos" sqref="H70:AN70" xr:uid="{00000000-0002-0000-0200-000000000000}">
      <formula1>H70:AN70&lt;0</formula1>
    </dataValidation>
  </dataValidations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5">
    <tabColor rgb="FF36495E"/>
  </sheetPr>
  <dimension ref="A2:AV43"/>
  <sheetViews>
    <sheetView showGridLines="0" workbookViewId="0">
      <selection activeCell="B14" sqref="B14"/>
    </sheetView>
  </sheetViews>
  <sheetFormatPr defaultColWidth="9.140625" defaultRowHeight="10.15"/>
  <cols>
    <col min="1" max="1" width="22.140625" style="266" customWidth="1"/>
    <col min="2" max="2" width="32.28515625" style="266" customWidth="1"/>
    <col min="3" max="3" width="22.140625" style="266" bestFit="1" customWidth="1"/>
    <col min="4" max="4" width="9.7109375" style="266" customWidth="1"/>
    <col min="5" max="5" width="9.140625" style="266"/>
    <col min="6" max="6" width="2.7109375" style="266" customWidth="1"/>
    <col min="7" max="7" width="2.5703125" style="266" customWidth="1"/>
    <col min="8" max="8" width="21" style="266" bestFit="1" customWidth="1"/>
    <col min="9" max="9" width="12.5703125" style="266" bestFit="1" customWidth="1"/>
    <col min="10" max="11" width="18.140625" style="266" bestFit="1" customWidth="1"/>
    <col min="12" max="44" width="18" style="266" bestFit="1" customWidth="1"/>
    <col min="45" max="16384" width="9.140625" style="266"/>
  </cols>
  <sheetData>
    <row r="2" spans="1:44">
      <c r="I2" s="316" t="s">
        <v>91</v>
      </c>
      <c r="J2" s="316" t="s">
        <v>84</v>
      </c>
      <c r="K2" s="316" t="s">
        <v>86</v>
      </c>
      <c r="L2" s="316" t="s">
        <v>92</v>
      </c>
      <c r="M2" s="316" t="s">
        <v>93</v>
      </c>
      <c r="N2" s="316" t="s">
        <v>94</v>
      </c>
      <c r="O2" s="316" t="s">
        <v>95</v>
      </c>
      <c r="P2" s="316" t="s">
        <v>96</v>
      </c>
      <c r="Q2" s="316" t="s">
        <v>97</v>
      </c>
      <c r="R2" s="316" t="s">
        <v>98</v>
      </c>
      <c r="S2" s="316" t="s">
        <v>99</v>
      </c>
      <c r="T2" s="316" t="s">
        <v>100</v>
      </c>
      <c r="U2" s="316" t="s">
        <v>101</v>
      </c>
      <c r="V2" s="316" t="s">
        <v>102</v>
      </c>
      <c r="W2" s="316" t="s">
        <v>103</v>
      </c>
      <c r="X2" s="316" t="s">
        <v>104</v>
      </c>
      <c r="Y2" s="316" t="s">
        <v>105</v>
      </c>
      <c r="Z2" s="316" t="s">
        <v>106</v>
      </c>
      <c r="AA2" s="316" t="s">
        <v>107</v>
      </c>
      <c r="AB2" s="316" t="s">
        <v>108</v>
      </c>
      <c r="AC2" s="316" t="s">
        <v>109</v>
      </c>
      <c r="AD2" s="316" t="s">
        <v>110</v>
      </c>
      <c r="AE2" s="316" t="s">
        <v>111</v>
      </c>
      <c r="AF2" s="316" t="s">
        <v>112</v>
      </c>
      <c r="AG2" s="316" t="s">
        <v>113</v>
      </c>
      <c r="AH2" s="316" t="s">
        <v>114</v>
      </c>
      <c r="AI2" s="316" t="s">
        <v>115</v>
      </c>
      <c r="AJ2" s="316" t="s">
        <v>116</v>
      </c>
      <c r="AK2" s="316" t="s">
        <v>117</v>
      </c>
      <c r="AL2" s="316" t="s">
        <v>118</v>
      </c>
      <c r="AM2" s="316" t="s">
        <v>119</v>
      </c>
      <c r="AN2" s="316" t="s">
        <v>120</v>
      </c>
      <c r="AO2" s="316" t="s">
        <v>121</v>
      </c>
      <c r="AP2" s="316" t="s">
        <v>122</v>
      </c>
      <c r="AQ2" s="316" t="s">
        <v>123</v>
      </c>
      <c r="AR2" s="316" t="s">
        <v>124</v>
      </c>
    </row>
    <row r="3" spans="1:44">
      <c r="I3" s="316">
        <v>2025</v>
      </c>
      <c r="J3" s="316">
        <v>2026</v>
      </c>
      <c r="K3" s="316">
        <v>2027</v>
      </c>
      <c r="L3" s="316">
        <v>2028</v>
      </c>
      <c r="M3" s="316">
        <v>2029</v>
      </c>
      <c r="N3" s="316">
        <v>2030</v>
      </c>
      <c r="O3" s="316">
        <v>2031</v>
      </c>
      <c r="P3" s="316">
        <v>2032</v>
      </c>
      <c r="Q3" s="316">
        <v>2033</v>
      </c>
      <c r="R3" s="316">
        <v>2034</v>
      </c>
      <c r="S3" s="316">
        <v>2035</v>
      </c>
      <c r="T3" s="316">
        <v>2036</v>
      </c>
      <c r="U3" s="316">
        <v>2037</v>
      </c>
      <c r="V3" s="316">
        <v>2038</v>
      </c>
      <c r="W3" s="316">
        <v>2039</v>
      </c>
      <c r="X3" s="316">
        <v>2040</v>
      </c>
      <c r="Y3" s="316">
        <v>2041</v>
      </c>
      <c r="Z3" s="316">
        <v>2042</v>
      </c>
      <c r="AA3" s="316">
        <v>2043</v>
      </c>
      <c r="AB3" s="316">
        <v>2044</v>
      </c>
      <c r="AC3" s="316">
        <v>2045</v>
      </c>
      <c r="AD3" s="316">
        <v>2046</v>
      </c>
      <c r="AE3" s="316">
        <v>2047</v>
      </c>
      <c r="AF3" s="316">
        <v>2048</v>
      </c>
      <c r="AG3" s="316">
        <v>2049</v>
      </c>
      <c r="AH3" s="316">
        <v>2050</v>
      </c>
      <c r="AI3" s="316">
        <v>2051</v>
      </c>
      <c r="AJ3" s="316">
        <v>2052</v>
      </c>
      <c r="AK3" s="316">
        <v>2053</v>
      </c>
      <c r="AL3" s="316">
        <v>2054</v>
      </c>
      <c r="AM3" s="316">
        <v>2055</v>
      </c>
      <c r="AN3" s="316">
        <v>2056</v>
      </c>
      <c r="AO3" s="316">
        <v>2057</v>
      </c>
      <c r="AP3" s="316">
        <v>2058</v>
      </c>
      <c r="AQ3" s="316">
        <v>2059</v>
      </c>
      <c r="AR3" s="316">
        <v>2060</v>
      </c>
    </row>
    <row r="4" spans="1:44">
      <c r="A4" s="327" t="s">
        <v>1632</v>
      </c>
      <c r="B4" s="327" t="s">
        <v>1633</v>
      </c>
      <c r="C4" s="327" t="s">
        <v>1634</v>
      </c>
      <c r="D4" s="327" t="s">
        <v>1635</v>
      </c>
      <c r="H4" s="316" t="s">
        <v>1636</v>
      </c>
      <c r="I4" s="318">
        <f>$B$16</f>
        <v>1261.210522538601</v>
      </c>
      <c r="J4" s="318">
        <f>$B$16</f>
        <v>1261.210522538601</v>
      </c>
      <c r="K4" s="318">
        <f t="shared" ref="K4:AR4" si="0">$B$16</f>
        <v>1261.210522538601</v>
      </c>
      <c r="L4" s="318">
        <f t="shared" si="0"/>
        <v>1261.210522538601</v>
      </c>
      <c r="M4" s="318">
        <f t="shared" si="0"/>
        <v>1261.210522538601</v>
      </c>
      <c r="N4" s="318">
        <f t="shared" si="0"/>
        <v>1261.210522538601</v>
      </c>
      <c r="O4" s="318">
        <f t="shared" si="0"/>
        <v>1261.210522538601</v>
      </c>
      <c r="P4" s="318">
        <f t="shared" si="0"/>
        <v>1261.210522538601</v>
      </c>
      <c r="Q4" s="318">
        <f t="shared" si="0"/>
        <v>1261.210522538601</v>
      </c>
      <c r="R4" s="318">
        <f t="shared" si="0"/>
        <v>1261.210522538601</v>
      </c>
      <c r="S4" s="318">
        <f t="shared" si="0"/>
        <v>1261.210522538601</v>
      </c>
      <c r="T4" s="318">
        <f t="shared" si="0"/>
        <v>1261.210522538601</v>
      </c>
      <c r="U4" s="318">
        <f t="shared" si="0"/>
        <v>1261.210522538601</v>
      </c>
      <c r="V4" s="318">
        <f t="shared" si="0"/>
        <v>1261.210522538601</v>
      </c>
      <c r="W4" s="318">
        <f t="shared" si="0"/>
        <v>1261.210522538601</v>
      </c>
      <c r="X4" s="318">
        <f t="shared" si="0"/>
        <v>1261.210522538601</v>
      </c>
      <c r="Y4" s="318">
        <f t="shared" si="0"/>
        <v>1261.210522538601</v>
      </c>
      <c r="Z4" s="318">
        <f t="shared" si="0"/>
        <v>1261.210522538601</v>
      </c>
      <c r="AA4" s="318">
        <f t="shared" si="0"/>
        <v>1261.210522538601</v>
      </c>
      <c r="AB4" s="318">
        <f t="shared" si="0"/>
        <v>1261.210522538601</v>
      </c>
      <c r="AC4" s="318">
        <f t="shared" si="0"/>
        <v>1261.210522538601</v>
      </c>
      <c r="AD4" s="318">
        <f t="shared" si="0"/>
        <v>1261.210522538601</v>
      </c>
      <c r="AE4" s="318">
        <f t="shared" si="0"/>
        <v>1261.210522538601</v>
      </c>
      <c r="AF4" s="318">
        <f t="shared" si="0"/>
        <v>1261.210522538601</v>
      </c>
      <c r="AG4" s="318">
        <f t="shared" si="0"/>
        <v>1261.210522538601</v>
      </c>
      <c r="AH4" s="318">
        <f t="shared" si="0"/>
        <v>1261.210522538601</v>
      </c>
      <c r="AI4" s="318">
        <f t="shared" si="0"/>
        <v>1261.210522538601</v>
      </c>
      <c r="AJ4" s="318">
        <f t="shared" si="0"/>
        <v>1261.210522538601</v>
      </c>
      <c r="AK4" s="318">
        <f t="shared" si="0"/>
        <v>1261.210522538601</v>
      </c>
      <c r="AL4" s="318">
        <f t="shared" si="0"/>
        <v>1261.210522538601</v>
      </c>
      <c r="AM4" s="318">
        <f t="shared" si="0"/>
        <v>1261.210522538601</v>
      </c>
      <c r="AN4" s="318">
        <f t="shared" si="0"/>
        <v>1261.210522538601</v>
      </c>
      <c r="AO4" s="318">
        <f t="shared" si="0"/>
        <v>1261.210522538601</v>
      </c>
      <c r="AP4" s="318">
        <f t="shared" si="0"/>
        <v>1261.210522538601</v>
      </c>
      <c r="AQ4" s="318">
        <f t="shared" si="0"/>
        <v>1261.210522538601</v>
      </c>
      <c r="AR4" s="318">
        <f t="shared" si="0"/>
        <v>1261.210522538601</v>
      </c>
    </row>
    <row r="5" spans="1:44">
      <c r="A5" s="328" t="s">
        <v>1636</v>
      </c>
      <c r="B5" s="328" t="s">
        <v>1637</v>
      </c>
      <c r="C5" s="318">
        <f>B13*B14</f>
        <v>126121.05225386011</v>
      </c>
      <c r="D5" s="329">
        <f>B15</f>
        <v>0.01</v>
      </c>
      <c r="H5" s="316" t="s">
        <v>1638</v>
      </c>
      <c r="I5" s="318">
        <f>I26</f>
        <v>0</v>
      </c>
      <c r="J5" s="318">
        <f t="shared" ref="J5:AR5" si="1">J26</f>
        <v>12446.74352</v>
      </c>
      <c r="K5" s="318">
        <f t="shared" si="1"/>
        <v>12446.74352</v>
      </c>
      <c r="L5" s="318">
        <f t="shared" si="1"/>
        <v>0</v>
      </c>
      <c r="M5" s="318">
        <f t="shared" si="1"/>
        <v>0</v>
      </c>
      <c r="N5" s="318">
        <f t="shared" si="1"/>
        <v>0</v>
      </c>
      <c r="O5" s="318">
        <f t="shared" si="1"/>
        <v>0</v>
      </c>
      <c r="P5" s="318">
        <f t="shared" si="1"/>
        <v>0</v>
      </c>
      <c r="Q5" s="318">
        <f t="shared" si="1"/>
        <v>0</v>
      </c>
      <c r="R5" s="318">
        <f t="shared" si="1"/>
        <v>0</v>
      </c>
      <c r="S5" s="318">
        <f t="shared" si="1"/>
        <v>0</v>
      </c>
      <c r="T5" s="318">
        <f t="shared" si="1"/>
        <v>0</v>
      </c>
      <c r="U5" s="318">
        <f t="shared" si="1"/>
        <v>0</v>
      </c>
      <c r="V5" s="318">
        <f t="shared" si="1"/>
        <v>0</v>
      </c>
      <c r="W5" s="318">
        <f t="shared" si="1"/>
        <v>0</v>
      </c>
      <c r="X5" s="318">
        <f t="shared" si="1"/>
        <v>0</v>
      </c>
      <c r="Y5" s="318">
        <f t="shared" si="1"/>
        <v>0</v>
      </c>
      <c r="Z5" s="318">
        <f t="shared" si="1"/>
        <v>0</v>
      </c>
      <c r="AA5" s="318">
        <f t="shared" si="1"/>
        <v>0</v>
      </c>
      <c r="AB5" s="318">
        <f t="shared" si="1"/>
        <v>0</v>
      </c>
      <c r="AC5" s="318">
        <f t="shared" si="1"/>
        <v>0</v>
      </c>
      <c r="AD5" s="318">
        <f t="shared" si="1"/>
        <v>0</v>
      </c>
      <c r="AE5" s="318">
        <f t="shared" si="1"/>
        <v>0</v>
      </c>
      <c r="AF5" s="318">
        <f t="shared" si="1"/>
        <v>0</v>
      </c>
      <c r="AG5" s="318">
        <f t="shared" si="1"/>
        <v>0</v>
      </c>
      <c r="AH5" s="318">
        <f t="shared" si="1"/>
        <v>0</v>
      </c>
      <c r="AI5" s="318">
        <f t="shared" si="1"/>
        <v>0</v>
      </c>
      <c r="AJ5" s="318">
        <f t="shared" si="1"/>
        <v>0</v>
      </c>
      <c r="AK5" s="318">
        <f t="shared" si="1"/>
        <v>0</v>
      </c>
      <c r="AL5" s="318">
        <f t="shared" si="1"/>
        <v>0</v>
      </c>
      <c r="AM5" s="318">
        <f t="shared" si="1"/>
        <v>0</v>
      </c>
      <c r="AN5" s="318">
        <f t="shared" si="1"/>
        <v>0</v>
      </c>
      <c r="AO5" s="318">
        <f t="shared" si="1"/>
        <v>0</v>
      </c>
      <c r="AP5" s="318">
        <f t="shared" si="1"/>
        <v>0</v>
      </c>
      <c r="AQ5" s="318">
        <f t="shared" si="1"/>
        <v>0</v>
      </c>
      <c r="AR5" s="318">
        <f t="shared" si="1"/>
        <v>0</v>
      </c>
    </row>
    <row r="6" spans="1:44">
      <c r="A6" s="328" t="s">
        <v>1638</v>
      </c>
      <c r="B6" s="328" t="s">
        <v>1639</v>
      </c>
      <c r="C6" s="318">
        <f>J22*J23</f>
        <v>3111685.88</v>
      </c>
      <c r="D6" s="329">
        <f>I24</f>
        <v>4.0000000000000001E-3</v>
      </c>
      <c r="H6" s="316" t="s">
        <v>1640</v>
      </c>
      <c r="I6" s="318">
        <f>I35</f>
        <v>0</v>
      </c>
      <c r="J6" s="318">
        <f t="shared" ref="J6:AR6" si="2">J35</f>
        <v>995.73948159999998</v>
      </c>
      <c r="K6" s="318">
        <f t="shared" si="2"/>
        <v>1991.4789632</v>
      </c>
      <c r="L6" s="318">
        <f t="shared" si="2"/>
        <v>1991.4789632</v>
      </c>
      <c r="M6" s="318">
        <f t="shared" si="2"/>
        <v>1991.4789632</v>
      </c>
      <c r="N6" s="318">
        <f t="shared" si="2"/>
        <v>1991.4789632</v>
      </c>
      <c r="O6" s="318">
        <f t="shared" si="2"/>
        <v>1991.4789632</v>
      </c>
      <c r="P6" s="318">
        <f t="shared" si="2"/>
        <v>1991.4789632</v>
      </c>
      <c r="Q6" s="318">
        <f t="shared" si="2"/>
        <v>1991.4789632</v>
      </c>
      <c r="R6" s="318">
        <f t="shared" si="2"/>
        <v>1991.4789632</v>
      </c>
      <c r="S6" s="318">
        <f t="shared" si="2"/>
        <v>1991.4789632</v>
      </c>
      <c r="T6" s="318">
        <f t="shared" si="2"/>
        <v>1991.4789632</v>
      </c>
      <c r="U6" s="318">
        <f t="shared" si="2"/>
        <v>1991.4789632</v>
      </c>
      <c r="V6" s="318">
        <f t="shared" si="2"/>
        <v>1991.4789632</v>
      </c>
      <c r="W6" s="318">
        <f t="shared" si="2"/>
        <v>1991.4789632</v>
      </c>
      <c r="X6" s="318">
        <f t="shared" si="2"/>
        <v>1991.4789632</v>
      </c>
      <c r="Y6" s="318">
        <f t="shared" si="2"/>
        <v>1991.4789632</v>
      </c>
      <c r="Z6" s="318">
        <f t="shared" si="2"/>
        <v>1991.4789632</v>
      </c>
      <c r="AA6" s="318">
        <f>AA35</f>
        <v>1991.4789632</v>
      </c>
      <c r="AB6" s="318">
        <f t="shared" si="2"/>
        <v>1991.4789632</v>
      </c>
      <c r="AC6" s="318">
        <f t="shared" si="2"/>
        <v>1991.4789632</v>
      </c>
      <c r="AD6" s="318">
        <f t="shared" si="2"/>
        <v>1991.4789632</v>
      </c>
      <c r="AE6" s="318">
        <f t="shared" si="2"/>
        <v>1991.4789632</v>
      </c>
      <c r="AF6" s="318">
        <f t="shared" si="2"/>
        <v>1991.4789632</v>
      </c>
      <c r="AG6" s="318">
        <f t="shared" si="2"/>
        <v>1991.4789632</v>
      </c>
      <c r="AH6" s="318">
        <f t="shared" si="2"/>
        <v>1991.4789632</v>
      </c>
      <c r="AI6" s="318">
        <f t="shared" si="2"/>
        <v>1991.4789632</v>
      </c>
      <c r="AJ6" s="318">
        <f t="shared" si="2"/>
        <v>1991.4789632</v>
      </c>
      <c r="AK6" s="318">
        <f t="shared" si="2"/>
        <v>1991.4789632</v>
      </c>
      <c r="AL6" s="318">
        <f t="shared" si="2"/>
        <v>1991.4789632</v>
      </c>
      <c r="AM6" s="318">
        <f t="shared" si="2"/>
        <v>1991.4789632</v>
      </c>
      <c r="AN6" s="318">
        <f t="shared" si="2"/>
        <v>1991.4789632</v>
      </c>
      <c r="AO6" s="318">
        <f t="shared" si="2"/>
        <v>1991.4789632</v>
      </c>
      <c r="AP6" s="318">
        <f t="shared" si="2"/>
        <v>1991.4789632</v>
      </c>
      <c r="AQ6" s="318">
        <f t="shared" si="2"/>
        <v>1991.4789632</v>
      </c>
      <c r="AR6" s="318">
        <f t="shared" si="2"/>
        <v>1991.4789632</v>
      </c>
    </row>
    <row r="7" spans="1:44">
      <c r="A7" s="328" t="s">
        <v>1640</v>
      </c>
      <c r="B7" s="328" t="s">
        <v>1641</v>
      </c>
      <c r="C7" s="318">
        <f>J33*J34</f>
        <v>124467.43519999999</v>
      </c>
      <c r="D7" s="329">
        <f>I32</f>
        <v>8.0000000000000002E-3</v>
      </c>
      <c r="H7" s="316" t="s">
        <v>1642</v>
      </c>
      <c r="I7" s="318">
        <f>I43</f>
        <v>0</v>
      </c>
      <c r="J7" s="318">
        <f t="shared" ref="J7:AR7" si="3">J43</f>
        <v>1120.2069167999998</v>
      </c>
      <c r="K7" s="318">
        <f t="shared" si="3"/>
        <v>2240.4138335999996</v>
      </c>
      <c r="L7" s="318">
        <f t="shared" si="3"/>
        <v>2240.4138335999996</v>
      </c>
      <c r="M7" s="318">
        <f t="shared" si="3"/>
        <v>2240.4138335999996</v>
      </c>
      <c r="N7" s="318">
        <f t="shared" si="3"/>
        <v>2240.4138335999996</v>
      </c>
      <c r="O7" s="318">
        <f t="shared" si="3"/>
        <v>2240.4138335999996</v>
      </c>
      <c r="P7" s="318">
        <f t="shared" si="3"/>
        <v>2240.4138335999996</v>
      </c>
      <c r="Q7" s="318">
        <f t="shared" si="3"/>
        <v>2240.4138335999996</v>
      </c>
      <c r="R7" s="318">
        <f t="shared" si="3"/>
        <v>2240.4138335999996</v>
      </c>
      <c r="S7" s="318">
        <f t="shared" si="3"/>
        <v>2240.4138335999996</v>
      </c>
      <c r="T7" s="318">
        <f t="shared" si="3"/>
        <v>2240.4138335999996</v>
      </c>
      <c r="U7" s="318">
        <f t="shared" si="3"/>
        <v>2240.4138335999996</v>
      </c>
      <c r="V7" s="318">
        <f t="shared" si="3"/>
        <v>2240.4138335999996</v>
      </c>
      <c r="W7" s="318">
        <f t="shared" si="3"/>
        <v>2240.4138335999996</v>
      </c>
      <c r="X7" s="318">
        <f t="shared" si="3"/>
        <v>2240.4138335999996</v>
      </c>
      <c r="Y7" s="318">
        <f t="shared" si="3"/>
        <v>2240.4138335999996</v>
      </c>
      <c r="Z7" s="318">
        <f t="shared" si="3"/>
        <v>2240.4138335999996</v>
      </c>
      <c r="AA7" s="318">
        <f t="shared" si="3"/>
        <v>2240.4138335999996</v>
      </c>
      <c r="AB7" s="318">
        <f t="shared" si="3"/>
        <v>2240.4138335999996</v>
      </c>
      <c r="AC7" s="318">
        <f t="shared" si="3"/>
        <v>2240.4138335999996</v>
      </c>
      <c r="AD7" s="318">
        <f t="shared" si="3"/>
        <v>2240.4138335999996</v>
      </c>
      <c r="AE7" s="318">
        <f t="shared" si="3"/>
        <v>2240.4138335999996</v>
      </c>
      <c r="AF7" s="318">
        <f t="shared" si="3"/>
        <v>2240.4138335999996</v>
      </c>
      <c r="AG7" s="318">
        <f t="shared" si="3"/>
        <v>2240.4138335999996</v>
      </c>
      <c r="AH7" s="318">
        <f t="shared" si="3"/>
        <v>2240.4138335999996</v>
      </c>
      <c r="AI7" s="318">
        <f t="shared" si="3"/>
        <v>2240.4138335999996</v>
      </c>
      <c r="AJ7" s="318">
        <f t="shared" si="3"/>
        <v>2240.4138335999996</v>
      </c>
      <c r="AK7" s="318">
        <f t="shared" si="3"/>
        <v>2240.4138335999996</v>
      </c>
      <c r="AL7" s="318">
        <f t="shared" si="3"/>
        <v>2240.4138335999996</v>
      </c>
      <c r="AM7" s="318">
        <f t="shared" si="3"/>
        <v>2240.4138335999996</v>
      </c>
      <c r="AN7" s="318">
        <f t="shared" si="3"/>
        <v>2240.4138335999996</v>
      </c>
      <c r="AO7" s="318">
        <f t="shared" si="3"/>
        <v>2240.4138335999996</v>
      </c>
      <c r="AP7" s="318">
        <f t="shared" si="3"/>
        <v>2240.4138335999996</v>
      </c>
      <c r="AQ7" s="318">
        <f t="shared" si="3"/>
        <v>2240.4138335999996</v>
      </c>
      <c r="AR7" s="318">
        <f t="shared" si="3"/>
        <v>2240.4138335999996</v>
      </c>
    </row>
    <row r="8" spans="1:44">
      <c r="A8" s="328" t="s">
        <v>1642</v>
      </c>
      <c r="B8" s="328" t="s">
        <v>1641</v>
      </c>
      <c r="C8" s="318">
        <f>J41*J42</f>
        <v>124467.43519999999</v>
      </c>
      <c r="D8" s="329">
        <f>I40</f>
        <v>8.9999999999999993E-3</v>
      </c>
      <c r="H8" s="316" t="s">
        <v>1042</v>
      </c>
      <c r="I8" s="318">
        <f>SUM(I4:I7)</f>
        <v>1261.210522538601</v>
      </c>
      <c r="J8" s="318">
        <f t="shared" ref="J8:AR8" si="4">SUM(J4:J7)</f>
        <v>15823.9004409386</v>
      </c>
      <c r="K8" s="318">
        <f t="shared" si="4"/>
        <v>17939.846839338599</v>
      </c>
      <c r="L8" s="318">
        <f t="shared" si="4"/>
        <v>5493.1033193386011</v>
      </c>
      <c r="M8" s="318">
        <f t="shared" si="4"/>
        <v>5493.1033193386011</v>
      </c>
      <c r="N8" s="318">
        <f t="shared" si="4"/>
        <v>5493.1033193386011</v>
      </c>
      <c r="O8" s="318">
        <f t="shared" si="4"/>
        <v>5493.1033193386011</v>
      </c>
      <c r="P8" s="318">
        <f t="shared" si="4"/>
        <v>5493.1033193386011</v>
      </c>
      <c r="Q8" s="318">
        <f t="shared" si="4"/>
        <v>5493.1033193386011</v>
      </c>
      <c r="R8" s="318">
        <f t="shared" si="4"/>
        <v>5493.1033193386011</v>
      </c>
      <c r="S8" s="318">
        <f t="shared" si="4"/>
        <v>5493.1033193386011</v>
      </c>
      <c r="T8" s="318">
        <f t="shared" si="4"/>
        <v>5493.1033193386011</v>
      </c>
      <c r="U8" s="318">
        <f t="shared" si="4"/>
        <v>5493.1033193386011</v>
      </c>
      <c r="V8" s="318">
        <f t="shared" si="4"/>
        <v>5493.1033193386011</v>
      </c>
      <c r="W8" s="318">
        <f t="shared" si="4"/>
        <v>5493.1033193386011</v>
      </c>
      <c r="X8" s="318">
        <f t="shared" si="4"/>
        <v>5493.1033193386011</v>
      </c>
      <c r="Y8" s="318">
        <f t="shared" si="4"/>
        <v>5493.1033193386011</v>
      </c>
      <c r="Z8" s="318">
        <f t="shared" si="4"/>
        <v>5493.1033193386011</v>
      </c>
      <c r="AA8" s="318">
        <f t="shared" si="4"/>
        <v>5493.1033193386011</v>
      </c>
      <c r="AB8" s="318">
        <f t="shared" si="4"/>
        <v>5493.1033193386011</v>
      </c>
      <c r="AC8" s="318">
        <f t="shared" si="4"/>
        <v>5493.1033193386011</v>
      </c>
      <c r="AD8" s="318">
        <f t="shared" si="4"/>
        <v>5493.1033193386011</v>
      </c>
      <c r="AE8" s="318">
        <f t="shared" si="4"/>
        <v>5493.1033193386011</v>
      </c>
      <c r="AF8" s="318">
        <f t="shared" si="4"/>
        <v>5493.1033193386011</v>
      </c>
      <c r="AG8" s="318">
        <f t="shared" si="4"/>
        <v>5493.1033193386011</v>
      </c>
      <c r="AH8" s="318">
        <f t="shared" si="4"/>
        <v>5493.1033193386011</v>
      </c>
      <c r="AI8" s="318">
        <f t="shared" si="4"/>
        <v>5493.1033193386011</v>
      </c>
      <c r="AJ8" s="318">
        <f t="shared" si="4"/>
        <v>5493.1033193386011</v>
      </c>
      <c r="AK8" s="318">
        <f t="shared" si="4"/>
        <v>5493.1033193386011</v>
      </c>
      <c r="AL8" s="318">
        <f t="shared" si="4"/>
        <v>5493.1033193386011</v>
      </c>
      <c r="AM8" s="318">
        <f t="shared" si="4"/>
        <v>5493.1033193386011</v>
      </c>
      <c r="AN8" s="318">
        <f t="shared" si="4"/>
        <v>5493.1033193386011</v>
      </c>
      <c r="AO8" s="318">
        <f t="shared" si="4"/>
        <v>5493.1033193386011</v>
      </c>
      <c r="AP8" s="318">
        <f t="shared" si="4"/>
        <v>5493.1033193386011</v>
      </c>
      <c r="AQ8" s="318">
        <f t="shared" si="4"/>
        <v>5493.1033193386011</v>
      </c>
      <c r="AR8" s="318">
        <f t="shared" si="4"/>
        <v>5493.1033193386011</v>
      </c>
    </row>
    <row r="11" spans="1:44" s="327" customFormat="1"/>
    <row r="12" spans="1:44">
      <c r="A12" s="836" t="s">
        <v>1643</v>
      </c>
      <c r="B12" s="836"/>
    </row>
    <row r="13" spans="1:44">
      <c r="A13" s="328" t="s">
        <v>1644</v>
      </c>
      <c r="B13" s="318">
        <f>'INPUTS&amp;OUTPUTS'!D34</f>
        <v>5044842.0901544038</v>
      </c>
    </row>
    <row r="14" spans="1:44">
      <c r="A14" s="328" t="s">
        <v>1645</v>
      </c>
      <c r="B14" s="329">
        <v>2.5000000000000001E-2</v>
      </c>
    </row>
    <row r="15" spans="1:44">
      <c r="A15" s="328" t="s">
        <v>1646</v>
      </c>
      <c r="B15" s="329">
        <v>0.01</v>
      </c>
    </row>
    <row r="16" spans="1:44">
      <c r="A16" s="328" t="s">
        <v>1647</v>
      </c>
      <c r="B16" s="318">
        <f>PRODUCT(B13:B15)</f>
        <v>1261.210522538601</v>
      </c>
    </row>
    <row r="19" spans="1:48">
      <c r="A19" s="836" t="s">
        <v>1648</v>
      </c>
      <c r="B19" s="836"/>
      <c r="C19" s="836"/>
      <c r="D19" s="836"/>
      <c r="E19" s="836"/>
      <c r="F19" s="836"/>
      <c r="G19" s="836"/>
      <c r="H19" s="836"/>
    </row>
    <row r="20" spans="1:48">
      <c r="H20" s="278"/>
      <c r="I20" s="316" t="s">
        <v>224</v>
      </c>
      <c r="J20" s="316" t="s">
        <v>84</v>
      </c>
      <c r="K20" s="316" t="s">
        <v>86</v>
      </c>
      <c r="L20" s="316" t="s">
        <v>92</v>
      </c>
      <c r="M20" s="316" t="s">
        <v>93</v>
      </c>
      <c r="N20" s="316" t="s">
        <v>94</v>
      </c>
      <c r="O20" s="316" t="s">
        <v>95</v>
      </c>
      <c r="P20" s="316" t="s">
        <v>96</v>
      </c>
      <c r="Q20" s="316" t="s">
        <v>97</v>
      </c>
      <c r="R20" s="316" t="s">
        <v>98</v>
      </c>
      <c r="S20" s="316" t="s">
        <v>99</v>
      </c>
      <c r="T20" s="316" t="s">
        <v>100</v>
      </c>
      <c r="U20" s="316" t="s">
        <v>101</v>
      </c>
      <c r="V20" s="316" t="s">
        <v>102</v>
      </c>
      <c r="W20" s="316" t="s">
        <v>103</v>
      </c>
      <c r="X20" s="316" t="s">
        <v>104</v>
      </c>
      <c r="Y20" s="316" t="s">
        <v>105</v>
      </c>
      <c r="Z20" s="316" t="s">
        <v>106</v>
      </c>
      <c r="AA20" s="316" t="s">
        <v>107</v>
      </c>
      <c r="AB20" s="316" t="s">
        <v>108</v>
      </c>
      <c r="AC20" s="316" t="s">
        <v>109</v>
      </c>
      <c r="AD20" s="316" t="s">
        <v>110</v>
      </c>
      <c r="AE20" s="316" t="s">
        <v>111</v>
      </c>
      <c r="AF20" s="316" t="s">
        <v>112</v>
      </c>
      <c r="AG20" s="316" t="s">
        <v>113</v>
      </c>
      <c r="AH20" s="316" t="s">
        <v>114</v>
      </c>
      <c r="AI20" s="316" t="s">
        <v>115</v>
      </c>
      <c r="AJ20" s="316" t="s">
        <v>116</v>
      </c>
      <c r="AK20" s="316" t="s">
        <v>117</v>
      </c>
      <c r="AL20" s="316" t="s">
        <v>118</v>
      </c>
      <c r="AM20" s="316" t="s">
        <v>119</v>
      </c>
      <c r="AN20" s="316" t="s">
        <v>120</v>
      </c>
      <c r="AO20" s="316" t="s">
        <v>121</v>
      </c>
      <c r="AP20" s="316" t="s">
        <v>122</v>
      </c>
      <c r="AQ20" s="316" t="s">
        <v>123</v>
      </c>
      <c r="AR20" s="316" t="s">
        <v>124</v>
      </c>
    </row>
    <row r="21" spans="1:48">
      <c r="H21" s="278"/>
      <c r="I21" s="316">
        <v>2025</v>
      </c>
      <c r="J21" s="316">
        <v>2026</v>
      </c>
      <c r="K21" s="316">
        <v>2027</v>
      </c>
      <c r="L21" s="316">
        <v>2028</v>
      </c>
      <c r="M21" s="316">
        <v>2029</v>
      </c>
      <c r="N21" s="316">
        <v>2030</v>
      </c>
      <c r="O21" s="316">
        <v>2031</v>
      </c>
      <c r="P21" s="316">
        <v>2032</v>
      </c>
      <c r="Q21" s="316">
        <v>2033</v>
      </c>
      <c r="R21" s="316">
        <v>2034</v>
      </c>
      <c r="S21" s="316">
        <v>2035</v>
      </c>
      <c r="T21" s="316">
        <v>2036</v>
      </c>
      <c r="U21" s="316">
        <v>2037</v>
      </c>
      <c r="V21" s="316">
        <v>2038</v>
      </c>
      <c r="W21" s="316">
        <v>2039</v>
      </c>
      <c r="X21" s="316">
        <v>2040</v>
      </c>
      <c r="Y21" s="316">
        <v>2041</v>
      </c>
      <c r="Z21" s="316">
        <v>2042</v>
      </c>
      <c r="AA21" s="316">
        <v>2043</v>
      </c>
      <c r="AB21" s="316">
        <v>2044</v>
      </c>
      <c r="AC21" s="316">
        <v>2045</v>
      </c>
      <c r="AD21" s="316">
        <v>2046</v>
      </c>
      <c r="AE21" s="316">
        <v>2047</v>
      </c>
      <c r="AF21" s="316">
        <v>2048</v>
      </c>
      <c r="AG21" s="316">
        <v>2049</v>
      </c>
      <c r="AH21" s="316">
        <v>2050</v>
      </c>
      <c r="AI21" s="316">
        <v>2051</v>
      </c>
      <c r="AJ21" s="316">
        <v>2052</v>
      </c>
      <c r="AK21" s="316">
        <v>2053</v>
      </c>
      <c r="AL21" s="316">
        <v>2054</v>
      </c>
      <c r="AM21" s="316">
        <v>2055</v>
      </c>
      <c r="AN21" s="316">
        <v>2056</v>
      </c>
      <c r="AO21" s="316">
        <v>2057</v>
      </c>
      <c r="AP21" s="316">
        <v>2058</v>
      </c>
      <c r="AQ21" s="316">
        <v>2059</v>
      </c>
      <c r="AR21" s="316">
        <v>2060</v>
      </c>
    </row>
    <row r="22" spans="1:48">
      <c r="H22" s="324" t="s">
        <v>179</v>
      </c>
      <c r="I22" s="330">
        <f>CAPEX!H29</f>
        <v>0</v>
      </c>
      <c r="J22" s="330">
        <f>CAPEX!I29</f>
        <v>3111685.88</v>
      </c>
      <c r="K22" s="330">
        <f>CAPEX!J29</f>
        <v>3111685.88</v>
      </c>
      <c r="L22" s="330">
        <f>CAPEX!K29</f>
        <v>0</v>
      </c>
      <c r="M22" s="330">
        <f>CAPEX!L29</f>
        <v>0</v>
      </c>
      <c r="N22" s="330">
        <f>CAPEX!M29</f>
        <v>0</v>
      </c>
      <c r="O22" s="330">
        <f>CAPEX!N29</f>
        <v>0</v>
      </c>
      <c r="P22" s="330">
        <f>CAPEX!O29</f>
        <v>0</v>
      </c>
      <c r="Q22" s="330">
        <f>CAPEX!P29</f>
        <v>0</v>
      </c>
      <c r="R22" s="330">
        <f>CAPEX!Q29</f>
        <v>0</v>
      </c>
      <c r="S22" s="330">
        <f>CAPEX!R29</f>
        <v>0</v>
      </c>
      <c r="T22" s="330">
        <f>CAPEX!S29</f>
        <v>0</v>
      </c>
      <c r="U22" s="330">
        <f>CAPEX!T29</f>
        <v>0</v>
      </c>
      <c r="V22" s="330">
        <f>CAPEX!U29</f>
        <v>0</v>
      </c>
      <c r="W22" s="330">
        <f>CAPEX!V29</f>
        <v>0</v>
      </c>
      <c r="X22" s="330">
        <f>CAPEX!W29</f>
        <v>0</v>
      </c>
      <c r="Y22" s="330">
        <f>CAPEX!X29</f>
        <v>0</v>
      </c>
      <c r="Z22" s="330">
        <f>CAPEX!Y29</f>
        <v>0</v>
      </c>
      <c r="AA22" s="330">
        <f>CAPEX!Z29</f>
        <v>0</v>
      </c>
      <c r="AB22" s="330">
        <f>CAPEX!AA29</f>
        <v>0</v>
      </c>
      <c r="AC22" s="330">
        <f>CAPEX!AB29</f>
        <v>0</v>
      </c>
      <c r="AD22" s="330">
        <f>CAPEX!AC29</f>
        <v>0</v>
      </c>
      <c r="AE22" s="330">
        <f>CAPEX!AD29</f>
        <v>0</v>
      </c>
      <c r="AF22" s="330">
        <f>CAPEX!AE29</f>
        <v>0</v>
      </c>
      <c r="AG22" s="330">
        <f>CAPEX!AF29</f>
        <v>0</v>
      </c>
      <c r="AH22" s="330">
        <f>CAPEX!AG29</f>
        <v>0</v>
      </c>
      <c r="AI22" s="330">
        <f>CAPEX!AH29</f>
        <v>0</v>
      </c>
      <c r="AJ22" s="330">
        <f>CAPEX!AI29</f>
        <v>0</v>
      </c>
      <c r="AK22" s="330">
        <f>CAPEX!AJ29</f>
        <v>0</v>
      </c>
      <c r="AL22" s="330">
        <f>CAPEX!AK29</f>
        <v>0</v>
      </c>
      <c r="AM22" s="330">
        <f>CAPEX!AL29</f>
        <v>0</v>
      </c>
      <c r="AN22" s="330">
        <f>CAPEX!AM29</f>
        <v>0</v>
      </c>
      <c r="AO22" s="330">
        <f>CAPEX!AN29</f>
        <v>0</v>
      </c>
      <c r="AP22" s="330">
        <f>CAPEX!AO29</f>
        <v>0</v>
      </c>
      <c r="AQ22" s="330">
        <f>CAPEX!AP29</f>
        <v>0</v>
      </c>
      <c r="AR22" s="330">
        <f>CAPEX!AQ29</f>
        <v>0</v>
      </c>
    </row>
    <row r="23" spans="1:48">
      <c r="A23" s="939" t="s">
        <v>1649</v>
      </c>
      <c r="B23" s="939"/>
      <c r="C23" s="939"/>
      <c r="D23" s="939"/>
      <c r="E23" s="939"/>
      <c r="H23" s="324" t="s">
        <v>1650</v>
      </c>
      <c r="I23" s="329">
        <v>1</v>
      </c>
      <c r="J23" s="329">
        <v>1</v>
      </c>
      <c r="K23" s="329">
        <v>1</v>
      </c>
      <c r="L23" s="329">
        <v>1</v>
      </c>
      <c r="M23" s="329">
        <v>1</v>
      </c>
      <c r="N23" s="329">
        <v>1</v>
      </c>
      <c r="O23" s="329">
        <v>1</v>
      </c>
      <c r="P23" s="329">
        <v>1</v>
      </c>
      <c r="Q23" s="329">
        <v>1</v>
      </c>
      <c r="R23" s="329">
        <v>1</v>
      </c>
      <c r="S23" s="329">
        <v>1</v>
      </c>
      <c r="T23" s="329">
        <v>1</v>
      </c>
      <c r="U23" s="329">
        <v>1</v>
      </c>
      <c r="V23" s="329">
        <v>1</v>
      </c>
      <c r="W23" s="329">
        <v>1</v>
      </c>
      <c r="X23" s="329">
        <v>1</v>
      </c>
      <c r="Y23" s="329">
        <v>1</v>
      </c>
      <c r="Z23" s="329">
        <v>1</v>
      </c>
      <c r="AA23" s="329">
        <v>1</v>
      </c>
      <c r="AB23" s="329">
        <v>1</v>
      </c>
      <c r="AC23" s="329">
        <v>1</v>
      </c>
      <c r="AD23" s="329">
        <v>1</v>
      </c>
      <c r="AE23" s="329">
        <v>1</v>
      </c>
      <c r="AF23" s="329">
        <v>1</v>
      </c>
      <c r="AG23" s="329">
        <v>1</v>
      </c>
      <c r="AH23" s="329">
        <v>1</v>
      </c>
      <c r="AI23" s="329">
        <v>1</v>
      </c>
      <c r="AJ23" s="329">
        <v>1</v>
      </c>
      <c r="AK23" s="329">
        <v>1</v>
      </c>
      <c r="AL23" s="329">
        <v>1</v>
      </c>
      <c r="AM23" s="329">
        <v>1</v>
      </c>
      <c r="AN23" s="329">
        <v>1</v>
      </c>
      <c r="AO23" s="329">
        <v>1</v>
      </c>
      <c r="AP23" s="329">
        <v>1</v>
      </c>
      <c r="AQ23" s="329">
        <v>1</v>
      </c>
      <c r="AR23" s="329">
        <v>1</v>
      </c>
    </row>
    <row r="24" spans="1:48">
      <c r="A24" s="939"/>
      <c r="B24" s="939"/>
      <c r="C24" s="939"/>
      <c r="D24" s="939"/>
      <c r="E24" s="939"/>
      <c r="H24" s="324" t="s">
        <v>1651</v>
      </c>
      <c r="I24" s="329">
        <v>4.0000000000000001E-3</v>
      </c>
      <c r="J24" s="329">
        <v>4.0000000000000001E-3</v>
      </c>
      <c r="K24" s="329">
        <v>4.0000000000000001E-3</v>
      </c>
      <c r="L24" s="329">
        <v>4.0000000000000001E-3</v>
      </c>
      <c r="M24" s="329">
        <v>4.0000000000000001E-3</v>
      </c>
      <c r="N24" s="329">
        <v>4.0000000000000001E-3</v>
      </c>
      <c r="O24" s="329">
        <v>4.0000000000000001E-3</v>
      </c>
      <c r="P24" s="329">
        <v>4.0000000000000001E-3</v>
      </c>
      <c r="Q24" s="329">
        <v>4.0000000000000001E-3</v>
      </c>
      <c r="R24" s="329">
        <v>4.0000000000000001E-3</v>
      </c>
      <c r="S24" s="329">
        <v>4.0000000000000001E-3</v>
      </c>
      <c r="T24" s="329">
        <v>4.0000000000000001E-3</v>
      </c>
      <c r="U24" s="329">
        <v>4.0000000000000001E-3</v>
      </c>
      <c r="V24" s="329">
        <v>4.0000000000000001E-3</v>
      </c>
      <c r="W24" s="329">
        <v>4.0000000000000001E-3</v>
      </c>
      <c r="X24" s="329">
        <v>4.0000000000000001E-3</v>
      </c>
      <c r="Y24" s="329">
        <v>4.0000000000000001E-3</v>
      </c>
      <c r="Z24" s="329">
        <v>4.0000000000000001E-3</v>
      </c>
      <c r="AA24" s="329">
        <v>4.0000000000000001E-3</v>
      </c>
      <c r="AB24" s="329">
        <v>4.0000000000000001E-3</v>
      </c>
      <c r="AC24" s="329">
        <v>4.0000000000000001E-3</v>
      </c>
      <c r="AD24" s="329">
        <v>4.0000000000000001E-3</v>
      </c>
      <c r="AE24" s="329">
        <v>4.0000000000000001E-3</v>
      </c>
      <c r="AF24" s="329">
        <v>4.0000000000000001E-3</v>
      </c>
      <c r="AG24" s="329">
        <v>4.0000000000000001E-3</v>
      </c>
      <c r="AH24" s="329">
        <v>4.0000000000000001E-3</v>
      </c>
      <c r="AI24" s="329">
        <v>4.0000000000000001E-3</v>
      </c>
      <c r="AJ24" s="329">
        <v>4.0000000000000001E-3</v>
      </c>
      <c r="AK24" s="329">
        <v>4.0000000000000001E-3</v>
      </c>
      <c r="AL24" s="329">
        <v>4.0000000000000001E-3</v>
      </c>
      <c r="AM24" s="329">
        <v>4.0000000000000001E-3</v>
      </c>
      <c r="AN24" s="329">
        <v>4.0000000000000001E-3</v>
      </c>
      <c r="AO24" s="329">
        <v>4.0000000000000001E-3</v>
      </c>
      <c r="AP24" s="329">
        <v>4.0000000000000001E-3</v>
      </c>
      <c r="AQ24" s="329">
        <v>4.0000000000000001E-3</v>
      </c>
      <c r="AR24" s="329">
        <v>4.0000000000000001E-3</v>
      </c>
    </row>
    <row r="25" spans="1:48">
      <c r="H25" s="324" t="s">
        <v>1652</v>
      </c>
      <c r="I25" s="329">
        <v>0</v>
      </c>
      <c r="J25" s="329">
        <v>0</v>
      </c>
      <c r="K25" s="329">
        <v>0</v>
      </c>
      <c r="L25" s="329">
        <v>0</v>
      </c>
      <c r="M25" s="329">
        <v>0</v>
      </c>
      <c r="N25" s="329">
        <v>0</v>
      </c>
      <c r="O25" s="329">
        <v>0</v>
      </c>
      <c r="P25" s="329">
        <v>0</v>
      </c>
      <c r="Q25" s="329">
        <v>0</v>
      </c>
      <c r="R25" s="329">
        <v>0</v>
      </c>
      <c r="S25" s="329">
        <v>0</v>
      </c>
      <c r="T25" s="329">
        <v>0</v>
      </c>
      <c r="U25" s="329">
        <v>0</v>
      </c>
      <c r="V25" s="329">
        <v>0</v>
      </c>
      <c r="W25" s="329">
        <v>0</v>
      </c>
      <c r="X25" s="329">
        <v>0</v>
      </c>
      <c r="Y25" s="329">
        <v>0</v>
      </c>
      <c r="Z25" s="329">
        <v>0</v>
      </c>
      <c r="AA25" s="329">
        <v>0</v>
      </c>
      <c r="AB25" s="329">
        <v>0</v>
      </c>
      <c r="AC25" s="329">
        <v>0</v>
      </c>
      <c r="AD25" s="329">
        <v>0</v>
      </c>
      <c r="AE25" s="329">
        <v>0</v>
      </c>
      <c r="AF25" s="329">
        <v>0</v>
      </c>
      <c r="AG25" s="329">
        <v>0</v>
      </c>
      <c r="AH25" s="329">
        <v>0</v>
      </c>
      <c r="AI25" s="329">
        <v>0</v>
      </c>
      <c r="AJ25" s="329">
        <v>0</v>
      </c>
      <c r="AK25" s="329">
        <v>0</v>
      </c>
      <c r="AL25" s="329">
        <v>0</v>
      </c>
      <c r="AM25" s="329">
        <v>0</v>
      </c>
      <c r="AN25" s="329">
        <v>0</v>
      </c>
      <c r="AO25" s="329">
        <v>0</v>
      </c>
      <c r="AP25" s="329">
        <v>0</v>
      </c>
      <c r="AQ25" s="329">
        <v>0</v>
      </c>
      <c r="AR25" s="329">
        <v>0</v>
      </c>
    </row>
    <row r="26" spans="1:48">
      <c r="H26" s="324" t="s">
        <v>1653</v>
      </c>
      <c r="I26" s="330">
        <f>PRODUCT(I22:I24)*(1+I25)</f>
        <v>0</v>
      </c>
      <c r="J26" s="330">
        <f t="shared" ref="J26:AR26" si="5">PRODUCT(J22:J24)*(1+J25)</f>
        <v>12446.74352</v>
      </c>
      <c r="K26" s="330">
        <f t="shared" si="5"/>
        <v>12446.74352</v>
      </c>
      <c r="L26" s="330">
        <f t="shared" si="5"/>
        <v>0</v>
      </c>
      <c r="M26" s="330">
        <f t="shared" si="5"/>
        <v>0</v>
      </c>
      <c r="N26" s="330">
        <f t="shared" si="5"/>
        <v>0</v>
      </c>
      <c r="O26" s="330">
        <f t="shared" si="5"/>
        <v>0</v>
      </c>
      <c r="P26" s="330">
        <f t="shared" si="5"/>
        <v>0</v>
      </c>
      <c r="Q26" s="330">
        <f t="shared" si="5"/>
        <v>0</v>
      </c>
      <c r="R26" s="330">
        <f t="shared" si="5"/>
        <v>0</v>
      </c>
      <c r="S26" s="330">
        <f t="shared" si="5"/>
        <v>0</v>
      </c>
      <c r="T26" s="330">
        <f t="shared" si="5"/>
        <v>0</v>
      </c>
      <c r="U26" s="330">
        <f t="shared" si="5"/>
        <v>0</v>
      </c>
      <c r="V26" s="330">
        <f t="shared" si="5"/>
        <v>0</v>
      </c>
      <c r="W26" s="330">
        <f t="shared" si="5"/>
        <v>0</v>
      </c>
      <c r="X26" s="330">
        <f t="shared" si="5"/>
        <v>0</v>
      </c>
      <c r="Y26" s="330">
        <f t="shared" si="5"/>
        <v>0</v>
      </c>
      <c r="Z26" s="330">
        <f t="shared" si="5"/>
        <v>0</v>
      </c>
      <c r="AA26" s="330">
        <f t="shared" si="5"/>
        <v>0</v>
      </c>
      <c r="AB26" s="330">
        <f t="shared" si="5"/>
        <v>0</v>
      </c>
      <c r="AC26" s="330">
        <f t="shared" si="5"/>
        <v>0</v>
      </c>
      <c r="AD26" s="330">
        <f t="shared" si="5"/>
        <v>0</v>
      </c>
      <c r="AE26" s="330">
        <f t="shared" si="5"/>
        <v>0</v>
      </c>
      <c r="AF26" s="330">
        <f t="shared" si="5"/>
        <v>0</v>
      </c>
      <c r="AG26" s="330">
        <f t="shared" si="5"/>
        <v>0</v>
      </c>
      <c r="AH26" s="330">
        <f t="shared" si="5"/>
        <v>0</v>
      </c>
      <c r="AI26" s="330">
        <f t="shared" si="5"/>
        <v>0</v>
      </c>
      <c r="AJ26" s="330">
        <f t="shared" si="5"/>
        <v>0</v>
      </c>
      <c r="AK26" s="330">
        <f t="shared" si="5"/>
        <v>0</v>
      </c>
      <c r="AL26" s="330">
        <f t="shared" si="5"/>
        <v>0</v>
      </c>
      <c r="AM26" s="330">
        <f t="shared" si="5"/>
        <v>0</v>
      </c>
      <c r="AN26" s="330">
        <f t="shared" si="5"/>
        <v>0</v>
      </c>
      <c r="AO26" s="330">
        <f t="shared" si="5"/>
        <v>0</v>
      </c>
      <c r="AP26" s="330">
        <f t="shared" si="5"/>
        <v>0</v>
      </c>
      <c r="AQ26" s="330">
        <f t="shared" si="5"/>
        <v>0</v>
      </c>
      <c r="AR26" s="330">
        <f t="shared" si="5"/>
        <v>0</v>
      </c>
    </row>
    <row r="27" spans="1:48">
      <c r="H27" s="278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  <c r="X27" s="285"/>
      <c r="Y27" s="285"/>
      <c r="Z27" s="285"/>
      <c r="AA27" s="285"/>
      <c r="AB27" s="285"/>
      <c r="AC27" s="285"/>
      <c r="AD27" s="285"/>
      <c r="AE27" s="285"/>
      <c r="AF27" s="285"/>
      <c r="AG27" s="285"/>
      <c r="AH27" s="285"/>
      <c r="AI27" s="285"/>
      <c r="AJ27" s="285"/>
      <c r="AK27" s="285"/>
      <c r="AL27" s="285"/>
      <c r="AM27" s="285"/>
      <c r="AN27" s="285"/>
      <c r="AO27" s="285"/>
      <c r="AP27" s="285"/>
      <c r="AQ27" s="285"/>
      <c r="AR27" s="285"/>
    </row>
    <row r="28" spans="1:48"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  <c r="AD28" s="320"/>
      <c r="AE28" s="320"/>
      <c r="AF28" s="320"/>
      <c r="AG28" s="320"/>
      <c r="AH28" s="320"/>
      <c r="AI28" s="320"/>
      <c r="AJ28" s="320"/>
      <c r="AK28" s="320"/>
      <c r="AL28" s="320"/>
      <c r="AM28" s="320"/>
      <c r="AN28" s="320"/>
      <c r="AO28" s="320"/>
      <c r="AP28" s="320"/>
      <c r="AQ28" s="320"/>
      <c r="AR28" s="320"/>
    </row>
    <row r="29" spans="1:48">
      <c r="A29" s="836" t="s">
        <v>1654</v>
      </c>
      <c r="B29" s="836"/>
      <c r="C29" s="836"/>
      <c r="D29" s="836"/>
      <c r="E29" s="836"/>
      <c r="F29" s="836"/>
      <c r="G29" s="836"/>
      <c r="H29" s="836"/>
    </row>
    <row r="30" spans="1:48">
      <c r="H30" s="278"/>
      <c r="I30" s="316" t="s">
        <v>224</v>
      </c>
      <c r="J30" s="316" t="s">
        <v>84</v>
      </c>
      <c r="K30" s="316" t="s">
        <v>86</v>
      </c>
      <c r="L30" s="316" t="s">
        <v>92</v>
      </c>
      <c r="M30" s="316" t="s">
        <v>93</v>
      </c>
      <c r="N30" s="316" t="s">
        <v>94</v>
      </c>
      <c r="O30" s="316" t="s">
        <v>95</v>
      </c>
      <c r="P30" s="316" t="s">
        <v>96</v>
      </c>
      <c r="Q30" s="316" t="s">
        <v>97</v>
      </c>
      <c r="R30" s="316" t="s">
        <v>98</v>
      </c>
      <c r="S30" s="316" t="s">
        <v>99</v>
      </c>
      <c r="T30" s="316" t="s">
        <v>100</v>
      </c>
      <c r="U30" s="316" t="s">
        <v>101</v>
      </c>
      <c r="V30" s="316" t="s">
        <v>102</v>
      </c>
      <c r="W30" s="316" t="s">
        <v>103</v>
      </c>
      <c r="X30" s="316" t="s">
        <v>104</v>
      </c>
      <c r="Y30" s="316" t="s">
        <v>105</v>
      </c>
      <c r="Z30" s="316" t="s">
        <v>106</v>
      </c>
      <c r="AA30" s="316" t="s">
        <v>107</v>
      </c>
      <c r="AB30" s="316" t="s">
        <v>108</v>
      </c>
      <c r="AC30" s="316" t="s">
        <v>109</v>
      </c>
      <c r="AD30" s="316" t="s">
        <v>110</v>
      </c>
      <c r="AE30" s="316" t="s">
        <v>111</v>
      </c>
      <c r="AF30" s="316" t="s">
        <v>112</v>
      </c>
      <c r="AG30" s="316" t="s">
        <v>113</v>
      </c>
      <c r="AH30" s="316" t="s">
        <v>114</v>
      </c>
      <c r="AI30" s="316" t="s">
        <v>115</v>
      </c>
      <c r="AJ30" s="316" t="s">
        <v>116</v>
      </c>
      <c r="AK30" s="316" t="s">
        <v>117</v>
      </c>
      <c r="AL30" s="316" t="s">
        <v>118</v>
      </c>
      <c r="AM30" s="316" t="s">
        <v>119</v>
      </c>
      <c r="AN30" s="316" t="s">
        <v>120</v>
      </c>
      <c r="AO30" s="316" t="s">
        <v>121</v>
      </c>
      <c r="AP30" s="316" t="s">
        <v>122</v>
      </c>
      <c r="AQ30" s="316" t="s">
        <v>123</v>
      </c>
      <c r="AR30" s="316" t="s">
        <v>124</v>
      </c>
      <c r="AS30" s="278"/>
      <c r="AT30" s="278"/>
      <c r="AU30" s="278"/>
      <c r="AV30" s="278"/>
    </row>
    <row r="31" spans="1:48">
      <c r="H31" s="278"/>
      <c r="I31" s="316">
        <v>2025</v>
      </c>
      <c r="J31" s="316">
        <v>2026</v>
      </c>
      <c r="K31" s="316">
        <v>2027</v>
      </c>
      <c r="L31" s="316">
        <v>2028</v>
      </c>
      <c r="M31" s="316">
        <v>2029</v>
      </c>
      <c r="N31" s="316">
        <v>2030</v>
      </c>
      <c r="O31" s="316">
        <v>2031</v>
      </c>
      <c r="P31" s="316">
        <v>2032</v>
      </c>
      <c r="Q31" s="316">
        <v>2033</v>
      </c>
      <c r="R31" s="316">
        <v>2034</v>
      </c>
      <c r="S31" s="316">
        <v>2035</v>
      </c>
      <c r="T31" s="316">
        <v>2036</v>
      </c>
      <c r="U31" s="316">
        <v>2037</v>
      </c>
      <c r="V31" s="316">
        <v>2038</v>
      </c>
      <c r="W31" s="316">
        <v>2039</v>
      </c>
      <c r="X31" s="316">
        <v>2040</v>
      </c>
      <c r="Y31" s="316">
        <v>2041</v>
      </c>
      <c r="Z31" s="316">
        <v>2042</v>
      </c>
      <c r="AA31" s="316">
        <v>2043</v>
      </c>
      <c r="AB31" s="316">
        <v>2044</v>
      </c>
      <c r="AC31" s="316">
        <v>2045</v>
      </c>
      <c r="AD31" s="316">
        <v>2046</v>
      </c>
      <c r="AE31" s="316">
        <v>2047</v>
      </c>
      <c r="AF31" s="316">
        <v>2048</v>
      </c>
      <c r="AG31" s="316">
        <v>2049</v>
      </c>
      <c r="AH31" s="316">
        <v>2050</v>
      </c>
      <c r="AI31" s="316">
        <v>2051</v>
      </c>
      <c r="AJ31" s="316">
        <v>2052</v>
      </c>
      <c r="AK31" s="316">
        <v>2053</v>
      </c>
      <c r="AL31" s="316">
        <v>2054</v>
      </c>
      <c r="AM31" s="316">
        <v>2055</v>
      </c>
      <c r="AN31" s="316">
        <v>2056</v>
      </c>
      <c r="AO31" s="316">
        <v>2057</v>
      </c>
      <c r="AP31" s="316">
        <v>2058</v>
      </c>
      <c r="AQ31" s="316">
        <v>2059</v>
      </c>
      <c r="AR31" s="316">
        <v>2060</v>
      </c>
      <c r="AS31" s="278"/>
      <c r="AT31" s="278"/>
      <c r="AU31" s="278"/>
      <c r="AV31" s="278"/>
    </row>
    <row r="32" spans="1:48">
      <c r="H32" s="324" t="s">
        <v>1651</v>
      </c>
      <c r="I32" s="329">
        <v>8.0000000000000002E-3</v>
      </c>
      <c r="J32" s="329">
        <v>8.0000000000000002E-3</v>
      </c>
      <c r="K32" s="329">
        <v>8.0000000000000002E-3</v>
      </c>
      <c r="L32" s="329">
        <v>8.0000000000000002E-3</v>
      </c>
      <c r="M32" s="329">
        <v>8.0000000000000002E-3</v>
      </c>
      <c r="N32" s="329">
        <v>8.0000000000000002E-3</v>
      </c>
      <c r="O32" s="329">
        <v>8.0000000000000002E-3</v>
      </c>
      <c r="P32" s="329">
        <v>8.0000000000000002E-3</v>
      </c>
      <c r="Q32" s="329">
        <v>8.0000000000000002E-3</v>
      </c>
      <c r="R32" s="329">
        <v>8.0000000000000002E-3</v>
      </c>
      <c r="S32" s="329">
        <v>8.0000000000000002E-3</v>
      </c>
      <c r="T32" s="329">
        <v>8.0000000000000002E-3</v>
      </c>
      <c r="U32" s="329">
        <v>8.0000000000000002E-3</v>
      </c>
      <c r="V32" s="329">
        <v>8.0000000000000002E-3</v>
      </c>
      <c r="W32" s="329">
        <v>8.0000000000000002E-3</v>
      </c>
      <c r="X32" s="329">
        <v>8.0000000000000002E-3</v>
      </c>
      <c r="Y32" s="329">
        <v>8.0000000000000002E-3</v>
      </c>
      <c r="Z32" s="329">
        <v>8.0000000000000002E-3</v>
      </c>
      <c r="AA32" s="329">
        <v>8.0000000000000002E-3</v>
      </c>
      <c r="AB32" s="329">
        <v>8.0000000000000002E-3</v>
      </c>
      <c r="AC32" s="329">
        <v>8.0000000000000002E-3</v>
      </c>
      <c r="AD32" s="329">
        <v>8.0000000000000002E-3</v>
      </c>
      <c r="AE32" s="329">
        <v>8.0000000000000002E-3</v>
      </c>
      <c r="AF32" s="329">
        <v>8.0000000000000002E-3</v>
      </c>
      <c r="AG32" s="329">
        <v>8.0000000000000002E-3</v>
      </c>
      <c r="AH32" s="329">
        <v>8.0000000000000002E-3</v>
      </c>
      <c r="AI32" s="329">
        <v>8.0000000000000002E-3</v>
      </c>
      <c r="AJ32" s="329">
        <v>8.0000000000000002E-3</v>
      </c>
      <c r="AK32" s="329">
        <v>8.0000000000000002E-3</v>
      </c>
      <c r="AL32" s="329">
        <v>8.0000000000000002E-3</v>
      </c>
      <c r="AM32" s="329">
        <v>8.0000000000000002E-3</v>
      </c>
      <c r="AN32" s="329">
        <v>8.0000000000000002E-3</v>
      </c>
      <c r="AO32" s="329">
        <v>8.0000000000000002E-3</v>
      </c>
      <c r="AP32" s="329">
        <v>8.0000000000000002E-3</v>
      </c>
      <c r="AQ32" s="329">
        <v>8.0000000000000002E-3</v>
      </c>
      <c r="AR32" s="329">
        <v>8.0000000000000002E-3</v>
      </c>
      <c r="AS32" s="278"/>
      <c r="AT32" s="278"/>
      <c r="AU32" s="278"/>
      <c r="AV32" s="278"/>
    </row>
    <row r="33" spans="1:48">
      <c r="A33" s="939" t="s">
        <v>1655</v>
      </c>
      <c r="B33" s="939"/>
      <c r="C33" s="939"/>
      <c r="D33" s="939"/>
      <c r="E33" s="939"/>
      <c r="H33" s="324" t="s">
        <v>1656</v>
      </c>
      <c r="I33" s="330">
        <f>SUM($I$22:I22)</f>
        <v>0</v>
      </c>
      <c r="J33" s="330">
        <f>SUM($I$22:J22)</f>
        <v>3111685.88</v>
      </c>
      <c r="K33" s="330">
        <f>SUM($I$22:K22)</f>
        <v>6223371.7599999998</v>
      </c>
      <c r="L33" s="330">
        <f>SUM($I$22:L22)</f>
        <v>6223371.7599999998</v>
      </c>
      <c r="M33" s="330">
        <f>SUM($I$22:M22)</f>
        <v>6223371.7599999998</v>
      </c>
      <c r="N33" s="330">
        <f>SUM($I$22:N22)</f>
        <v>6223371.7599999998</v>
      </c>
      <c r="O33" s="330">
        <f>SUM($I$22:O22)</f>
        <v>6223371.7599999998</v>
      </c>
      <c r="P33" s="330">
        <f>SUM($I$22:P22)</f>
        <v>6223371.7599999998</v>
      </c>
      <c r="Q33" s="330">
        <f>SUM($I$22:Q22)</f>
        <v>6223371.7599999998</v>
      </c>
      <c r="R33" s="330">
        <f>SUM($I$22:R22)</f>
        <v>6223371.7599999998</v>
      </c>
      <c r="S33" s="330">
        <f>SUM($I$22:S22)</f>
        <v>6223371.7599999998</v>
      </c>
      <c r="T33" s="330">
        <f>SUM($I$22:T22)</f>
        <v>6223371.7599999998</v>
      </c>
      <c r="U33" s="330">
        <f>SUM($I$22:U22)</f>
        <v>6223371.7599999998</v>
      </c>
      <c r="V33" s="330">
        <f>SUM($I$22:V22)</f>
        <v>6223371.7599999998</v>
      </c>
      <c r="W33" s="330">
        <f>SUM($I$22:W22)</f>
        <v>6223371.7599999998</v>
      </c>
      <c r="X33" s="330">
        <f>SUM($I$22:X22)</f>
        <v>6223371.7599999998</v>
      </c>
      <c r="Y33" s="330">
        <f>SUM($I$22:Y22)</f>
        <v>6223371.7599999998</v>
      </c>
      <c r="Z33" s="330">
        <f>SUM($I$22:Z22)</f>
        <v>6223371.7599999998</v>
      </c>
      <c r="AA33" s="330">
        <f>SUM($I$22:AA22)</f>
        <v>6223371.7599999998</v>
      </c>
      <c r="AB33" s="330">
        <f>SUM($I$22:AB22)</f>
        <v>6223371.7599999998</v>
      </c>
      <c r="AC33" s="330">
        <f>SUM($I$22:AC22)</f>
        <v>6223371.7599999998</v>
      </c>
      <c r="AD33" s="330">
        <f>SUM($I$22:AD22)</f>
        <v>6223371.7599999998</v>
      </c>
      <c r="AE33" s="330">
        <f>SUM($I$22:AE22)</f>
        <v>6223371.7599999998</v>
      </c>
      <c r="AF33" s="330">
        <f>SUM($I$22:AF22)</f>
        <v>6223371.7599999998</v>
      </c>
      <c r="AG33" s="330">
        <f>SUM($I$22:AG22)</f>
        <v>6223371.7599999998</v>
      </c>
      <c r="AH33" s="330">
        <f>SUM($I$22:AH22)</f>
        <v>6223371.7599999998</v>
      </c>
      <c r="AI33" s="330">
        <f>SUM($I$22:AI22)</f>
        <v>6223371.7599999998</v>
      </c>
      <c r="AJ33" s="330">
        <f>SUM($I$22:AJ22)</f>
        <v>6223371.7599999998</v>
      </c>
      <c r="AK33" s="330">
        <f>SUM($I$22:AK22)</f>
        <v>6223371.7599999998</v>
      </c>
      <c r="AL33" s="330">
        <f>SUM($I$22:AL22)</f>
        <v>6223371.7599999998</v>
      </c>
      <c r="AM33" s="330">
        <f>SUM($I$22:AM22)</f>
        <v>6223371.7599999998</v>
      </c>
      <c r="AN33" s="330">
        <f>SUM($I$22:AN22)</f>
        <v>6223371.7599999998</v>
      </c>
      <c r="AO33" s="330">
        <f>SUM($I$22:AO22)</f>
        <v>6223371.7599999998</v>
      </c>
      <c r="AP33" s="330">
        <f>SUM($I$22:AP22)</f>
        <v>6223371.7599999998</v>
      </c>
      <c r="AQ33" s="330">
        <f>SUM($I$22:AQ22)</f>
        <v>6223371.7599999998</v>
      </c>
      <c r="AR33" s="330">
        <f>SUM($I$22:AR22)</f>
        <v>6223371.7599999998</v>
      </c>
      <c r="AS33" s="278"/>
      <c r="AT33" s="278"/>
      <c r="AU33" s="278"/>
      <c r="AV33" s="278"/>
    </row>
    <row r="34" spans="1:48">
      <c r="A34" s="939"/>
      <c r="B34" s="939"/>
      <c r="C34" s="939"/>
      <c r="D34" s="939"/>
      <c r="E34" s="939"/>
      <c r="H34" s="324" t="s">
        <v>1657</v>
      </c>
      <c r="I34" s="329">
        <v>0.04</v>
      </c>
      <c r="J34" s="329">
        <v>0.04</v>
      </c>
      <c r="K34" s="329">
        <v>0.04</v>
      </c>
      <c r="L34" s="329">
        <v>0.04</v>
      </c>
      <c r="M34" s="329">
        <v>0.04</v>
      </c>
      <c r="N34" s="329">
        <v>0.04</v>
      </c>
      <c r="O34" s="329">
        <v>0.04</v>
      </c>
      <c r="P34" s="329">
        <v>0.04</v>
      </c>
      <c r="Q34" s="329">
        <v>0.04</v>
      </c>
      <c r="R34" s="329">
        <v>0.04</v>
      </c>
      <c r="S34" s="329">
        <v>0.04</v>
      </c>
      <c r="T34" s="329">
        <v>0.04</v>
      </c>
      <c r="U34" s="329">
        <v>0.04</v>
      </c>
      <c r="V34" s="329">
        <v>0.04</v>
      </c>
      <c r="W34" s="329">
        <v>0.04</v>
      </c>
      <c r="X34" s="329">
        <v>0.04</v>
      </c>
      <c r="Y34" s="329">
        <v>0.04</v>
      </c>
      <c r="Z34" s="329">
        <v>0.04</v>
      </c>
      <c r="AA34" s="329">
        <v>0.04</v>
      </c>
      <c r="AB34" s="329">
        <v>0.04</v>
      </c>
      <c r="AC34" s="329">
        <v>0.04</v>
      </c>
      <c r="AD34" s="329">
        <v>0.04</v>
      </c>
      <c r="AE34" s="329">
        <v>0.04</v>
      </c>
      <c r="AF34" s="329">
        <v>0.04</v>
      </c>
      <c r="AG34" s="329">
        <v>0.04</v>
      </c>
      <c r="AH34" s="329">
        <v>0.04</v>
      </c>
      <c r="AI34" s="329">
        <v>0.04</v>
      </c>
      <c r="AJ34" s="329">
        <v>0.04</v>
      </c>
      <c r="AK34" s="329">
        <v>0.04</v>
      </c>
      <c r="AL34" s="329">
        <v>0.04</v>
      </c>
      <c r="AM34" s="329">
        <v>0.04</v>
      </c>
      <c r="AN34" s="329">
        <v>0.04</v>
      </c>
      <c r="AO34" s="329">
        <v>0.04</v>
      </c>
      <c r="AP34" s="329">
        <v>0.04</v>
      </c>
      <c r="AQ34" s="329">
        <v>0.04</v>
      </c>
      <c r="AR34" s="329">
        <v>0.04</v>
      </c>
      <c r="AS34" s="278"/>
      <c r="AT34" s="278"/>
      <c r="AU34" s="278"/>
      <c r="AV34" s="278"/>
    </row>
    <row r="35" spans="1:48">
      <c r="H35" s="324" t="s">
        <v>1658</v>
      </c>
      <c r="I35" s="330">
        <f>PRODUCT(I32:I34)</f>
        <v>0</v>
      </c>
      <c r="J35" s="330">
        <f t="shared" ref="J35:AR35" si="6">PRODUCT(J32:J34)</f>
        <v>995.73948159999998</v>
      </c>
      <c r="K35" s="330">
        <f t="shared" si="6"/>
        <v>1991.4789632</v>
      </c>
      <c r="L35" s="330">
        <f t="shared" si="6"/>
        <v>1991.4789632</v>
      </c>
      <c r="M35" s="330">
        <f t="shared" si="6"/>
        <v>1991.4789632</v>
      </c>
      <c r="N35" s="330">
        <f t="shared" si="6"/>
        <v>1991.4789632</v>
      </c>
      <c r="O35" s="330">
        <f t="shared" si="6"/>
        <v>1991.4789632</v>
      </c>
      <c r="P35" s="330">
        <f t="shared" si="6"/>
        <v>1991.4789632</v>
      </c>
      <c r="Q35" s="330">
        <f t="shared" si="6"/>
        <v>1991.4789632</v>
      </c>
      <c r="R35" s="330">
        <f t="shared" si="6"/>
        <v>1991.4789632</v>
      </c>
      <c r="S35" s="330">
        <f t="shared" si="6"/>
        <v>1991.4789632</v>
      </c>
      <c r="T35" s="330">
        <f t="shared" si="6"/>
        <v>1991.4789632</v>
      </c>
      <c r="U35" s="330">
        <f t="shared" si="6"/>
        <v>1991.4789632</v>
      </c>
      <c r="V35" s="330">
        <f t="shared" si="6"/>
        <v>1991.4789632</v>
      </c>
      <c r="W35" s="330">
        <f t="shared" si="6"/>
        <v>1991.4789632</v>
      </c>
      <c r="X35" s="330">
        <f t="shared" si="6"/>
        <v>1991.4789632</v>
      </c>
      <c r="Y35" s="330">
        <f t="shared" si="6"/>
        <v>1991.4789632</v>
      </c>
      <c r="Z35" s="330">
        <f t="shared" si="6"/>
        <v>1991.4789632</v>
      </c>
      <c r="AA35" s="330">
        <f t="shared" si="6"/>
        <v>1991.4789632</v>
      </c>
      <c r="AB35" s="330">
        <f t="shared" si="6"/>
        <v>1991.4789632</v>
      </c>
      <c r="AC35" s="330">
        <f t="shared" si="6"/>
        <v>1991.4789632</v>
      </c>
      <c r="AD35" s="330">
        <f t="shared" si="6"/>
        <v>1991.4789632</v>
      </c>
      <c r="AE35" s="330">
        <f t="shared" si="6"/>
        <v>1991.4789632</v>
      </c>
      <c r="AF35" s="330">
        <f t="shared" si="6"/>
        <v>1991.4789632</v>
      </c>
      <c r="AG35" s="330">
        <f t="shared" si="6"/>
        <v>1991.4789632</v>
      </c>
      <c r="AH35" s="330">
        <f t="shared" si="6"/>
        <v>1991.4789632</v>
      </c>
      <c r="AI35" s="330">
        <f t="shared" si="6"/>
        <v>1991.4789632</v>
      </c>
      <c r="AJ35" s="330">
        <f t="shared" si="6"/>
        <v>1991.4789632</v>
      </c>
      <c r="AK35" s="330">
        <f t="shared" si="6"/>
        <v>1991.4789632</v>
      </c>
      <c r="AL35" s="330">
        <f t="shared" si="6"/>
        <v>1991.4789632</v>
      </c>
      <c r="AM35" s="330">
        <f t="shared" si="6"/>
        <v>1991.4789632</v>
      </c>
      <c r="AN35" s="330">
        <f t="shared" si="6"/>
        <v>1991.4789632</v>
      </c>
      <c r="AO35" s="330">
        <f t="shared" si="6"/>
        <v>1991.4789632</v>
      </c>
      <c r="AP35" s="330">
        <f t="shared" si="6"/>
        <v>1991.4789632</v>
      </c>
      <c r="AQ35" s="330">
        <f t="shared" si="6"/>
        <v>1991.4789632</v>
      </c>
      <c r="AR35" s="330">
        <f t="shared" si="6"/>
        <v>1991.4789632</v>
      </c>
      <c r="AS35" s="278"/>
      <c r="AT35" s="278"/>
      <c r="AU35" s="278"/>
      <c r="AV35" s="278"/>
    </row>
    <row r="37" spans="1:48">
      <c r="A37" s="836" t="s">
        <v>1642</v>
      </c>
      <c r="B37" s="836"/>
      <c r="C37" s="836"/>
      <c r="D37" s="836"/>
      <c r="E37" s="836"/>
      <c r="F37" s="836"/>
      <c r="G37" s="836"/>
      <c r="H37" s="836"/>
    </row>
    <row r="38" spans="1:48">
      <c r="I38" s="316" t="s">
        <v>224</v>
      </c>
      <c r="J38" s="316" t="s">
        <v>84</v>
      </c>
      <c r="K38" s="316" t="s">
        <v>86</v>
      </c>
      <c r="L38" s="316" t="s">
        <v>92</v>
      </c>
      <c r="M38" s="316" t="s">
        <v>93</v>
      </c>
      <c r="N38" s="316" t="s">
        <v>94</v>
      </c>
      <c r="O38" s="316" t="s">
        <v>95</v>
      </c>
      <c r="P38" s="316" t="s">
        <v>96</v>
      </c>
      <c r="Q38" s="316" t="s">
        <v>97</v>
      </c>
      <c r="R38" s="316" t="s">
        <v>98</v>
      </c>
      <c r="S38" s="316" t="s">
        <v>99</v>
      </c>
      <c r="T38" s="316" t="s">
        <v>100</v>
      </c>
      <c r="U38" s="316" t="s">
        <v>101</v>
      </c>
      <c r="V38" s="316" t="s">
        <v>102</v>
      </c>
      <c r="W38" s="316" t="s">
        <v>103</v>
      </c>
      <c r="X38" s="316" t="s">
        <v>104</v>
      </c>
      <c r="Y38" s="316" t="s">
        <v>105</v>
      </c>
      <c r="Z38" s="316" t="s">
        <v>106</v>
      </c>
      <c r="AA38" s="316" t="s">
        <v>107</v>
      </c>
      <c r="AB38" s="316" t="s">
        <v>108</v>
      </c>
      <c r="AC38" s="316" t="s">
        <v>109</v>
      </c>
      <c r="AD38" s="316" t="s">
        <v>110</v>
      </c>
      <c r="AE38" s="316" t="s">
        <v>111</v>
      </c>
      <c r="AF38" s="316" t="s">
        <v>112</v>
      </c>
      <c r="AG38" s="316" t="s">
        <v>113</v>
      </c>
      <c r="AH38" s="316" t="s">
        <v>114</v>
      </c>
      <c r="AI38" s="316" t="s">
        <v>115</v>
      </c>
      <c r="AJ38" s="316" t="s">
        <v>116</v>
      </c>
      <c r="AK38" s="316" t="s">
        <v>117</v>
      </c>
      <c r="AL38" s="316" t="s">
        <v>118</v>
      </c>
      <c r="AM38" s="316" t="s">
        <v>119</v>
      </c>
      <c r="AN38" s="316" t="s">
        <v>120</v>
      </c>
      <c r="AO38" s="316" t="s">
        <v>121</v>
      </c>
      <c r="AP38" s="316" t="s">
        <v>122</v>
      </c>
      <c r="AQ38" s="316" t="s">
        <v>123</v>
      </c>
      <c r="AR38" s="316" t="s">
        <v>124</v>
      </c>
    </row>
    <row r="39" spans="1:48">
      <c r="I39" s="316">
        <v>2025</v>
      </c>
      <c r="J39" s="316">
        <v>2026</v>
      </c>
      <c r="K39" s="316">
        <v>2027</v>
      </c>
      <c r="L39" s="316">
        <v>2028</v>
      </c>
      <c r="M39" s="316">
        <v>2029</v>
      </c>
      <c r="N39" s="316">
        <v>2030</v>
      </c>
      <c r="O39" s="316">
        <v>2031</v>
      </c>
      <c r="P39" s="316">
        <v>2032</v>
      </c>
      <c r="Q39" s="316">
        <v>2033</v>
      </c>
      <c r="R39" s="316">
        <v>2034</v>
      </c>
      <c r="S39" s="316">
        <v>2035</v>
      </c>
      <c r="T39" s="316">
        <v>2036</v>
      </c>
      <c r="U39" s="316">
        <v>2037</v>
      </c>
      <c r="V39" s="316">
        <v>2038</v>
      </c>
      <c r="W39" s="316">
        <v>2039</v>
      </c>
      <c r="X39" s="316">
        <v>2040</v>
      </c>
      <c r="Y39" s="316">
        <v>2041</v>
      </c>
      <c r="Z39" s="316">
        <v>2042</v>
      </c>
      <c r="AA39" s="316">
        <v>2043</v>
      </c>
      <c r="AB39" s="316">
        <v>2044</v>
      </c>
      <c r="AC39" s="316">
        <v>2045</v>
      </c>
      <c r="AD39" s="316">
        <v>2046</v>
      </c>
      <c r="AE39" s="316">
        <v>2047</v>
      </c>
      <c r="AF39" s="316">
        <v>2048</v>
      </c>
      <c r="AG39" s="316">
        <v>2049</v>
      </c>
      <c r="AH39" s="316">
        <v>2050</v>
      </c>
      <c r="AI39" s="316">
        <v>2051</v>
      </c>
      <c r="AJ39" s="316">
        <v>2052</v>
      </c>
      <c r="AK39" s="316">
        <v>2053</v>
      </c>
      <c r="AL39" s="316">
        <v>2054</v>
      </c>
      <c r="AM39" s="316">
        <v>2055</v>
      </c>
      <c r="AN39" s="316">
        <v>2056</v>
      </c>
      <c r="AO39" s="316">
        <v>2057</v>
      </c>
      <c r="AP39" s="316">
        <v>2058</v>
      </c>
      <c r="AQ39" s="316">
        <v>2059</v>
      </c>
      <c r="AR39" s="316">
        <v>2060</v>
      </c>
    </row>
    <row r="40" spans="1:48">
      <c r="H40" s="324" t="s">
        <v>1651</v>
      </c>
      <c r="I40" s="329">
        <v>8.9999999999999993E-3</v>
      </c>
      <c r="J40" s="329">
        <v>8.9999999999999993E-3</v>
      </c>
      <c r="K40" s="329">
        <v>8.9999999999999993E-3</v>
      </c>
      <c r="L40" s="329">
        <v>8.9999999999999993E-3</v>
      </c>
      <c r="M40" s="329">
        <v>8.9999999999999993E-3</v>
      </c>
      <c r="N40" s="329">
        <v>8.9999999999999993E-3</v>
      </c>
      <c r="O40" s="329">
        <v>8.9999999999999993E-3</v>
      </c>
      <c r="P40" s="329">
        <v>8.9999999999999993E-3</v>
      </c>
      <c r="Q40" s="329">
        <v>8.9999999999999993E-3</v>
      </c>
      <c r="R40" s="329">
        <v>8.9999999999999993E-3</v>
      </c>
      <c r="S40" s="329">
        <v>8.9999999999999993E-3</v>
      </c>
      <c r="T40" s="329">
        <v>8.9999999999999993E-3</v>
      </c>
      <c r="U40" s="329">
        <v>8.9999999999999993E-3</v>
      </c>
      <c r="V40" s="329">
        <v>8.9999999999999993E-3</v>
      </c>
      <c r="W40" s="329">
        <v>8.9999999999999993E-3</v>
      </c>
      <c r="X40" s="329">
        <v>8.9999999999999993E-3</v>
      </c>
      <c r="Y40" s="329">
        <v>8.9999999999999993E-3</v>
      </c>
      <c r="Z40" s="329">
        <v>8.9999999999999993E-3</v>
      </c>
      <c r="AA40" s="329">
        <v>8.9999999999999993E-3</v>
      </c>
      <c r="AB40" s="329">
        <v>8.9999999999999993E-3</v>
      </c>
      <c r="AC40" s="329">
        <v>8.9999999999999993E-3</v>
      </c>
      <c r="AD40" s="329">
        <v>8.9999999999999993E-3</v>
      </c>
      <c r="AE40" s="329">
        <v>8.9999999999999993E-3</v>
      </c>
      <c r="AF40" s="329">
        <v>8.9999999999999993E-3</v>
      </c>
      <c r="AG40" s="329">
        <v>8.9999999999999993E-3</v>
      </c>
      <c r="AH40" s="329">
        <v>8.9999999999999993E-3</v>
      </c>
      <c r="AI40" s="329">
        <v>8.9999999999999993E-3</v>
      </c>
      <c r="AJ40" s="329">
        <v>8.9999999999999993E-3</v>
      </c>
      <c r="AK40" s="329">
        <v>8.9999999999999993E-3</v>
      </c>
      <c r="AL40" s="329">
        <v>8.9999999999999993E-3</v>
      </c>
      <c r="AM40" s="329">
        <v>8.9999999999999993E-3</v>
      </c>
      <c r="AN40" s="329">
        <v>8.9999999999999993E-3</v>
      </c>
      <c r="AO40" s="329">
        <v>8.9999999999999993E-3</v>
      </c>
      <c r="AP40" s="329">
        <v>8.9999999999999993E-3</v>
      </c>
      <c r="AQ40" s="329">
        <v>8.9999999999999993E-3</v>
      </c>
      <c r="AR40" s="329">
        <v>8.9999999999999993E-3</v>
      </c>
    </row>
    <row r="41" spans="1:48">
      <c r="A41" s="939" t="s">
        <v>1659</v>
      </c>
      <c r="B41" s="939"/>
      <c r="C41" s="939"/>
      <c r="D41" s="939"/>
      <c r="E41" s="939"/>
      <c r="H41" s="324" t="s">
        <v>1656</v>
      </c>
      <c r="I41" s="330">
        <f t="shared" ref="I41:AR41" si="7">I33</f>
        <v>0</v>
      </c>
      <c r="J41" s="330">
        <f t="shared" si="7"/>
        <v>3111685.88</v>
      </c>
      <c r="K41" s="330">
        <f t="shared" si="7"/>
        <v>6223371.7599999998</v>
      </c>
      <c r="L41" s="330">
        <f t="shared" si="7"/>
        <v>6223371.7599999998</v>
      </c>
      <c r="M41" s="330">
        <f t="shared" si="7"/>
        <v>6223371.7599999998</v>
      </c>
      <c r="N41" s="330">
        <f t="shared" si="7"/>
        <v>6223371.7599999998</v>
      </c>
      <c r="O41" s="330">
        <f t="shared" si="7"/>
        <v>6223371.7599999998</v>
      </c>
      <c r="P41" s="330">
        <f t="shared" si="7"/>
        <v>6223371.7599999998</v>
      </c>
      <c r="Q41" s="330">
        <f t="shared" si="7"/>
        <v>6223371.7599999998</v>
      </c>
      <c r="R41" s="330">
        <f t="shared" si="7"/>
        <v>6223371.7599999998</v>
      </c>
      <c r="S41" s="330">
        <f t="shared" si="7"/>
        <v>6223371.7599999998</v>
      </c>
      <c r="T41" s="330">
        <f t="shared" si="7"/>
        <v>6223371.7599999998</v>
      </c>
      <c r="U41" s="330">
        <f t="shared" si="7"/>
        <v>6223371.7599999998</v>
      </c>
      <c r="V41" s="330">
        <f t="shared" si="7"/>
        <v>6223371.7599999998</v>
      </c>
      <c r="W41" s="330">
        <f t="shared" si="7"/>
        <v>6223371.7599999998</v>
      </c>
      <c r="X41" s="330">
        <f t="shared" si="7"/>
        <v>6223371.7599999998</v>
      </c>
      <c r="Y41" s="330">
        <f t="shared" si="7"/>
        <v>6223371.7599999998</v>
      </c>
      <c r="Z41" s="330">
        <f t="shared" si="7"/>
        <v>6223371.7599999998</v>
      </c>
      <c r="AA41" s="330">
        <f t="shared" si="7"/>
        <v>6223371.7599999998</v>
      </c>
      <c r="AB41" s="330">
        <f t="shared" si="7"/>
        <v>6223371.7599999998</v>
      </c>
      <c r="AC41" s="330">
        <f t="shared" si="7"/>
        <v>6223371.7599999998</v>
      </c>
      <c r="AD41" s="330">
        <f t="shared" si="7"/>
        <v>6223371.7599999998</v>
      </c>
      <c r="AE41" s="330">
        <f t="shared" si="7"/>
        <v>6223371.7599999998</v>
      </c>
      <c r="AF41" s="330">
        <f t="shared" si="7"/>
        <v>6223371.7599999998</v>
      </c>
      <c r="AG41" s="330">
        <f t="shared" si="7"/>
        <v>6223371.7599999998</v>
      </c>
      <c r="AH41" s="330">
        <f t="shared" si="7"/>
        <v>6223371.7599999998</v>
      </c>
      <c r="AI41" s="330">
        <f t="shared" si="7"/>
        <v>6223371.7599999998</v>
      </c>
      <c r="AJ41" s="330">
        <f t="shared" si="7"/>
        <v>6223371.7599999998</v>
      </c>
      <c r="AK41" s="330">
        <f t="shared" si="7"/>
        <v>6223371.7599999998</v>
      </c>
      <c r="AL41" s="330">
        <f t="shared" si="7"/>
        <v>6223371.7599999998</v>
      </c>
      <c r="AM41" s="330">
        <f t="shared" si="7"/>
        <v>6223371.7599999998</v>
      </c>
      <c r="AN41" s="330">
        <f t="shared" si="7"/>
        <v>6223371.7599999998</v>
      </c>
      <c r="AO41" s="330">
        <f t="shared" si="7"/>
        <v>6223371.7599999998</v>
      </c>
      <c r="AP41" s="330">
        <f t="shared" si="7"/>
        <v>6223371.7599999998</v>
      </c>
      <c r="AQ41" s="330">
        <f t="shared" si="7"/>
        <v>6223371.7599999998</v>
      </c>
      <c r="AR41" s="330">
        <f t="shared" si="7"/>
        <v>6223371.7599999998</v>
      </c>
    </row>
    <row r="42" spans="1:48">
      <c r="A42" s="939"/>
      <c r="B42" s="939"/>
      <c r="C42" s="939"/>
      <c r="D42" s="939"/>
      <c r="E42" s="939"/>
      <c r="H42" s="324" t="s">
        <v>1657</v>
      </c>
      <c r="I42" s="329">
        <v>0.04</v>
      </c>
      <c r="J42" s="329">
        <v>0.04</v>
      </c>
      <c r="K42" s="329">
        <v>0.04</v>
      </c>
      <c r="L42" s="329">
        <v>0.04</v>
      </c>
      <c r="M42" s="329">
        <v>0.04</v>
      </c>
      <c r="N42" s="329">
        <v>0.04</v>
      </c>
      <c r="O42" s="329">
        <v>0.04</v>
      </c>
      <c r="P42" s="329">
        <v>0.04</v>
      </c>
      <c r="Q42" s="329">
        <v>0.04</v>
      </c>
      <c r="R42" s="329">
        <v>0.04</v>
      </c>
      <c r="S42" s="329">
        <v>0.04</v>
      </c>
      <c r="T42" s="329">
        <v>0.04</v>
      </c>
      <c r="U42" s="329">
        <v>0.04</v>
      </c>
      <c r="V42" s="329">
        <v>0.04</v>
      </c>
      <c r="W42" s="329">
        <v>0.04</v>
      </c>
      <c r="X42" s="329">
        <v>0.04</v>
      </c>
      <c r="Y42" s="329">
        <v>0.04</v>
      </c>
      <c r="Z42" s="329">
        <v>0.04</v>
      </c>
      <c r="AA42" s="329">
        <v>0.04</v>
      </c>
      <c r="AB42" s="329">
        <v>0.04</v>
      </c>
      <c r="AC42" s="329">
        <v>0.04</v>
      </c>
      <c r="AD42" s="329">
        <v>0.04</v>
      </c>
      <c r="AE42" s="329">
        <v>0.04</v>
      </c>
      <c r="AF42" s="329">
        <v>0.04</v>
      </c>
      <c r="AG42" s="329">
        <v>0.04</v>
      </c>
      <c r="AH42" s="329">
        <v>0.04</v>
      </c>
      <c r="AI42" s="329">
        <v>0.04</v>
      </c>
      <c r="AJ42" s="329">
        <v>0.04</v>
      </c>
      <c r="AK42" s="329">
        <v>0.04</v>
      </c>
      <c r="AL42" s="329">
        <v>0.04</v>
      </c>
      <c r="AM42" s="329">
        <v>0.04</v>
      </c>
      <c r="AN42" s="329">
        <v>0.04</v>
      </c>
      <c r="AO42" s="329">
        <v>0.04</v>
      </c>
      <c r="AP42" s="329">
        <v>0.04</v>
      </c>
      <c r="AQ42" s="329">
        <v>0.04</v>
      </c>
      <c r="AR42" s="329">
        <v>0.04</v>
      </c>
    </row>
    <row r="43" spans="1:48">
      <c r="H43" s="324" t="s">
        <v>1660</v>
      </c>
      <c r="I43" s="330">
        <f>PRODUCT(I40:I42)</f>
        <v>0</v>
      </c>
      <c r="J43" s="330">
        <f t="shared" ref="J43:AR43" si="8">PRODUCT(J40:J42)</f>
        <v>1120.2069167999998</v>
      </c>
      <c r="K43" s="330">
        <f t="shared" si="8"/>
        <v>2240.4138335999996</v>
      </c>
      <c r="L43" s="330">
        <f t="shared" si="8"/>
        <v>2240.4138335999996</v>
      </c>
      <c r="M43" s="330">
        <f t="shared" si="8"/>
        <v>2240.4138335999996</v>
      </c>
      <c r="N43" s="330">
        <f t="shared" si="8"/>
        <v>2240.4138335999996</v>
      </c>
      <c r="O43" s="330">
        <f t="shared" si="8"/>
        <v>2240.4138335999996</v>
      </c>
      <c r="P43" s="330">
        <f t="shared" si="8"/>
        <v>2240.4138335999996</v>
      </c>
      <c r="Q43" s="330">
        <f t="shared" si="8"/>
        <v>2240.4138335999996</v>
      </c>
      <c r="R43" s="330">
        <f t="shared" si="8"/>
        <v>2240.4138335999996</v>
      </c>
      <c r="S43" s="330">
        <f t="shared" si="8"/>
        <v>2240.4138335999996</v>
      </c>
      <c r="T43" s="330">
        <f t="shared" si="8"/>
        <v>2240.4138335999996</v>
      </c>
      <c r="U43" s="330">
        <f t="shared" si="8"/>
        <v>2240.4138335999996</v>
      </c>
      <c r="V43" s="330">
        <f t="shared" si="8"/>
        <v>2240.4138335999996</v>
      </c>
      <c r="W43" s="330">
        <f t="shared" si="8"/>
        <v>2240.4138335999996</v>
      </c>
      <c r="X43" s="330">
        <f t="shared" si="8"/>
        <v>2240.4138335999996</v>
      </c>
      <c r="Y43" s="330">
        <f t="shared" si="8"/>
        <v>2240.4138335999996</v>
      </c>
      <c r="Z43" s="330">
        <f t="shared" si="8"/>
        <v>2240.4138335999996</v>
      </c>
      <c r="AA43" s="330">
        <f t="shared" si="8"/>
        <v>2240.4138335999996</v>
      </c>
      <c r="AB43" s="330">
        <f t="shared" si="8"/>
        <v>2240.4138335999996</v>
      </c>
      <c r="AC43" s="330">
        <f t="shared" si="8"/>
        <v>2240.4138335999996</v>
      </c>
      <c r="AD43" s="330">
        <f t="shared" si="8"/>
        <v>2240.4138335999996</v>
      </c>
      <c r="AE43" s="330">
        <f t="shared" si="8"/>
        <v>2240.4138335999996</v>
      </c>
      <c r="AF43" s="330">
        <f t="shared" si="8"/>
        <v>2240.4138335999996</v>
      </c>
      <c r="AG43" s="330">
        <f t="shared" si="8"/>
        <v>2240.4138335999996</v>
      </c>
      <c r="AH43" s="330">
        <f t="shared" si="8"/>
        <v>2240.4138335999996</v>
      </c>
      <c r="AI43" s="330">
        <f t="shared" si="8"/>
        <v>2240.4138335999996</v>
      </c>
      <c r="AJ43" s="330">
        <f t="shared" si="8"/>
        <v>2240.4138335999996</v>
      </c>
      <c r="AK43" s="330">
        <f t="shared" si="8"/>
        <v>2240.4138335999996</v>
      </c>
      <c r="AL43" s="330">
        <f t="shared" si="8"/>
        <v>2240.4138335999996</v>
      </c>
      <c r="AM43" s="330">
        <f t="shared" si="8"/>
        <v>2240.4138335999996</v>
      </c>
      <c r="AN43" s="330">
        <f t="shared" si="8"/>
        <v>2240.4138335999996</v>
      </c>
      <c r="AO43" s="330">
        <f t="shared" si="8"/>
        <v>2240.4138335999996</v>
      </c>
      <c r="AP43" s="330">
        <f t="shared" si="8"/>
        <v>2240.4138335999996</v>
      </c>
      <c r="AQ43" s="330">
        <f t="shared" si="8"/>
        <v>2240.4138335999996</v>
      </c>
      <c r="AR43" s="330">
        <f t="shared" si="8"/>
        <v>2240.4138335999996</v>
      </c>
    </row>
  </sheetData>
  <mergeCells count="7">
    <mergeCell ref="A41:E42"/>
    <mergeCell ref="A23:E24"/>
    <mergeCell ref="A33:E34"/>
    <mergeCell ref="A12:B12"/>
    <mergeCell ref="A29:H29"/>
    <mergeCell ref="A19:H19"/>
    <mergeCell ref="A37:H37"/>
  </mergeCells>
  <phoneticPr fontId="69" type="noConversion"/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18">
    <tabColor rgb="FF00FF00"/>
  </sheetPr>
  <dimension ref="A1:AR48"/>
  <sheetViews>
    <sheetView showGridLines="0" workbookViewId="0">
      <selection activeCell="I51" sqref="I51"/>
    </sheetView>
  </sheetViews>
  <sheetFormatPr defaultRowHeight="14.45"/>
  <cols>
    <col min="1" max="2" width="4.7109375" style="2" customWidth="1"/>
    <col min="3" max="3" width="4.7109375" customWidth="1"/>
    <col min="4" max="4" width="39.5703125" bestFit="1" customWidth="1"/>
    <col min="5" max="5" width="28" customWidth="1"/>
    <col min="6" max="7" width="15.85546875" bestFit="1" customWidth="1"/>
    <col min="8" max="8" width="29.28515625" bestFit="1" customWidth="1"/>
    <col min="9" max="10" width="15.7109375" bestFit="1" customWidth="1"/>
    <col min="11" max="43" width="17.7109375" bestFit="1" customWidth="1"/>
  </cols>
  <sheetData>
    <row r="1" spans="4:43" s="2" customFormat="1" ht="21">
      <c r="D1" s="348" t="s">
        <v>1661</v>
      </c>
      <c r="E1" s="348"/>
      <c r="F1" s="348"/>
    </row>
    <row r="2" spans="4:43" s="2" customFormat="1" ht="21">
      <c r="D2" s="348"/>
      <c r="E2" s="348"/>
      <c r="F2" s="348"/>
    </row>
    <row r="4" spans="4:43">
      <c r="D4" s="351" t="s">
        <v>1662</v>
      </c>
      <c r="E4" s="351"/>
      <c r="F4" s="356">
        <f>WACC!E21</f>
        <v>0.12976849964301698</v>
      </c>
      <c r="G4" s="340" t="s">
        <v>1663</v>
      </c>
      <c r="H4" s="351"/>
      <c r="I4" s="340">
        <f>DFs!F5</f>
        <v>1</v>
      </c>
      <c r="J4" s="340">
        <f>DFs!G5</f>
        <v>2</v>
      </c>
      <c r="K4" s="340">
        <f>DFs!H5</f>
        <v>3</v>
      </c>
      <c r="L4" s="340">
        <f>DFs!I5</f>
        <v>4</v>
      </c>
      <c r="M4" s="340">
        <f>DFs!J5</f>
        <v>5</v>
      </c>
      <c r="N4" s="340">
        <f>DFs!K5</f>
        <v>6</v>
      </c>
      <c r="O4" s="340">
        <f>DFs!L5</f>
        <v>7</v>
      </c>
      <c r="P4" s="340">
        <f>DFs!M5</f>
        <v>8</v>
      </c>
      <c r="Q4" s="340">
        <f>DFs!N5</f>
        <v>9</v>
      </c>
      <c r="R4" s="340">
        <f>DFs!O5</f>
        <v>10</v>
      </c>
      <c r="S4" s="340">
        <f>DFs!P5</f>
        <v>11</v>
      </c>
      <c r="T4" s="340">
        <f>DFs!Q5</f>
        <v>12</v>
      </c>
      <c r="U4" s="340">
        <f>DFs!R5</f>
        <v>13</v>
      </c>
      <c r="V4" s="340">
        <f>DFs!S5</f>
        <v>14</v>
      </c>
      <c r="W4" s="340">
        <f>DFs!T5</f>
        <v>15</v>
      </c>
      <c r="X4" s="340">
        <f>DFs!U5</f>
        <v>16</v>
      </c>
      <c r="Y4" s="340">
        <f>DFs!V5</f>
        <v>17</v>
      </c>
      <c r="Z4" s="340">
        <f>DFs!W5</f>
        <v>18</v>
      </c>
      <c r="AA4" s="340">
        <f>DFs!X5</f>
        <v>19</v>
      </c>
      <c r="AB4" s="340">
        <f>DFs!Y5</f>
        <v>20</v>
      </c>
      <c r="AC4" s="340">
        <f>DFs!Z5</f>
        <v>21</v>
      </c>
      <c r="AD4" s="340">
        <f>DFs!AA5</f>
        <v>22</v>
      </c>
      <c r="AE4" s="340">
        <f>DFs!AB5</f>
        <v>23</v>
      </c>
      <c r="AF4" s="340">
        <f>DFs!AC5</f>
        <v>24</v>
      </c>
      <c r="AG4" s="340">
        <f>DFs!AD5</f>
        <v>25</v>
      </c>
      <c r="AH4" s="340">
        <f>DFs!AE5</f>
        <v>26</v>
      </c>
      <c r="AI4" s="340">
        <f>DFs!AF5</f>
        <v>27</v>
      </c>
      <c r="AJ4" s="340">
        <f>DFs!AG5</f>
        <v>28</v>
      </c>
      <c r="AK4" s="340">
        <f>DFs!AH5</f>
        <v>29</v>
      </c>
      <c r="AL4" s="340">
        <f>DFs!AI5</f>
        <v>30</v>
      </c>
      <c r="AM4" s="340">
        <f>DFs!AJ5</f>
        <v>31</v>
      </c>
      <c r="AN4" s="340">
        <f>DFs!AK5</f>
        <v>32</v>
      </c>
      <c r="AO4" s="340">
        <f>DFs!AL5</f>
        <v>33</v>
      </c>
      <c r="AP4" s="340">
        <f>DFs!AM5</f>
        <v>34</v>
      </c>
      <c r="AQ4" s="340">
        <f>DFs!AN5</f>
        <v>35</v>
      </c>
    </row>
    <row r="5" spans="4:43">
      <c r="D5" s="349" t="s">
        <v>1664</v>
      </c>
      <c r="E5" s="192" t="s">
        <v>1665</v>
      </c>
      <c r="F5" s="353">
        <f>SUMPRODUCT(I5:AQ5,$I$17:$AQ$17)</f>
        <v>0</v>
      </c>
      <c r="I5" s="118">
        <v>0</v>
      </c>
      <c r="J5" s="118">
        <v>0</v>
      </c>
      <c r="K5" s="118">
        <v>0</v>
      </c>
      <c r="L5" s="118">
        <v>0</v>
      </c>
      <c r="M5" s="118">
        <v>0</v>
      </c>
      <c r="N5" s="118">
        <v>0</v>
      </c>
      <c r="O5" s="118">
        <v>0</v>
      </c>
      <c r="P5" s="118">
        <v>0</v>
      </c>
      <c r="Q5" s="118">
        <v>0</v>
      </c>
      <c r="R5" s="118">
        <v>0</v>
      </c>
      <c r="S5" s="118">
        <v>0</v>
      </c>
      <c r="T5" s="118">
        <v>0</v>
      </c>
      <c r="U5" s="118">
        <v>0</v>
      </c>
      <c r="V5" s="118">
        <v>0</v>
      </c>
      <c r="W5" s="118">
        <v>0</v>
      </c>
      <c r="X5" s="118">
        <v>0</v>
      </c>
      <c r="Y5" s="118">
        <v>0</v>
      </c>
      <c r="Z5" s="118">
        <v>0</v>
      </c>
      <c r="AA5" s="118">
        <v>0</v>
      </c>
      <c r="AB5" s="118">
        <v>0</v>
      </c>
      <c r="AC5" s="118">
        <v>0</v>
      </c>
      <c r="AD5" s="118">
        <v>0</v>
      </c>
      <c r="AE5" s="118">
        <v>0</v>
      </c>
      <c r="AF5" s="118">
        <v>0</v>
      </c>
      <c r="AG5" s="118">
        <v>0</v>
      </c>
      <c r="AH5" s="118">
        <v>0</v>
      </c>
      <c r="AI5" s="118">
        <v>0</v>
      </c>
      <c r="AJ5" s="118">
        <v>0</v>
      </c>
      <c r="AK5" s="118">
        <v>0</v>
      </c>
      <c r="AL5" s="118">
        <v>0</v>
      </c>
      <c r="AM5" s="118">
        <v>0</v>
      </c>
      <c r="AN5" s="118">
        <v>0</v>
      </c>
      <c r="AO5" s="118">
        <v>0</v>
      </c>
      <c r="AP5" s="118">
        <v>0</v>
      </c>
      <c r="AQ5" s="118">
        <v>0</v>
      </c>
    </row>
    <row r="6" spans="4:43">
      <c r="D6" s="349" t="s">
        <v>1666</v>
      </c>
      <c r="E6" s="192" t="s">
        <v>1667</v>
      </c>
      <c r="F6" s="353">
        <f>SUMPRODUCT(I6:AQ6,$I$17:$AQ$17)</f>
        <v>230882.54196905749</v>
      </c>
      <c r="I6" s="352">
        <f>OPEX!E9</f>
        <v>0</v>
      </c>
      <c r="J6" s="352">
        <f>OPEX!F9</f>
        <v>0</v>
      </c>
      <c r="K6" s="352">
        <f>OPEX!G9</f>
        <v>34464.08416948923</v>
      </c>
      <c r="L6" s="352">
        <f>OPEX!H9</f>
        <v>34464.08416948923</v>
      </c>
      <c r="M6" s="352">
        <f>OPEX!I9</f>
        <v>34464.08416948923</v>
      </c>
      <c r="N6" s="352">
        <f>OPEX!J9</f>
        <v>34464.08416948923</v>
      </c>
      <c r="O6" s="352">
        <f>OPEX!K9</f>
        <v>34464.08416948923</v>
      </c>
      <c r="P6" s="352">
        <f>OPEX!L9</f>
        <v>34464.08416948923</v>
      </c>
      <c r="Q6" s="352">
        <f>OPEX!M9</f>
        <v>34464.08416948923</v>
      </c>
      <c r="R6" s="352">
        <f>OPEX!N9</f>
        <v>34464.08416948923</v>
      </c>
      <c r="S6" s="352">
        <f>OPEX!O9</f>
        <v>34464.08416948923</v>
      </c>
      <c r="T6" s="352">
        <f>OPEX!P9</f>
        <v>34464.08416948923</v>
      </c>
      <c r="U6" s="352">
        <f>OPEX!Q9</f>
        <v>34464.08416948923</v>
      </c>
      <c r="V6" s="352">
        <f>OPEX!R9</f>
        <v>34464.08416948923</v>
      </c>
      <c r="W6" s="352">
        <f>OPEX!S9</f>
        <v>34464.08416948923</v>
      </c>
      <c r="X6" s="352">
        <f>OPEX!T9</f>
        <v>34464.08416948923</v>
      </c>
      <c r="Y6" s="352">
        <f>OPEX!U9</f>
        <v>34464.08416948923</v>
      </c>
      <c r="Z6" s="352">
        <f>OPEX!V9</f>
        <v>34464.08416948923</v>
      </c>
      <c r="AA6" s="352">
        <f>OPEX!W9</f>
        <v>34464.08416948923</v>
      </c>
      <c r="AB6" s="352">
        <f>OPEX!X9</f>
        <v>34464.08416948923</v>
      </c>
      <c r="AC6" s="352">
        <f>OPEX!Y9</f>
        <v>34464.08416948923</v>
      </c>
      <c r="AD6" s="352">
        <f>OPEX!Z9</f>
        <v>34464.08416948923</v>
      </c>
      <c r="AE6" s="352">
        <f>OPEX!AA9</f>
        <v>34464.08416948923</v>
      </c>
      <c r="AF6" s="352">
        <f>OPEX!AB9</f>
        <v>34464.08416948923</v>
      </c>
      <c r="AG6" s="352">
        <f>OPEX!AC9</f>
        <v>34464.08416948923</v>
      </c>
      <c r="AH6" s="352">
        <f>OPEX!AD9</f>
        <v>34464.08416948923</v>
      </c>
      <c r="AI6" s="352">
        <f>OPEX!AE9</f>
        <v>34464.08416948923</v>
      </c>
      <c r="AJ6" s="352">
        <f>OPEX!AF9</f>
        <v>34464.08416948923</v>
      </c>
      <c r="AK6" s="352">
        <f>OPEX!AG9</f>
        <v>34464.08416948923</v>
      </c>
      <c r="AL6" s="352">
        <f>OPEX!AH9</f>
        <v>34464.08416948923</v>
      </c>
      <c r="AM6" s="352">
        <f>OPEX!AI9</f>
        <v>34464.08416948923</v>
      </c>
      <c r="AN6" s="352">
        <f>OPEX!AJ9</f>
        <v>34464.08416948923</v>
      </c>
      <c r="AO6" s="352">
        <f>OPEX!AK9</f>
        <v>34464.08416948923</v>
      </c>
      <c r="AP6" s="352">
        <f>OPEX!AL9</f>
        <v>34464.08416948923</v>
      </c>
      <c r="AQ6" s="352">
        <f>OPEX!AM9</f>
        <v>34464.08416948923</v>
      </c>
    </row>
    <row r="7" spans="4:43">
      <c r="D7" s="349" t="s">
        <v>1668</v>
      </c>
      <c r="E7" s="192" t="s">
        <v>1665</v>
      </c>
      <c r="F7" s="353">
        <f t="shared" ref="F7:F15" si="0">SUMPRODUCT(I7:AQ7,$I$17:$AQ$17)</f>
        <v>0</v>
      </c>
      <c r="I7" s="118">
        <v>0</v>
      </c>
      <c r="J7" s="118">
        <v>0</v>
      </c>
      <c r="K7" s="118">
        <v>0</v>
      </c>
      <c r="L7" s="118">
        <v>0</v>
      </c>
      <c r="M7" s="118">
        <v>0</v>
      </c>
      <c r="N7" s="118">
        <v>0</v>
      </c>
      <c r="O7" s="118">
        <v>0</v>
      </c>
      <c r="P7" s="118">
        <v>0</v>
      </c>
      <c r="Q7" s="118">
        <v>0</v>
      </c>
      <c r="R7" s="118">
        <v>0</v>
      </c>
      <c r="S7" s="118">
        <v>0</v>
      </c>
      <c r="T7" s="118">
        <v>0</v>
      </c>
      <c r="U7" s="118">
        <v>0</v>
      </c>
      <c r="V7" s="118">
        <v>0</v>
      </c>
      <c r="W7" s="118">
        <v>0</v>
      </c>
      <c r="X7" s="118">
        <v>0</v>
      </c>
      <c r="Y7" s="118">
        <v>0</v>
      </c>
      <c r="Z7" s="118">
        <v>0</v>
      </c>
      <c r="AA7" s="118">
        <v>0</v>
      </c>
      <c r="AB7" s="118">
        <v>0</v>
      </c>
      <c r="AC7" s="118">
        <v>0</v>
      </c>
      <c r="AD7" s="118">
        <v>0</v>
      </c>
      <c r="AE7" s="118">
        <v>0</v>
      </c>
      <c r="AF7" s="118">
        <v>0</v>
      </c>
      <c r="AG7" s="118">
        <v>0</v>
      </c>
      <c r="AH7" s="118">
        <v>0</v>
      </c>
      <c r="AI7" s="118">
        <v>0</v>
      </c>
      <c r="AJ7" s="118">
        <v>0</v>
      </c>
      <c r="AK7" s="118">
        <v>0</v>
      </c>
      <c r="AL7" s="118">
        <v>0</v>
      </c>
      <c r="AM7" s="118">
        <v>0</v>
      </c>
      <c r="AN7" s="118">
        <v>0</v>
      </c>
      <c r="AO7" s="118">
        <v>0</v>
      </c>
      <c r="AP7" s="118">
        <v>0</v>
      </c>
      <c r="AQ7" s="118">
        <v>0</v>
      </c>
    </row>
    <row r="8" spans="4:43">
      <c r="D8" s="349" t="s">
        <v>216</v>
      </c>
      <c r="E8" s="192" t="s">
        <v>1667</v>
      </c>
      <c r="F8" s="353">
        <f>SUMPRODUCT(I8:AQ8,$I$17:$AQ$17)</f>
        <v>611643.13928335567</v>
      </c>
      <c r="I8" s="353">
        <f>DFs!F24</f>
        <v>0</v>
      </c>
      <c r="J8" s="353">
        <f>DFs!G24</f>
        <v>0</v>
      </c>
      <c r="K8" s="353">
        <f>DFs!H24</f>
        <v>0</v>
      </c>
      <c r="L8" s="353">
        <f>DFs!I24</f>
        <v>103392.25250846769</v>
      </c>
      <c r="M8" s="353">
        <f>DFs!J24</f>
        <v>103392.25250846769</v>
      </c>
      <c r="N8" s="353">
        <f>DFs!K24</f>
        <v>103392.25250846769</v>
      </c>
      <c r="O8" s="353">
        <f>DFs!L24</f>
        <v>103392.25250846769</v>
      </c>
      <c r="P8" s="353">
        <f>DFs!M24</f>
        <v>103392.25250846769</v>
      </c>
      <c r="Q8" s="353">
        <f>DFs!N24</f>
        <v>103392.25250846769</v>
      </c>
      <c r="R8" s="353">
        <f>DFs!O24</f>
        <v>103392.25250846769</v>
      </c>
      <c r="S8" s="353">
        <f>DFs!P24</f>
        <v>103392.25250846769</v>
      </c>
      <c r="T8" s="353">
        <f>DFs!Q24</f>
        <v>103392.25250846769</v>
      </c>
      <c r="U8" s="353">
        <f>DFs!R24</f>
        <v>103392.25250846769</v>
      </c>
      <c r="V8" s="353">
        <f>DFs!S24</f>
        <v>103392.25250846769</v>
      </c>
      <c r="W8" s="353">
        <f>DFs!T24</f>
        <v>103392.25250846769</v>
      </c>
      <c r="X8" s="353">
        <f>DFs!U24</f>
        <v>103392.25250846769</v>
      </c>
      <c r="Y8" s="353">
        <f>DFs!V24</f>
        <v>103392.25250846769</v>
      </c>
      <c r="Z8" s="353">
        <f>DFs!W24</f>
        <v>103392.25250846769</v>
      </c>
      <c r="AA8" s="353">
        <f>DFs!X24</f>
        <v>103392.25250846769</v>
      </c>
      <c r="AB8" s="353">
        <f>DFs!Y24</f>
        <v>103392.25250846769</v>
      </c>
      <c r="AC8" s="353">
        <f>DFs!Z24</f>
        <v>103392.25250846769</v>
      </c>
      <c r="AD8" s="353">
        <f>DFs!AA24</f>
        <v>103392.25250846769</v>
      </c>
      <c r="AE8" s="353">
        <f>DFs!AB24</f>
        <v>103392.25250846769</v>
      </c>
      <c r="AF8" s="353">
        <f>DFs!AC24</f>
        <v>103392.25250846769</v>
      </c>
      <c r="AG8" s="353">
        <f>DFs!AD24</f>
        <v>103392.25250846769</v>
      </c>
      <c r="AH8" s="353">
        <f>DFs!AE24</f>
        <v>103392.25250846769</v>
      </c>
      <c r="AI8" s="353">
        <f>DFs!AF24</f>
        <v>103392.25250846769</v>
      </c>
      <c r="AJ8" s="353">
        <f>DFs!AG24</f>
        <v>103392.25250846769</v>
      </c>
      <c r="AK8" s="353">
        <f>DFs!AH24</f>
        <v>103392.25250846769</v>
      </c>
      <c r="AL8" s="353">
        <f>DFs!AI24</f>
        <v>103392.25250846769</v>
      </c>
      <c r="AM8" s="353">
        <f>DFs!AJ24</f>
        <v>103392.25250846769</v>
      </c>
      <c r="AN8" s="353">
        <f>DFs!AK24</f>
        <v>103392.25250846769</v>
      </c>
      <c r="AO8" s="353">
        <f>DFs!AL24</f>
        <v>103392.25250846769</v>
      </c>
      <c r="AP8" s="353">
        <f>DFs!AM24</f>
        <v>103392.25250846769</v>
      </c>
      <c r="AQ8" s="353">
        <f>DFs!AN24</f>
        <v>103392.25250846769</v>
      </c>
    </row>
    <row r="9" spans="4:43">
      <c r="D9" s="349" t="s">
        <v>81</v>
      </c>
      <c r="E9" s="192" t="s">
        <v>1669</v>
      </c>
      <c r="F9" s="353">
        <f t="shared" si="0"/>
        <v>-1836792.8457588253</v>
      </c>
      <c r="I9" s="353">
        <f>-DFs!F70</f>
        <v>-974355.05213632551</v>
      </c>
      <c r="J9" s="353">
        <f>-DFs!G70</f>
        <v>-974355.05213632551</v>
      </c>
      <c r="K9" s="353">
        <f>-DFs!H70</f>
        <v>0</v>
      </c>
      <c r="L9" s="353">
        <f>-DFs!I70</f>
        <v>0</v>
      </c>
      <c r="M9" s="353">
        <f>-DFs!J70</f>
        <v>0</v>
      </c>
      <c r="N9" s="353">
        <f>-DFs!K70</f>
        <v>0</v>
      </c>
      <c r="O9" s="353">
        <f>-DFs!L70</f>
        <v>0</v>
      </c>
      <c r="P9" s="353">
        <f>-DFs!M70</f>
        <v>0</v>
      </c>
      <c r="Q9" s="353">
        <f>-DFs!N70</f>
        <v>0</v>
      </c>
      <c r="R9" s="353">
        <f>-DFs!O70</f>
        <v>0</v>
      </c>
      <c r="S9" s="353">
        <f>-DFs!P70</f>
        <v>0</v>
      </c>
      <c r="T9" s="353">
        <f>-DFs!Q70</f>
        <v>0</v>
      </c>
      <c r="U9" s="353">
        <f>-DFs!R70</f>
        <v>0</v>
      </c>
      <c r="V9" s="353">
        <f>-DFs!S70</f>
        <v>0</v>
      </c>
      <c r="W9" s="353">
        <f>-DFs!T70</f>
        <v>0</v>
      </c>
      <c r="X9" s="353">
        <f>-DFs!U70</f>
        <v>0</v>
      </c>
      <c r="Y9" s="353">
        <f>-DFs!V70</f>
        <v>0</v>
      </c>
      <c r="Z9" s="353">
        <f>-DFs!W70</f>
        <v>0</v>
      </c>
      <c r="AA9" s="353">
        <f>-DFs!X70</f>
        <v>0</v>
      </c>
      <c r="AB9" s="353">
        <f>-DFs!Y70</f>
        <v>0</v>
      </c>
      <c r="AC9" s="353">
        <f>-DFs!Z70</f>
        <v>0</v>
      </c>
      <c r="AD9" s="353">
        <f>-DFs!AA70</f>
        <v>0</v>
      </c>
      <c r="AE9" s="353">
        <f>-DFs!AB70</f>
        <v>0</v>
      </c>
      <c r="AF9" s="353">
        <f>-DFs!AC70</f>
        <v>0</v>
      </c>
      <c r="AG9" s="353">
        <f>-DFs!AD70</f>
        <v>0</v>
      </c>
      <c r="AH9" s="353">
        <f>-DFs!AE70</f>
        <v>0</v>
      </c>
      <c r="AI9" s="353">
        <f>-DFs!AF70</f>
        <v>0</v>
      </c>
      <c r="AJ9" s="353">
        <f>-DFs!AG70</f>
        <v>0</v>
      </c>
      <c r="AK9" s="353">
        <f>-DFs!AH70</f>
        <v>0</v>
      </c>
      <c r="AL9" s="353">
        <f>-DFs!AI70</f>
        <v>0</v>
      </c>
      <c r="AM9" s="353">
        <f>-DFs!AJ70</f>
        <v>0</v>
      </c>
      <c r="AN9" s="353">
        <f>-DFs!AK70</f>
        <v>0</v>
      </c>
      <c r="AO9" s="353">
        <f>-DFs!AL70</f>
        <v>0</v>
      </c>
      <c r="AP9" s="353">
        <f>-DFs!AM70</f>
        <v>0</v>
      </c>
      <c r="AQ9" s="353">
        <f>-DFs!AN70</f>
        <v>0</v>
      </c>
    </row>
    <row r="10" spans="4:43">
      <c r="D10" s="349" t="s">
        <v>1670</v>
      </c>
      <c r="E10" s="192" t="s">
        <v>1665</v>
      </c>
      <c r="F10" s="353">
        <f t="shared" si="0"/>
        <v>0</v>
      </c>
      <c r="I10" s="119">
        <v>0</v>
      </c>
      <c r="J10" s="119">
        <v>0</v>
      </c>
      <c r="K10" s="119">
        <v>0</v>
      </c>
      <c r="L10" s="119">
        <v>0</v>
      </c>
      <c r="M10" s="119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119">
        <v>0</v>
      </c>
      <c r="Z10" s="119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9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</row>
    <row r="11" spans="4:43">
      <c r="D11" s="349" t="s">
        <v>1671</v>
      </c>
      <c r="E11" s="192" t="s">
        <v>1665</v>
      </c>
      <c r="F11" s="353">
        <f t="shared" si="0"/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119">
        <v>0</v>
      </c>
      <c r="Z11" s="119">
        <v>0</v>
      </c>
      <c r="AA11" s="119">
        <v>0</v>
      </c>
      <c r="AB11" s="119">
        <v>0</v>
      </c>
      <c r="AC11" s="119">
        <v>0</v>
      </c>
      <c r="AD11" s="119">
        <v>0</v>
      </c>
      <c r="AE11" s="119">
        <v>0</v>
      </c>
      <c r="AF11" s="119">
        <v>0</v>
      </c>
      <c r="AG11" s="119">
        <v>0</v>
      </c>
      <c r="AH11" s="119">
        <v>0</v>
      </c>
      <c r="AI11" s="119">
        <v>0</v>
      </c>
      <c r="AJ11" s="119">
        <v>0</v>
      </c>
      <c r="AK11" s="119">
        <v>0</v>
      </c>
      <c r="AL11" s="119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</row>
    <row r="12" spans="4:43">
      <c r="D12" s="349" t="s">
        <v>1672</v>
      </c>
      <c r="E12" s="192" t="s">
        <v>1665</v>
      </c>
      <c r="F12" s="353">
        <f t="shared" si="0"/>
        <v>0</v>
      </c>
      <c r="I12" s="119">
        <v>0</v>
      </c>
      <c r="J12" s="119">
        <v>0</v>
      </c>
      <c r="K12" s="119">
        <v>0</v>
      </c>
      <c r="L12" s="119">
        <v>0</v>
      </c>
      <c r="M12" s="119">
        <v>0</v>
      </c>
      <c r="N12" s="119">
        <v>0</v>
      </c>
      <c r="O12" s="119">
        <v>0</v>
      </c>
      <c r="P12" s="119">
        <v>0</v>
      </c>
      <c r="Q12" s="119">
        <v>0</v>
      </c>
      <c r="R12" s="119">
        <v>0</v>
      </c>
      <c r="S12" s="119">
        <v>0</v>
      </c>
      <c r="T12" s="119">
        <v>0</v>
      </c>
      <c r="U12" s="119">
        <v>0</v>
      </c>
      <c r="V12" s="119">
        <v>0</v>
      </c>
      <c r="W12" s="119">
        <v>0</v>
      </c>
      <c r="X12" s="119">
        <v>0</v>
      </c>
      <c r="Y12" s="119">
        <v>0</v>
      </c>
      <c r="Z12" s="119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19">
        <v>0</v>
      </c>
      <c r="AH12" s="119">
        <v>0</v>
      </c>
      <c r="AI12" s="119">
        <v>0</v>
      </c>
      <c r="AJ12" s="119">
        <v>0</v>
      </c>
      <c r="AK12" s="119">
        <v>0</v>
      </c>
      <c r="AL12" s="119">
        <v>0</v>
      </c>
      <c r="AM12" s="119">
        <v>0</v>
      </c>
      <c r="AN12" s="119">
        <v>0</v>
      </c>
      <c r="AO12" s="119">
        <v>0</v>
      </c>
      <c r="AP12" s="119">
        <v>0</v>
      </c>
      <c r="AQ12" s="119">
        <v>0</v>
      </c>
    </row>
    <row r="13" spans="4:43">
      <c r="D13" s="349" t="s">
        <v>1673</v>
      </c>
      <c r="E13" s="192" t="s">
        <v>1665</v>
      </c>
      <c r="F13" s="353">
        <f t="shared" si="0"/>
        <v>0</v>
      </c>
      <c r="I13" s="119">
        <v>0</v>
      </c>
      <c r="J13" s="119">
        <v>0</v>
      </c>
      <c r="K13" s="119">
        <v>0</v>
      </c>
      <c r="L13" s="119">
        <v>0</v>
      </c>
      <c r="M13" s="119">
        <v>0</v>
      </c>
      <c r="N13" s="119">
        <v>0</v>
      </c>
      <c r="O13" s="119">
        <v>0</v>
      </c>
      <c r="P13" s="119">
        <v>0</v>
      </c>
      <c r="Q13" s="119">
        <v>0</v>
      </c>
      <c r="R13" s="119">
        <v>0</v>
      </c>
      <c r="S13" s="119">
        <v>0</v>
      </c>
      <c r="T13" s="119">
        <v>0</v>
      </c>
      <c r="U13" s="119">
        <v>0</v>
      </c>
      <c r="V13" s="119">
        <v>0</v>
      </c>
      <c r="W13" s="119">
        <v>0</v>
      </c>
      <c r="X13" s="119">
        <v>0</v>
      </c>
      <c r="Y13" s="119">
        <v>0</v>
      </c>
      <c r="Z13" s="119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19">
        <v>0</v>
      </c>
      <c r="AH13" s="119">
        <v>0</v>
      </c>
      <c r="AI13" s="119">
        <v>0</v>
      </c>
      <c r="AJ13" s="119">
        <v>0</v>
      </c>
      <c r="AK13" s="119">
        <v>0</v>
      </c>
      <c r="AL13" s="119">
        <v>0</v>
      </c>
      <c r="AM13" s="119">
        <v>0</v>
      </c>
      <c r="AN13" s="119">
        <v>0</v>
      </c>
      <c r="AO13" s="119">
        <v>0</v>
      </c>
      <c r="AP13" s="119">
        <v>0</v>
      </c>
      <c r="AQ13" s="119">
        <v>0</v>
      </c>
    </row>
    <row r="14" spans="4:43">
      <c r="D14" s="349" t="s">
        <v>1674</v>
      </c>
      <c r="E14" s="192" t="s">
        <v>1665</v>
      </c>
      <c r="F14" s="353">
        <f t="shared" si="0"/>
        <v>0</v>
      </c>
      <c r="I14" s="119">
        <v>0</v>
      </c>
      <c r="J14" s="119">
        <v>0</v>
      </c>
      <c r="K14" s="119">
        <v>0</v>
      </c>
      <c r="L14" s="119">
        <v>0</v>
      </c>
      <c r="M14" s="119">
        <v>0</v>
      </c>
      <c r="N14" s="119">
        <v>0</v>
      </c>
      <c r="O14" s="119">
        <v>0</v>
      </c>
      <c r="P14" s="119">
        <v>0</v>
      </c>
      <c r="Q14" s="119">
        <v>0</v>
      </c>
      <c r="R14" s="119">
        <v>0</v>
      </c>
      <c r="S14" s="119">
        <v>0</v>
      </c>
      <c r="T14" s="119">
        <v>0</v>
      </c>
      <c r="U14" s="119">
        <v>0</v>
      </c>
      <c r="V14" s="119">
        <v>0</v>
      </c>
      <c r="W14" s="119">
        <v>0</v>
      </c>
      <c r="X14" s="119">
        <v>0</v>
      </c>
      <c r="Y14" s="119">
        <v>0</v>
      </c>
      <c r="Z14" s="119">
        <v>0</v>
      </c>
      <c r="AA14" s="119">
        <v>0</v>
      </c>
      <c r="AB14" s="119">
        <v>0</v>
      </c>
      <c r="AC14" s="119">
        <v>0</v>
      </c>
      <c r="AD14" s="119">
        <v>0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9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</row>
    <row r="15" spans="4:43">
      <c r="D15" s="349" t="s">
        <v>1675</v>
      </c>
      <c r="E15" s="192" t="s">
        <v>1667</v>
      </c>
      <c r="F15" s="353">
        <f t="shared" si="0"/>
        <v>868954.81538604491</v>
      </c>
      <c r="I15" s="352">
        <f>-SUM(DFs!F19,DFs!F35)</f>
        <v>0</v>
      </c>
      <c r="J15" s="352">
        <f>-SUM(DFs!G19,DFs!G35)</f>
        <v>0</v>
      </c>
      <c r="K15" s="352">
        <f>-SUM(DFs!H19,DFs!H35)</f>
        <v>129709.81539592193</v>
      </c>
      <c r="L15" s="352">
        <f>-SUM(DFs!I19,DFs!I35)</f>
        <v>129709.81539592193</v>
      </c>
      <c r="M15" s="352">
        <f>-SUM(DFs!J19,DFs!J35)</f>
        <v>129709.81539592193</v>
      </c>
      <c r="N15" s="352">
        <f>-SUM(DFs!K19,DFs!K35)</f>
        <v>129709.81539592193</v>
      </c>
      <c r="O15" s="352">
        <f>-SUM(DFs!L19,DFs!L35)</f>
        <v>129709.81539592193</v>
      </c>
      <c r="P15" s="352">
        <f>-SUM(DFs!M19,DFs!M35)</f>
        <v>129709.81539592193</v>
      </c>
      <c r="Q15" s="352">
        <f>-SUM(DFs!N19,DFs!N35)</f>
        <v>129709.81539592193</v>
      </c>
      <c r="R15" s="352">
        <f>-SUM(DFs!O19,DFs!O35)</f>
        <v>129709.81539592193</v>
      </c>
      <c r="S15" s="352">
        <f>-SUM(DFs!P19,DFs!P35)</f>
        <v>129709.81539592193</v>
      </c>
      <c r="T15" s="352">
        <f>-SUM(DFs!Q19,DFs!Q35)</f>
        <v>129709.81539592193</v>
      </c>
      <c r="U15" s="352">
        <f>-SUM(DFs!R19,DFs!R35)</f>
        <v>129709.81539592193</v>
      </c>
      <c r="V15" s="352">
        <f>-SUM(DFs!S19,DFs!S35)</f>
        <v>129709.81539592193</v>
      </c>
      <c r="W15" s="352">
        <f>-SUM(DFs!T19,DFs!T35)</f>
        <v>129709.81539592193</v>
      </c>
      <c r="X15" s="352">
        <f>-SUM(DFs!U19,DFs!U35)</f>
        <v>129709.81539592193</v>
      </c>
      <c r="Y15" s="352">
        <f>-SUM(DFs!V19,DFs!V35)</f>
        <v>129709.81539592193</v>
      </c>
      <c r="Z15" s="352">
        <f>-SUM(DFs!W19,DFs!W35)</f>
        <v>129709.81539592193</v>
      </c>
      <c r="AA15" s="352">
        <f>-SUM(DFs!X19,DFs!X35)</f>
        <v>129709.81539592193</v>
      </c>
      <c r="AB15" s="352">
        <f>-SUM(DFs!Y19,DFs!Y35)</f>
        <v>129709.81539592193</v>
      </c>
      <c r="AC15" s="352">
        <f>-SUM(DFs!Z19,DFs!Z35)</f>
        <v>129709.81539592193</v>
      </c>
      <c r="AD15" s="352">
        <f>-SUM(DFs!AA19,DFs!AA35)</f>
        <v>129709.81539592193</v>
      </c>
      <c r="AE15" s="352">
        <f>-SUM(DFs!AB19,DFs!AB35)</f>
        <v>129709.81539592193</v>
      </c>
      <c r="AF15" s="352">
        <f>-SUM(DFs!AC19,DFs!AC35)</f>
        <v>129709.81539592193</v>
      </c>
      <c r="AG15" s="352">
        <f>-SUM(DFs!AD19,DFs!AD35)</f>
        <v>129709.81539592193</v>
      </c>
      <c r="AH15" s="352">
        <f>-SUM(DFs!AE19,DFs!AE35)</f>
        <v>129709.81539592193</v>
      </c>
      <c r="AI15" s="352">
        <f>-SUM(DFs!AF19,DFs!AF35)</f>
        <v>129709.81539592193</v>
      </c>
      <c r="AJ15" s="352">
        <f>-SUM(DFs!AG19,DFs!AG35)</f>
        <v>129709.81539592193</v>
      </c>
      <c r="AK15" s="352">
        <f>-SUM(DFs!AH19,DFs!AH35)</f>
        <v>129709.81539592193</v>
      </c>
      <c r="AL15" s="352">
        <f>-SUM(DFs!AI19,DFs!AI35)</f>
        <v>129709.81539592193</v>
      </c>
      <c r="AM15" s="352">
        <f>-SUM(DFs!AJ19,DFs!AJ35)</f>
        <v>129709.81539592193</v>
      </c>
      <c r="AN15" s="352">
        <f>-SUM(DFs!AK19,DFs!AK35)</f>
        <v>129709.81539592193</v>
      </c>
      <c r="AO15" s="352">
        <f>-SUM(DFs!AL19,DFs!AL35)</f>
        <v>129709.81539592193</v>
      </c>
      <c r="AP15" s="352">
        <f>-SUM(DFs!AM19,DFs!AM35)</f>
        <v>129709.81539592193</v>
      </c>
      <c r="AQ15" s="352">
        <f>-SUM(DFs!AN19,DFs!AN35)</f>
        <v>129709.81539592193</v>
      </c>
    </row>
    <row r="16" spans="4:43">
      <c r="D16" s="354" t="s">
        <v>36</v>
      </c>
      <c r="E16" s="354"/>
      <c r="F16" s="355">
        <f>SUM(F5:F15)</f>
        <v>-125312.3491203672</v>
      </c>
    </row>
    <row r="17" spans="4:44">
      <c r="D17" s="349" t="s">
        <v>1676</v>
      </c>
      <c r="E17" s="349"/>
      <c r="F17" s="353"/>
      <c r="I17" s="350">
        <f>DFs!F85</f>
        <v>1</v>
      </c>
      <c r="J17" s="350">
        <f>DFs!G85</f>
        <v>0.88513708809900338</v>
      </c>
      <c r="K17" s="350">
        <f>DFs!H85</f>
        <v>0.78346766472838281</v>
      </c>
      <c r="L17" s="350">
        <f>DFs!I85</f>
        <v>0.69347628737740707</v>
      </c>
      <c r="M17" s="350">
        <f>DFs!J85</f>
        <v>0.6138215816749456</v>
      </c>
      <c r="N17" s="350">
        <f>DFs!K85</f>
        <v>0.54331624741608586</v>
      </c>
      <c r="O17" s="350">
        <f>DFs!L85</f>
        <v>0.48090936115475191</v>
      </c>
      <c r="P17" s="350">
        <f>DFs!M85</f>
        <v>0.42567071157206909</v>
      </c>
      <c r="Q17" s="350">
        <f>DFs!N85</f>
        <v>0.37677693412993196</v>
      </c>
      <c r="R17" s="350">
        <f>DFs!O85</f>
        <v>0.33349923833863798</v>
      </c>
      <c r="S17" s="350">
        <f>DFs!P85</f>
        <v>0.29519254470629752</v>
      </c>
      <c r="T17" s="350">
        <f>DFs!Q85</f>
        <v>0.26128586944986709</v>
      </c>
      <c r="U17" s="350">
        <f>DFs!R85</f>
        <v>0.23127381364627164</v>
      </c>
      <c r="V17" s="350">
        <f>DFs!S85</f>
        <v>0.20470902996441245</v>
      </c>
      <c r="W17" s="350">
        <f>DFs!T85</f>
        <v>0.18119555469027163</v>
      </c>
      <c r="X17" s="350">
        <f>DFs!U85</f>
        <v>0.16038290565503074</v>
      </c>
      <c r="Y17" s="350">
        <f>DFs!V85</f>
        <v>0.14196085809235112</v>
      </c>
      <c r="Z17" s="350">
        <f>DFs!W85</f>
        <v>0.12565482055589949</v>
      </c>
      <c r="AA17" s="350">
        <f>DFs!X85</f>
        <v>0.11122174197245166</v>
      </c>
      <c r="AB17" s="350">
        <f>DFs!Y85</f>
        <v>9.8446488822794581E-2</v>
      </c>
      <c r="AC17" s="350">
        <f>DFs!Z85</f>
        <v>8.7138638450179468E-2</v>
      </c>
      <c r="AD17" s="350">
        <f>DFs!AA85</f>
        <v>7.7129640698703705E-2</v>
      </c>
      <c r="AE17" s="350">
        <f>DFs!AB85</f>
        <v>6.8270305574172963E-2</v>
      </c>
      <c r="AF17" s="350">
        <f>DFs!AC85</f>
        <v>6.0428579479552616E-2</v>
      </c>
      <c r="AG17" s="350">
        <f>DFs!AD85</f>
        <v>5.34875768784904E-2</v>
      </c>
      <c r="AH17" s="350">
        <f>DFs!AE85</f>
        <v>4.7343838047698567E-2</v>
      </c>
      <c r="AI17" s="350">
        <f>DFs!AF85</f>
        <v>4.1905786948970715E-2</v>
      </c>
      <c r="AJ17" s="350">
        <f>DFs!AG85</f>
        <v>3.7092366234509157E-2</v>
      </c>
      <c r="AK17" s="350">
        <f>DFs!AH85</f>
        <v>3.2831829039515224E-2</v>
      </c>
      <c r="AL17" s="350">
        <f>DFs!AI85</f>
        <v>2.9060669553000809E-2</v>
      </c>
      <c r="AM17" s="350">
        <f>DFs!AJ85</f>
        <v>2.5722676426350493E-2</v>
      </c>
      <c r="AN17" s="350">
        <f>DFs!AK85</f>
        <v>2.2768094910132756E-2</v>
      </c>
      <c r="AO17" s="350">
        <f>DFs!AL85</f>
        <v>2.015288523031665E-2</v>
      </c>
      <c r="AP17" s="350">
        <f>DFs!AM85</f>
        <v>1.7838066149555892E-2</v>
      </c>
      <c r="AQ17" s="350">
        <f>DFs!AN85</f>
        <v>1.5789133928935304E-2</v>
      </c>
    </row>
    <row r="19" spans="4:44">
      <c r="D19" s="351" t="s">
        <v>1677</v>
      </c>
      <c r="E19" s="351"/>
      <c r="F19" s="356">
        <v>7.6100000000000001E-2</v>
      </c>
      <c r="G19" s="340" t="s">
        <v>1678</v>
      </c>
      <c r="H19" s="739" t="s">
        <v>1679</v>
      </c>
      <c r="I19" s="340">
        <f t="shared" ref="I19:AQ19" si="1">I4</f>
        <v>1</v>
      </c>
      <c r="J19" s="340">
        <f t="shared" si="1"/>
        <v>2</v>
      </c>
      <c r="K19" s="340">
        <f t="shared" si="1"/>
        <v>3</v>
      </c>
      <c r="L19" s="340">
        <f t="shared" si="1"/>
        <v>4</v>
      </c>
      <c r="M19" s="340">
        <f t="shared" si="1"/>
        <v>5</v>
      </c>
      <c r="N19" s="340">
        <f t="shared" si="1"/>
        <v>6</v>
      </c>
      <c r="O19" s="340">
        <f t="shared" si="1"/>
        <v>7</v>
      </c>
      <c r="P19" s="340">
        <f t="shared" si="1"/>
        <v>8</v>
      </c>
      <c r="Q19" s="340">
        <f t="shared" si="1"/>
        <v>9</v>
      </c>
      <c r="R19" s="340">
        <f t="shared" si="1"/>
        <v>10</v>
      </c>
      <c r="S19" s="340">
        <f t="shared" si="1"/>
        <v>11</v>
      </c>
      <c r="T19" s="340">
        <f t="shared" si="1"/>
        <v>12</v>
      </c>
      <c r="U19" s="340">
        <f t="shared" si="1"/>
        <v>13</v>
      </c>
      <c r="V19" s="340">
        <f t="shared" si="1"/>
        <v>14</v>
      </c>
      <c r="W19" s="340">
        <f t="shared" si="1"/>
        <v>15</v>
      </c>
      <c r="X19" s="340">
        <f t="shared" si="1"/>
        <v>16</v>
      </c>
      <c r="Y19" s="340">
        <f t="shared" si="1"/>
        <v>17</v>
      </c>
      <c r="Z19" s="340">
        <f t="shared" si="1"/>
        <v>18</v>
      </c>
      <c r="AA19" s="340">
        <f t="shared" si="1"/>
        <v>19</v>
      </c>
      <c r="AB19" s="340">
        <f t="shared" si="1"/>
        <v>20</v>
      </c>
      <c r="AC19" s="340">
        <f t="shared" si="1"/>
        <v>21</v>
      </c>
      <c r="AD19" s="340">
        <f t="shared" si="1"/>
        <v>22</v>
      </c>
      <c r="AE19" s="340">
        <f t="shared" si="1"/>
        <v>23</v>
      </c>
      <c r="AF19" s="340">
        <f t="shared" si="1"/>
        <v>24</v>
      </c>
      <c r="AG19" s="340">
        <f t="shared" si="1"/>
        <v>25</v>
      </c>
      <c r="AH19" s="340">
        <f t="shared" si="1"/>
        <v>26</v>
      </c>
      <c r="AI19" s="340">
        <f t="shared" si="1"/>
        <v>27</v>
      </c>
      <c r="AJ19" s="340">
        <f t="shared" si="1"/>
        <v>28</v>
      </c>
      <c r="AK19" s="340">
        <f t="shared" si="1"/>
        <v>29</v>
      </c>
      <c r="AL19" s="340">
        <f t="shared" si="1"/>
        <v>30</v>
      </c>
      <c r="AM19" s="340">
        <f t="shared" si="1"/>
        <v>31</v>
      </c>
      <c r="AN19" s="340">
        <f t="shared" si="1"/>
        <v>32</v>
      </c>
      <c r="AO19" s="340">
        <f t="shared" si="1"/>
        <v>33</v>
      </c>
      <c r="AP19" s="340">
        <f t="shared" si="1"/>
        <v>34</v>
      </c>
      <c r="AQ19" s="340">
        <f t="shared" si="1"/>
        <v>35</v>
      </c>
    </row>
    <row r="20" spans="4:44">
      <c r="D20" s="349" t="s">
        <v>1664</v>
      </c>
      <c r="E20" s="192" t="s">
        <v>1667</v>
      </c>
      <c r="F20" s="353">
        <f t="shared" ref="F20:F30" si="2">SUMPRODUCT(I20:AQ20,$I$32:$AQ$32)</f>
        <v>76688326.79038097</v>
      </c>
      <c r="I20" s="353">
        <f>DFs!F7</f>
        <v>0</v>
      </c>
      <c r="J20" s="353">
        <f>DFs!G7</f>
        <v>0</v>
      </c>
      <c r="K20" s="353">
        <f>DFs!H7</f>
        <v>6892816.8338978458</v>
      </c>
      <c r="L20" s="353">
        <f>DFs!I7</f>
        <v>6892816.8338978458</v>
      </c>
      <c r="M20" s="353">
        <f>DFs!J7</f>
        <v>6892816.8338978458</v>
      </c>
      <c r="N20" s="353">
        <f>DFs!K7</f>
        <v>6892816.8338978458</v>
      </c>
      <c r="O20" s="353">
        <f>DFs!L7</f>
        <v>6892816.8338978458</v>
      </c>
      <c r="P20" s="353">
        <f>DFs!M7</f>
        <v>6892816.8338978458</v>
      </c>
      <c r="Q20" s="353">
        <f>DFs!N7</f>
        <v>6892816.8338978458</v>
      </c>
      <c r="R20" s="353">
        <f>DFs!O7</f>
        <v>6892816.8338978458</v>
      </c>
      <c r="S20" s="353">
        <f>DFs!P7</f>
        <v>6892816.8338978458</v>
      </c>
      <c r="T20" s="353">
        <f>DFs!Q7</f>
        <v>6892816.8338978458</v>
      </c>
      <c r="U20" s="353">
        <f>DFs!R7</f>
        <v>6892816.8338978458</v>
      </c>
      <c r="V20" s="353">
        <f>DFs!S7</f>
        <v>6892816.8338978458</v>
      </c>
      <c r="W20" s="353">
        <f>DFs!T7</f>
        <v>6892816.8338978458</v>
      </c>
      <c r="X20" s="353">
        <f>DFs!U7</f>
        <v>6892816.8338978458</v>
      </c>
      <c r="Y20" s="353">
        <f>DFs!V7</f>
        <v>6892816.8338978458</v>
      </c>
      <c r="Z20" s="353">
        <f>DFs!W7</f>
        <v>6892816.8338978458</v>
      </c>
      <c r="AA20" s="353">
        <f>DFs!X7</f>
        <v>6892816.8338978458</v>
      </c>
      <c r="AB20" s="353">
        <f>DFs!Y7</f>
        <v>6892816.8338978458</v>
      </c>
      <c r="AC20" s="353">
        <f>DFs!Z7</f>
        <v>6892816.8338978458</v>
      </c>
      <c r="AD20" s="353">
        <f>DFs!AA7</f>
        <v>6892816.8338978458</v>
      </c>
      <c r="AE20" s="353">
        <f>DFs!AB7</f>
        <v>6892816.8338978458</v>
      </c>
      <c r="AF20" s="353">
        <f>DFs!AC7</f>
        <v>6892816.8338978458</v>
      </c>
      <c r="AG20" s="353">
        <f>DFs!AD7</f>
        <v>6892816.8338978458</v>
      </c>
      <c r="AH20" s="353">
        <f>DFs!AE7</f>
        <v>6892816.8338978458</v>
      </c>
      <c r="AI20" s="353">
        <f>DFs!AF7</f>
        <v>6892816.8338978458</v>
      </c>
      <c r="AJ20" s="353">
        <f>DFs!AG7</f>
        <v>6892816.8338978458</v>
      </c>
      <c r="AK20" s="353">
        <f>DFs!AH7</f>
        <v>6892816.8338978458</v>
      </c>
      <c r="AL20" s="353">
        <f>DFs!AI7</f>
        <v>6892816.8338978458</v>
      </c>
      <c r="AM20" s="353">
        <f>DFs!AJ7</f>
        <v>6892816.8338978458</v>
      </c>
      <c r="AN20" s="353">
        <f>DFs!AK7</f>
        <v>6892816.8338978458</v>
      </c>
      <c r="AO20" s="353">
        <f>DFs!AL7</f>
        <v>6892816.8338978458</v>
      </c>
      <c r="AP20" s="353">
        <f>DFs!AM7</f>
        <v>6892816.8338978458</v>
      </c>
      <c r="AQ20" s="353">
        <f>DFs!AN7</f>
        <v>6892816.8338978458</v>
      </c>
    </row>
    <row r="21" spans="4:44">
      <c r="D21" s="349" t="s">
        <v>1666</v>
      </c>
      <c r="E21" s="192" t="s">
        <v>1665</v>
      </c>
      <c r="F21" s="353">
        <f t="shared" si="2"/>
        <v>0</v>
      </c>
      <c r="I21" s="119">
        <v>0</v>
      </c>
      <c r="J21" s="119">
        <v>0</v>
      </c>
      <c r="K21" s="119">
        <v>0</v>
      </c>
      <c r="L21" s="119">
        <v>0</v>
      </c>
      <c r="M21" s="119">
        <v>0</v>
      </c>
      <c r="N21" s="119">
        <v>0</v>
      </c>
      <c r="O21" s="119">
        <v>0</v>
      </c>
      <c r="P21" s="119">
        <v>0</v>
      </c>
      <c r="Q21" s="119">
        <v>0</v>
      </c>
      <c r="R21" s="119">
        <v>0</v>
      </c>
      <c r="S21" s="119">
        <v>0</v>
      </c>
      <c r="T21" s="119">
        <v>0</v>
      </c>
      <c r="U21" s="119">
        <v>0</v>
      </c>
      <c r="V21" s="119">
        <v>0</v>
      </c>
      <c r="W21" s="119">
        <v>0</v>
      </c>
      <c r="X21" s="119">
        <v>0</v>
      </c>
      <c r="Y21" s="119">
        <v>0</v>
      </c>
      <c r="Z21" s="119">
        <v>0</v>
      </c>
      <c r="AA21" s="119">
        <v>0</v>
      </c>
      <c r="AB21" s="119">
        <v>0</v>
      </c>
      <c r="AC21" s="119">
        <v>0</v>
      </c>
      <c r="AD21" s="119">
        <v>0</v>
      </c>
      <c r="AE21" s="119">
        <v>0</v>
      </c>
      <c r="AF21" s="119">
        <v>0</v>
      </c>
      <c r="AG21" s="119">
        <v>0</v>
      </c>
      <c r="AH21" s="119">
        <v>0</v>
      </c>
      <c r="AI21" s="119">
        <v>0</v>
      </c>
      <c r="AJ21" s="119">
        <v>0</v>
      </c>
      <c r="AK21" s="119">
        <v>0</v>
      </c>
      <c r="AL21" s="119">
        <v>0</v>
      </c>
      <c r="AM21" s="119">
        <v>0</v>
      </c>
      <c r="AN21" s="119">
        <v>0</v>
      </c>
      <c r="AO21" s="119">
        <v>0</v>
      </c>
      <c r="AP21" s="119">
        <v>0</v>
      </c>
      <c r="AQ21" s="119">
        <v>0</v>
      </c>
    </row>
    <row r="22" spans="4:44">
      <c r="D22" s="349" t="s">
        <v>1668</v>
      </c>
      <c r="E22" s="192" t="s">
        <v>1680</v>
      </c>
      <c r="F22" s="353">
        <f t="shared" si="2"/>
        <v>-54817843.459223397</v>
      </c>
      <c r="I22" s="119">
        <f>DFs!F22</f>
        <v>-1261.210522538601</v>
      </c>
      <c r="J22" s="119">
        <f>DFs!G22</f>
        <v>-15823.9004409386</v>
      </c>
      <c r="K22" s="119">
        <f>DFs!H22</f>
        <v>-4840704.5136528322</v>
      </c>
      <c r="L22" s="119">
        <f>DFs!I22</f>
        <v>-4927358.0426413007</v>
      </c>
      <c r="M22" s="119">
        <f>DFs!J22</f>
        <v>-4930537.0332076112</v>
      </c>
      <c r="N22" s="119">
        <f>DFs!K22</f>
        <v>-4927358.0426413007</v>
      </c>
      <c r="O22" s="119">
        <f>DFs!L22</f>
        <v>-4947045.2827818273</v>
      </c>
      <c r="P22" s="119">
        <f>DFs!M22</f>
        <v>-4930537.0332076112</v>
      </c>
      <c r="Q22" s="119">
        <f>DFs!N22</f>
        <v>-4927358.0426413007</v>
      </c>
      <c r="R22" s="119">
        <f>DFs!O22</f>
        <v>-4927358.0426413007</v>
      </c>
      <c r="S22" s="119">
        <f>DFs!P22</f>
        <v>-4930537.0332076112</v>
      </c>
      <c r="T22" s="119">
        <f>DFs!Q22</f>
        <v>-4947045.2827818273</v>
      </c>
      <c r="U22" s="119">
        <f>DFs!R22</f>
        <v>-4931650.0226413002</v>
      </c>
      <c r="V22" s="119">
        <f>DFs!S22</f>
        <v>-4930537.0332076112</v>
      </c>
      <c r="W22" s="119">
        <f>DFs!T22</f>
        <v>-4927358.0426413007</v>
      </c>
      <c r="X22" s="119">
        <f>DFs!U22</f>
        <v>-4927358.0426413007</v>
      </c>
      <c r="Y22" s="119">
        <f>DFs!V22</f>
        <v>-4962453.5609179623</v>
      </c>
      <c r="Z22" s="119">
        <f>DFs!W22</f>
        <v>-4927358.0426413007</v>
      </c>
      <c r="AA22" s="119">
        <f>DFs!X22</f>
        <v>-4927358.0426413007</v>
      </c>
      <c r="AB22" s="119">
        <f>DFs!Y22</f>
        <v>-4930537.0332076112</v>
      </c>
      <c r="AC22" s="119">
        <f>DFs!Z22</f>
        <v>-4927358.0426413007</v>
      </c>
      <c r="AD22" s="119">
        <f>DFs!AA22</f>
        <v>-4947045.2827818273</v>
      </c>
      <c r="AE22" s="119">
        <f>DFs!AB22</f>
        <v>-4934829.0132076107</v>
      </c>
      <c r="AF22" s="119">
        <f>DFs!AC22</f>
        <v>-4927358.0426413007</v>
      </c>
      <c r="AG22" s="119">
        <f>DFs!AD22</f>
        <v>-4927358.0426413007</v>
      </c>
      <c r="AH22" s="119">
        <f>DFs!AE22</f>
        <v>-4930537.0332076112</v>
      </c>
      <c r="AI22" s="119">
        <f>DFs!AF22</f>
        <v>-4947045.2827818273</v>
      </c>
      <c r="AJ22" s="119">
        <f>DFs!AG22</f>
        <v>-4927358.0426413007</v>
      </c>
      <c r="AK22" s="119">
        <f>DFs!AH22</f>
        <v>-4930537.0332076112</v>
      </c>
      <c r="AL22" s="119">
        <f>DFs!AI22</f>
        <v>-4927358.0426413007</v>
      </c>
      <c r="AM22" s="119">
        <f>DFs!AJ22</f>
        <v>-4927358.0426413007</v>
      </c>
      <c r="AN22" s="119">
        <f>DFs!AK22</f>
        <v>-4962453.5609179623</v>
      </c>
      <c r="AO22" s="119">
        <f>DFs!AL22</f>
        <v>-4931650.0226413002</v>
      </c>
      <c r="AP22" s="119">
        <f>DFs!AM22</f>
        <v>-4927358.0426413007</v>
      </c>
      <c r="AQ22" s="119">
        <f>DFs!AN22</f>
        <v>-4930537.0332076112</v>
      </c>
    </row>
    <row r="23" spans="4:44">
      <c r="D23" s="349" t="s">
        <v>1681</v>
      </c>
      <c r="E23" s="192" t="s">
        <v>1665</v>
      </c>
      <c r="F23" s="353">
        <f t="shared" si="2"/>
        <v>0</v>
      </c>
      <c r="I23" s="119">
        <v>0</v>
      </c>
      <c r="J23" s="119">
        <v>0</v>
      </c>
      <c r="K23" s="119">
        <v>0</v>
      </c>
      <c r="L23" s="119">
        <v>0</v>
      </c>
      <c r="M23" s="119">
        <v>0</v>
      </c>
      <c r="N23" s="119">
        <v>0</v>
      </c>
      <c r="O23" s="119">
        <v>0</v>
      </c>
      <c r="P23" s="119">
        <v>0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>
        <v>0</v>
      </c>
      <c r="AM23" s="119">
        <v>0</v>
      </c>
      <c r="AN23" s="119">
        <v>0</v>
      </c>
      <c r="AO23" s="119">
        <v>0</v>
      </c>
      <c r="AP23" s="119">
        <v>0</v>
      </c>
      <c r="AQ23" s="119">
        <v>0</v>
      </c>
    </row>
    <row r="24" spans="4:44">
      <c r="D24" s="349" t="s">
        <v>81</v>
      </c>
      <c r="E24" s="192" t="s">
        <v>1665</v>
      </c>
      <c r="F24" s="353">
        <f t="shared" si="2"/>
        <v>0</v>
      </c>
      <c r="I24" s="119">
        <v>0</v>
      </c>
      <c r="J24" s="119">
        <v>0</v>
      </c>
      <c r="K24" s="119">
        <v>0</v>
      </c>
      <c r="L24" s="119">
        <v>0</v>
      </c>
      <c r="M24" s="119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/>
    </row>
    <row r="25" spans="4:44">
      <c r="D25" s="349" t="s">
        <v>1682</v>
      </c>
      <c r="E25" s="192" t="s">
        <v>1665</v>
      </c>
      <c r="F25" s="353">
        <f t="shared" si="2"/>
        <v>0</v>
      </c>
      <c r="I25" s="119">
        <v>0</v>
      </c>
      <c r="J25" s="119">
        <v>0</v>
      </c>
      <c r="K25" s="119">
        <v>0</v>
      </c>
      <c r="L25" s="119">
        <v>0</v>
      </c>
      <c r="M25" s="119">
        <v>0</v>
      </c>
      <c r="N25" s="119">
        <v>0</v>
      </c>
      <c r="O25" s="119">
        <v>0</v>
      </c>
      <c r="P25" s="119">
        <v>0</v>
      </c>
      <c r="Q25" s="119">
        <v>0</v>
      </c>
      <c r="R25" s="119">
        <v>0</v>
      </c>
      <c r="S25" s="119">
        <v>0</v>
      </c>
      <c r="T25" s="119">
        <v>0</v>
      </c>
      <c r="U25" s="119">
        <v>0</v>
      </c>
      <c r="V25" s="119">
        <v>0</v>
      </c>
      <c r="W25" s="119">
        <v>0</v>
      </c>
      <c r="X25" s="119">
        <v>0</v>
      </c>
      <c r="Y25" s="119">
        <v>0</v>
      </c>
      <c r="Z25" s="119">
        <v>0</v>
      </c>
      <c r="AA25" s="119">
        <v>0</v>
      </c>
      <c r="AB25" s="119">
        <v>0</v>
      </c>
      <c r="AC25" s="119">
        <v>0</v>
      </c>
      <c r="AD25" s="119">
        <v>0</v>
      </c>
      <c r="AE25" s="119">
        <v>0</v>
      </c>
      <c r="AF25" s="119">
        <v>0</v>
      </c>
      <c r="AG25" s="119">
        <v>0</v>
      </c>
      <c r="AH25" s="119">
        <v>0</v>
      </c>
      <c r="AI25" s="119">
        <v>0</v>
      </c>
      <c r="AJ25" s="119">
        <v>0</v>
      </c>
      <c r="AK25" s="119">
        <v>0</v>
      </c>
      <c r="AL25" s="119">
        <v>0</v>
      </c>
      <c r="AM25" s="119">
        <v>0</v>
      </c>
      <c r="AN25" s="119">
        <v>0</v>
      </c>
      <c r="AO25" s="119">
        <v>0</v>
      </c>
      <c r="AP25" s="119">
        <v>0</v>
      </c>
      <c r="AQ25" s="119">
        <v>0</v>
      </c>
    </row>
    <row r="26" spans="4:44">
      <c r="D26" s="349" t="s">
        <v>1671</v>
      </c>
      <c r="E26" s="192" t="s">
        <v>1680</v>
      </c>
      <c r="F26" s="353">
        <f t="shared" si="2"/>
        <v>-7470679.3492058832</v>
      </c>
      <c r="I26" s="119">
        <f>DFs!F66+DFs!F67+DFs!F68+DFs!F69</f>
        <v>-4061685.88</v>
      </c>
      <c r="J26" s="119">
        <f>DFs!G66+DFs!G67+DFs!G68+DFs!G69</f>
        <v>-3668417.872212451</v>
      </c>
      <c r="K26" s="119">
        <f>DFs!H66+DFs!H67+DFs!H68+DFs!H69</f>
        <v>0</v>
      </c>
      <c r="L26" s="119">
        <f>DFs!I66+DFs!I67+DFs!I68+DFs!I69</f>
        <v>0</v>
      </c>
      <c r="M26" s="119">
        <f>DFs!J66+DFs!J67+DFs!J68+DFs!J69</f>
        <v>0</v>
      </c>
      <c r="N26" s="119">
        <f>DFs!K66+DFs!K67+DFs!K68+DFs!K69</f>
        <v>0</v>
      </c>
      <c r="O26" s="119">
        <f>DFs!L66+DFs!L67+DFs!L68+DFs!L69</f>
        <v>0</v>
      </c>
      <c r="P26" s="119">
        <f>DFs!M66+DFs!M67+DFs!M68+DFs!M69</f>
        <v>0</v>
      </c>
      <c r="Q26" s="119">
        <f>DFs!N66+DFs!N67+DFs!N68+DFs!N69</f>
        <v>0</v>
      </c>
      <c r="R26" s="119">
        <f>DFs!O66+DFs!O67+DFs!O68+DFs!O69</f>
        <v>0</v>
      </c>
      <c r="S26" s="119">
        <f>DFs!P66+DFs!P67+DFs!P68+DFs!P69</f>
        <v>0</v>
      </c>
      <c r="T26" s="119">
        <f>DFs!Q66+DFs!Q67+DFs!Q68+DFs!Q69</f>
        <v>0</v>
      </c>
      <c r="U26" s="119">
        <f>DFs!R66+DFs!R67+DFs!R68+DFs!R69</f>
        <v>0</v>
      </c>
      <c r="V26" s="119">
        <f>DFs!S66+DFs!S67+DFs!S68+DFs!S69</f>
        <v>0</v>
      </c>
      <c r="W26" s="119">
        <f>DFs!T66+DFs!T67+DFs!T68+DFs!T69</f>
        <v>0</v>
      </c>
      <c r="X26" s="119">
        <f>DFs!U66+DFs!U67+DFs!U68+DFs!U69</f>
        <v>0</v>
      </c>
      <c r="Y26" s="119">
        <f>DFs!V66+DFs!V67+DFs!V68+DFs!V69</f>
        <v>0</v>
      </c>
      <c r="Z26" s="119">
        <f>DFs!W66+DFs!W67+DFs!W68+DFs!W69</f>
        <v>0</v>
      </c>
      <c r="AA26" s="119">
        <f>DFs!X66+DFs!X67+DFs!X68+DFs!X69</f>
        <v>0</v>
      </c>
      <c r="AB26" s="119">
        <f>DFs!Y66+DFs!Y67+DFs!Y68+DFs!Y69</f>
        <v>0</v>
      </c>
      <c r="AC26" s="119">
        <f>DFs!Z66+DFs!Z67+DFs!Z68+DFs!Z69</f>
        <v>0</v>
      </c>
      <c r="AD26" s="119">
        <f>DFs!AA66+DFs!AA67+DFs!AA68+DFs!AA69</f>
        <v>0</v>
      </c>
      <c r="AE26" s="119">
        <f>DFs!AB66+DFs!AB67+DFs!AB68+DFs!AB69</f>
        <v>0</v>
      </c>
      <c r="AF26" s="119">
        <f>DFs!AC66+DFs!AC67+DFs!AC68+DFs!AC69</f>
        <v>0</v>
      </c>
      <c r="AG26" s="119">
        <f>DFs!AD66+DFs!AD67+DFs!AD68+DFs!AD69</f>
        <v>0</v>
      </c>
      <c r="AH26" s="119">
        <f>DFs!AE66+DFs!AE67+DFs!AE68+DFs!AE69</f>
        <v>0</v>
      </c>
      <c r="AI26" s="119">
        <f>DFs!AF66+DFs!AF67+DFs!AF68+DFs!AF69</f>
        <v>0</v>
      </c>
      <c r="AJ26" s="119">
        <f>DFs!AG66+DFs!AG67+DFs!AG68+DFs!AG69</f>
        <v>0</v>
      </c>
      <c r="AK26" s="119">
        <f>DFs!AH66+DFs!AH67+DFs!AH68+DFs!AH69</f>
        <v>0</v>
      </c>
      <c r="AL26" s="119">
        <f>DFs!AI66+DFs!AI67+DFs!AI68+DFs!AI69</f>
        <v>0</v>
      </c>
      <c r="AM26" s="119">
        <f>DFs!AJ66+DFs!AJ67+DFs!AJ68+DFs!AJ69</f>
        <v>0</v>
      </c>
      <c r="AN26" s="119">
        <f>DFs!AK66+DFs!AK67+DFs!AK68+DFs!AK69</f>
        <v>0</v>
      </c>
      <c r="AO26" s="119">
        <f>DFs!AL66+DFs!AL67+DFs!AL68+DFs!AL69</f>
        <v>0</v>
      </c>
      <c r="AP26" s="119">
        <f>DFs!AM66+DFs!AM67+DFs!AM68+DFs!AM69</f>
        <v>0</v>
      </c>
      <c r="AQ26" s="119">
        <f>DFs!AN66+DFs!AN67+DFs!AN68+DFs!AN69</f>
        <v>0</v>
      </c>
    </row>
    <row r="27" spans="4:44">
      <c r="D27" s="349" t="s">
        <v>1672</v>
      </c>
      <c r="E27" s="192" t="s">
        <v>1680</v>
      </c>
      <c r="F27" s="353">
        <f>SUMPRODUCT(I27:AQ27,$I$32:$AQ$32)</f>
        <v>-15348996.168582557</v>
      </c>
      <c r="G27" s="735">
        <v>0.28000000000000003</v>
      </c>
      <c r="H27" s="349" t="s">
        <v>1683</v>
      </c>
      <c r="I27" s="352">
        <f>I22*$G$27</f>
        <v>-353.13894631080831</v>
      </c>
      <c r="J27" s="352">
        <f>J22*$G$27</f>
        <v>-4430.692123462808</v>
      </c>
      <c r="K27" s="352">
        <f t="shared" ref="K27:AQ27" si="3">K22*$G$27</f>
        <v>-1355397.2638227933</v>
      </c>
      <c r="L27" s="352">
        <f t="shared" si="3"/>
        <v>-1379660.2519395642</v>
      </c>
      <c r="M27" s="352">
        <f t="shared" si="3"/>
        <v>-1380550.3692981312</v>
      </c>
      <c r="N27" s="352">
        <f t="shared" si="3"/>
        <v>-1379660.2519395642</v>
      </c>
      <c r="O27" s="352">
        <f t="shared" si="3"/>
        <v>-1385172.6791789117</v>
      </c>
      <c r="P27" s="352">
        <f t="shared" si="3"/>
        <v>-1380550.3692981312</v>
      </c>
      <c r="Q27" s="352">
        <f t="shared" si="3"/>
        <v>-1379660.2519395642</v>
      </c>
      <c r="R27" s="352">
        <f t="shared" si="3"/>
        <v>-1379660.2519395642</v>
      </c>
      <c r="S27" s="352">
        <f t="shared" si="3"/>
        <v>-1380550.3692981312</v>
      </c>
      <c r="T27" s="352">
        <f t="shared" si="3"/>
        <v>-1385172.6791789117</v>
      </c>
      <c r="U27" s="352">
        <f t="shared" si="3"/>
        <v>-1380862.0063395642</v>
      </c>
      <c r="V27" s="352">
        <f t="shared" si="3"/>
        <v>-1380550.3692981312</v>
      </c>
      <c r="W27" s="352">
        <f t="shared" si="3"/>
        <v>-1379660.2519395642</v>
      </c>
      <c r="X27" s="352">
        <f t="shared" si="3"/>
        <v>-1379660.2519395642</v>
      </c>
      <c r="Y27" s="352">
        <f t="shared" si="3"/>
        <v>-1389486.9970570295</v>
      </c>
      <c r="Z27" s="352">
        <f t="shared" si="3"/>
        <v>-1379660.2519395642</v>
      </c>
      <c r="AA27" s="352">
        <f t="shared" si="3"/>
        <v>-1379660.2519395642</v>
      </c>
      <c r="AB27" s="352">
        <f t="shared" si="3"/>
        <v>-1380550.3692981312</v>
      </c>
      <c r="AC27" s="352">
        <f t="shared" si="3"/>
        <v>-1379660.2519395642</v>
      </c>
      <c r="AD27" s="352">
        <f t="shared" si="3"/>
        <v>-1385172.6791789117</v>
      </c>
      <c r="AE27" s="352">
        <f t="shared" si="3"/>
        <v>-1381752.1236981312</v>
      </c>
      <c r="AF27" s="352">
        <f t="shared" si="3"/>
        <v>-1379660.2519395642</v>
      </c>
      <c r="AG27" s="352">
        <f t="shared" si="3"/>
        <v>-1379660.2519395642</v>
      </c>
      <c r="AH27" s="352">
        <f t="shared" si="3"/>
        <v>-1380550.3692981312</v>
      </c>
      <c r="AI27" s="352">
        <f t="shared" si="3"/>
        <v>-1385172.6791789117</v>
      </c>
      <c r="AJ27" s="352">
        <f t="shared" si="3"/>
        <v>-1379660.2519395642</v>
      </c>
      <c r="AK27" s="352">
        <f t="shared" si="3"/>
        <v>-1380550.3692981312</v>
      </c>
      <c r="AL27" s="352">
        <f t="shared" si="3"/>
        <v>-1379660.2519395642</v>
      </c>
      <c r="AM27" s="352">
        <f t="shared" si="3"/>
        <v>-1379660.2519395642</v>
      </c>
      <c r="AN27" s="352">
        <f t="shared" si="3"/>
        <v>-1389486.9970570295</v>
      </c>
      <c r="AO27" s="352">
        <f t="shared" si="3"/>
        <v>-1380862.0063395642</v>
      </c>
      <c r="AP27" s="352">
        <f t="shared" si="3"/>
        <v>-1379660.2519395642</v>
      </c>
      <c r="AQ27" s="352">
        <f t="shared" si="3"/>
        <v>-1380550.3692981312</v>
      </c>
    </row>
    <row r="28" spans="4:44">
      <c r="D28" s="349" t="s">
        <v>1673</v>
      </c>
      <c r="E28" s="192" t="s">
        <v>1680</v>
      </c>
      <c r="F28" s="353">
        <f t="shared" si="2"/>
        <v>-2091790.2177776475</v>
      </c>
      <c r="G28" s="735">
        <v>0.28000000000000003</v>
      </c>
      <c r="H28" s="349" t="s">
        <v>1683</v>
      </c>
      <c r="I28" s="352">
        <f>I26*$G28</f>
        <v>-1137272.0464000001</v>
      </c>
      <c r="J28" s="352">
        <f>J26*$G28</f>
        <v>-1027157.0042194864</v>
      </c>
      <c r="K28" s="352">
        <f t="shared" ref="K28:AQ28" si="4">K26*$G28</f>
        <v>0</v>
      </c>
      <c r="L28" s="352">
        <f t="shared" si="4"/>
        <v>0</v>
      </c>
      <c r="M28" s="352">
        <f t="shared" si="4"/>
        <v>0</v>
      </c>
      <c r="N28" s="352">
        <f t="shared" si="4"/>
        <v>0</v>
      </c>
      <c r="O28" s="352">
        <f t="shared" si="4"/>
        <v>0</v>
      </c>
      <c r="P28" s="352">
        <f t="shared" si="4"/>
        <v>0</v>
      </c>
      <c r="Q28" s="352">
        <f t="shared" si="4"/>
        <v>0</v>
      </c>
      <c r="R28" s="352">
        <f t="shared" si="4"/>
        <v>0</v>
      </c>
      <c r="S28" s="352">
        <f t="shared" si="4"/>
        <v>0</v>
      </c>
      <c r="T28" s="352">
        <f t="shared" si="4"/>
        <v>0</v>
      </c>
      <c r="U28" s="352">
        <f t="shared" si="4"/>
        <v>0</v>
      </c>
      <c r="V28" s="352">
        <f t="shared" si="4"/>
        <v>0</v>
      </c>
      <c r="W28" s="352">
        <f t="shared" si="4"/>
        <v>0</v>
      </c>
      <c r="X28" s="352">
        <f t="shared" si="4"/>
        <v>0</v>
      </c>
      <c r="Y28" s="352">
        <f t="shared" si="4"/>
        <v>0</v>
      </c>
      <c r="Z28" s="352">
        <f t="shared" si="4"/>
        <v>0</v>
      </c>
      <c r="AA28" s="352">
        <f t="shared" si="4"/>
        <v>0</v>
      </c>
      <c r="AB28" s="352">
        <f t="shared" si="4"/>
        <v>0</v>
      </c>
      <c r="AC28" s="352">
        <f t="shared" si="4"/>
        <v>0</v>
      </c>
      <c r="AD28" s="352">
        <f t="shared" si="4"/>
        <v>0</v>
      </c>
      <c r="AE28" s="352">
        <f t="shared" si="4"/>
        <v>0</v>
      </c>
      <c r="AF28" s="352">
        <f t="shared" si="4"/>
        <v>0</v>
      </c>
      <c r="AG28" s="352">
        <f t="shared" si="4"/>
        <v>0</v>
      </c>
      <c r="AH28" s="352">
        <f t="shared" si="4"/>
        <v>0</v>
      </c>
      <c r="AI28" s="352">
        <f t="shared" si="4"/>
        <v>0</v>
      </c>
      <c r="AJ28" s="352">
        <f t="shared" si="4"/>
        <v>0</v>
      </c>
      <c r="AK28" s="352">
        <f t="shared" si="4"/>
        <v>0</v>
      </c>
      <c r="AL28" s="352">
        <f t="shared" si="4"/>
        <v>0</v>
      </c>
      <c r="AM28" s="352">
        <f t="shared" si="4"/>
        <v>0</v>
      </c>
      <c r="AN28" s="352">
        <f t="shared" si="4"/>
        <v>0</v>
      </c>
      <c r="AO28" s="352">
        <f t="shared" si="4"/>
        <v>0</v>
      </c>
      <c r="AP28" s="352">
        <f t="shared" si="4"/>
        <v>0</v>
      </c>
      <c r="AQ28" s="352">
        <f t="shared" si="4"/>
        <v>0</v>
      </c>
    </row>
    <row r="29" spans="4:44">
      <c r="D29" s="349" t="s">
        <v>1674</v>
      </c>
      <c r="E29" s="192" t="s">
        <v>1680</v>
      </c>
      <c r="F29" s="353">
        <f t="shared" si="2"/>
        <v>-313021.46473172645</v>
      </c>
      <c r="G29" s="736">
        <v>4.19E-2</v>
      </c>
      <c r="H29" s="349"/>
      <c r="I29" s="352">
        <f t="shared" ref="I29:AQ29" si="5">I26*$G29</f>
        <v>-170184.63837199999</v>
      </c>
      <c r="J29" s="352">
        <f t="shared" si="5"/>
        <v>-153706.70884570168</v>
      </c>
      <c r="K29" s="352">
        <f t="shared" si="5"/>
        <v>0</v>
      </c>
      <c r="L29" s="352">
        <f t="shared" si="5"/>
        <v>0</v>
      </c>
      <c r="M29" s="352">
        <f t="shared" si="5"/>
        <v>0</v>
      </c>
      <c r="N29" s="352">
        <f t="shared" si="5"/>
        <v>0</v>
      </c>
      <c r="O29" s="352">
        <f t="shared" si="5"/>
        <v>0</v>
      </c>
      <c r="P29" s="352">
        <f t="shared" si="5"/>
        <v>0</v>
      </c>
      <c r="Q29" s="352">
        <f t="shared" si="5"/>
        <v>0</v>
      </c>
      <c r="R29" s="352">
        <f t="shared" si="5"/>
        <v>0</v>
      </c>
      <c r="S29" s="352">
        <f t="shared" si="5"/>
        <v>0</v>
      </c>
      <c r="T29" s="352">
        <f t="shared" si="5"/>
        <v>0</v>
      </c>
      <c r="U29" s="352">
        <f t="shared" si="5"/>
        <v>0</v>
      </c>
      <c r="V29" s="352">
        <f t="shared" si="5"/>
        <v>0</v>
      </c>
      <c r="W29" s="352">
        <f t="shared" si="5"/>
        <v>0</v>
      </c>
      <c r="X29" s="352">
        <f t="shared" si="5"/>
        <v>0</v>
      </c>
      <c r="Y29" s="352">
        <f t="shared" si="5"/>
        <v>0</v>
      </c>
      <c r="Z29" s="352">
        <f t="shared" si="5"/>
        <v>0</v>
      </c>
      <c r="AA29" s="352">
        <f t="shared" si="5"/>
        <v>0</v>
      </c>
      <c r="AB29" s="352">
        <f t="shared" si="5"/>
        <v>0</v>
      </c>
      <c r="AC29" s="352">
        <f t="shared" si="5"/>
        <v>0</v>
      </c>
      <c r="AD29" s="352">
        <f t="shared" si="5"/>
        <v>0</v>
      </c>
      <c r="AE29" s="352">
        <f t="shared" si="5"/>
        <v>0</v>
      </c>
      <c r="AF29" s="352">
        <f t="shared" si="5"/>
        <v>0</v>
      </c>
      <c r="AG29" s="352">
        <f t="shared" si="5"/>
        <v>0</v>
      </c>
      <c r="AH29" s="352">
        <f t="shared" si="5"/>
        <v>0</v>
      </c>
      <c r="AI29" s="352">
        <f t="shared" si="5"/>
        <v>0</v>
      </c>
      <c r="AJ29" s="352">
        <f t="shared" si="5"/>
        <v>0</v>
      </c>
      <c r="AK29" s="352">
        <f t="shared" si="5"/>
        <v>0</v>
      </c>
      <c r="AL29" s="352">
        <f t="shared" si="5"/>
        <v>0</v>
      </c>
      <c r="AM29" s="352">
        <f t="shared" si="5"/>
        <v>0</v>
      </c>
      <c r="AN29" s="352">
        <f t="shared" si="5"/>
        <v>0</v>
      </c>
      <c r="AO29" s="352">
        <f t="shared" si="5"/>
        <v>0</v>
      </c>
      <c r="AP29" s="352">
        <f t="shared" si="5"/>
        <v>0</v>
      </c>
      <c r="AQ29" s="352">
        <f t="shared" si="5"/>
        <v>0</v>
      </c>
    </row>
    <row r="30" spans="4:44">
      <c r="D30" s="349" t="s">
        <v>1675</v>
      </c>
      <c r="E30" s="192" t="s">
        <v>1665</v>
      </c>
      <c r="F30" s="353">
        <f t="shared" si="2"/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0</v>
      </c>
      <c r="N30" s="118">
        <v>0</v>
      </c>
      <c r="O30" s="118">
        <v>0</v>
      </c>
      <c r="P30" s="118">
        <v>0</v>
      </c>
      <c r="Q30" s="118">
        <v>0</v>
      </c>
      <c r="R30" s="118">
        <v>0</v>
      </c>
      <c r="S30" s="118">
        <v>0</v>
      </c>
      <c r="T30" s="118">
        <v>0</v>
      </c>
      <c r="U30" s="118">
        <v>0</v>
      </c>
      <c r="V30" s="118">
        <v>0</v>
      </c>
      <c r="W30" s="118">
        <v>0</v>
      </c>
      <c r="X30" s="118">
        <v>0</v>
      </c>
      <c r="Y30" s="118">
        <v>0</v>
      </c>
      <c r="Z30" s="118">
        <v>0</v>
      </c>
      <c r="AA30" s="118">
        <v>0</v>
      </c>
      <c r="AB30" s="118">
        <v>0</v>
      </c>
      <c r="AC30" s="118">
        <v>0</v>
      </c>
      <c r="AD30" s="118">
        <v>0</v>
      </c>
      <c r="AE30" s="118">
        <v>0</v>
      </c>
      <c r="AF30" s="118">
        <v>0</v>
      </c>
      <c r="AG30" s="118">
        <v>0</v>
      </c>
      <c r="AH30" s="118">
        <v>0</v>
      </c>
      <c r="AI30" s="118">
        <v>0</v>
      </c>
      <c r="AJ30" s="118">
        <v>0</v>
      </c>
      <c r="AK30" s="118">
        <v>0</v>
      </c>
      <c r="AL30" s="118">
        <v>0</v>
      </c>
      <c r="AM30" s="118">
        <v>0</v>
      </c>
      <c r="AN30" s="118">
        <v>0</v>
      </c>
      <c r="AO30" s="118">
        <v>0</v>
      </c>
      <c r="AP30" s="118">
        <v>0</v>
      </c>
      <c r="AQ30" s="118">
        <v>0</v>
      </c>
    </row>
    <row r="31" spans="4:44">
      <c r="D31" s="354" t="s">
        <v>36</v>
      </c>
      <c r="E31" s="354"/>
      <c r="F31" s="355">
        <f>SUM(F20:F30)</f>
        <v>-3354003.8691402413</v>
      </c>
    </row>
    <row r="32" spans="4:44">
      <c r="D32" s="349" t="s">
        <v>1676</v>
      </c>
      <c r="E32" s="349"/>
      <c r="G32" s="291" t="s">
        <v>1684</v>
      </c>
      <c r="H32" s="177" t="s">
        <v>1685</v>
      </c>
      <c r="I32" s="350">
        <f>1/(1+$F$19)^(I19-1)</f>
        <v>1</v>
      </c>
      <c r="J32" s="350">
        <f>1/(1+$F$19)^(J19-1)</f>
        <v>0.92928166527274414</v>
      </c>
      <c r="K32" s="350">
        <f t="shared" ref="K32:AQ32" si="6">1/(1+$F$19)^(K19-1)</f>
        <v>0.86356441341208445</v>
      </c>
      <c r="L32" s="350">
        <f t="shared" si="6"/>
        <v>0.80249457616586239</v>
      </c>
      <c r="M32" s="350">
        <f t="shared" si="6"/>
        <v>0.74574349611175761</v>
      </c>
      <c r="N32" s="350">
        <f t="shared" si="6"/>
        <v>0.69300575793305219</v>
      </c>
      <c r="O32" s="350">
        <f t="shared" si="6"/>
        <v>0.6439975447756271</v>
      </c>
      <c r="P32" s="350">
        <f t="shared" si="6"/>
        <v>0.59845511084065339</v>
      </c>
      <c r="Q32" s="350">
        <f t="shared" si="6"/>
        <v>0.55613336199298691</v>
      </c>
      <c r="R32" s="350">
        <f t="shared" si="6"/>
        <v>0.51680453674657278</v>
      </c>
      <c r="S32" s="350">
        <f t="shared" si="6"/>
        <v>0.48025698052836419</v>
      </c>
      <c r="T32" s="350">
        <f t="shared" si="6"/>
        <v>0.44629400662425817</v>
      </c>
      <c r="U32" s="350">
        <f t="shared" si="6"/>
        <v>0.41473283767703573</v>
      </c>
      <c r="V32" s="350">
        <f t="shared" si="6"/>
        <v>0.38540362203980644</v>
      </c>
      <c r="W32" s="350">
        <f t="shared" si="6"/>
        <v>0.35814851969129863</v>
      </c>
      <c r="X32" s="350">
        <f t="shared" si="6"/>
        <v>0.33282085279369816</v>
      </c>
      <c r="Y32" s="350">
        <f t="shared" si="6"/>
        <v>0.30928431632162268</v>
      </c>
      <c r="Z32" s="350">
        <f t="shared" si="6"/>
        <v>0.28741224451409964</v>
      </c>
      <c r="AA32" s="350">
        <f t="shared" si="6"/>
        <v>0.26708692920183968</v>
      </c>
      <c r="AB32" s="350">
        <f t="shared" si="6"/>
        <v>0.24819898634126908</v>
      </c>
      <c r="AC32" s="350">
        <f t="shared" si="6"/>
        <v>0.23064676734622158</v>
      </c>
      <c r="AD32" s="350">
        <f t="shared" si="6"/>
        <v>0.21433581204927196</v>
      </c>
      <c r="AE32" s="350">
        <f t="shared" si="6"/>
        <v>0.19917834034873341</v>
      </c>
      <c r="AF32" s="350">
        <f t="shared" si="6"/>
        <v>0.18509277980553238</v>
      </c>
      <c r="AG32" s="350">
        <f t="shared" si="6"/>
        <v>0.17200332664764645</v>
      </c>
      <c r="AH32" s="350">
        <f t="shared" si="6"/>
        <v>0.15983953781957669</v>
      </c>
      <c r="AI32" s="350">
        <f t="shared" si="6"/>
        <v>0.14853595188140195</v>
      </c>
      <c r="AJ32" s="350">
        <f t="shared" si="6"/>
        <v>0.13803173671722144</v>
      </c>
      <c r="AK32" s="350">
        <f t="shared" si="6"/>
        <v>0.1282703621570685</v>
      </c>
      <c r="AL32" s="350">
        <f t="shared" si="6"/>
        <v>0.11919929575045859</v>
      </c>
      <c r="AM32" s="350">
        <f t="shared" si="6"/>
        <v>0.11076972005432449</v>
      </c>
      <c r="AN32" s="350">
        <f t="shared" si="6"/>
        <v>0.10293626991387836</v>
      </c>
      <c r="AO32" s="350">
        <f t="shared" si="6"/>
        <v>9.5656788322533548E-2</v>
      </c>
      <c r="AP32" s="350">
        <f t="shared" si="6"/>
        <v>8.8892099547006345E-2</v>
      </c>
      <c r="AQ32" s="350">
        <f t="shared" si="6"/>
        <v>8.2605798296632602E-2</v>
      </c>
    </row>
    <row r="34" spans="4:9">
      <c r="D34" s="733" t="s">
        <v>1686</v>
      </c>
      <c r="E34" s="734" t="s">
        <v>1687</v>
      </c>
      <c r="F34" s="734" t="s">
        <v>1688</v>
      </c>
      <c r="G34" s="733" t="s">
        <v>1689</v>
      </c>
    </row>
    <row r="35" spans="4:9">
      <c r="D35" s="349" t="s">
        <v>1664</v>
      </c>
      <c r="E35" s="737">
        <f>F5</f>
        <v>0</v>
      </c>
      <c r="F35" s="737">
        <v>76688327</v>
      </c>
      <c r="G35" s="737">
        <f>E35-F35</f>
        <v>-76688327</v>
      </c>
    </row>
    <row r="36" spans="4:9">
      <c r="D36" s="349" t="s">
        <v>1666</v>
      </c>
      <c r="E36" s="737">
        <f t="shared" ref="E36:E45" si="7">F6</f>
        <v>230882.54196905749</v>
      </c>
      <c r="F36" s="737">
        <f t="shared" ref="F36:F45" si="8">F21</f>
        <v>0</v>
      </c>
      <c r="G36" s="737">
        <f t="shared" ref="G36:G45" si="9">E36-F36</f>
        <v>230882.54196905749</v>
      </c>
    </row>
    <row r="37" spans="4:9">
      <c r="D37" s="349" t="s">
        <v>1668</v>
      </c>
      <c r="E37" s="737">
        <f t="shared" si="7"/>
        <v>0</v>
      </c>
      <c r="F37" s="737">
        <f t="shared" si="8"/>
        <v>-54817843.459223397</v>
      </c>
      <c r="G37" s="737">
        <f t="shared" si="9"/>
        <v>54817843.459223397</v>
      </c>
    </row>
    <row r="38" spans="4:9">
      <c r="D38" s="349" t="s">
        <v>216</v>
      </c>
      <c r="E38" s="737">
        <f t="shared" si="7"/>
        <v>611643.13928335567</v>
      </c>
      <c r="F38" s="737">
        <f t="shared" si="8"/>
        <v>0</v>
      </c>
      <c r="G38" s="737">
        <f t="shared" si="9"/>
        <v>611643.13928335567</v>
      </c>
    </row>
    <row r="39" spans="4:9">
      <c r="D39" s="349" t="s">
        <v>81</v>
      </c>
      <c r="E39" s="737">
        <f>F9</f>
        <v>-1836792.8457588253</v>
      </c>
      <c r="F39" s="737">
        <f t="shared" si="8"/>
        <v>0</v>
      </c>
      <c r="G39" s="737">
        <f t="shared" si="9"/>
        <v>-1836792.8457588253</v>
      </c>
      <c r="I39" s="688"/>
    </row>
    <row r="40" spans="4:9">
      <c r="D40" s="349" t="s">
        <v>1670</v>
      </c>
      <c r="E40" s="737">
        <f t="shared" si="7"/>
        <v>0</v>
      </c>
      <c r="F40" s="737">
        <f t="shared" si="8"/>
        <v>0</v>
      </c>
      <c r="G40" s="737">
        <f t="shared" si="9"/>
        <v>0</v>
      </c>
    </row>
    <row r="41" spans="4:9">
      <c r="D41" s="349" t="s">
        <v>1671</v>
      </c>
      <c r="E41" s="737">
        <f t="shared" si="7"/>
        <v>0</v>
      </c>
      <c r="F41" s="737">
        <f t="shared" si="8"/>
        <v>-7470679.3492058832</v>
      </c>
      <c r="G41" s="737">
        <f t="shared" si="9"/>
        <v>7470679.3492058832</v>
      </c>
    </row>
    <row r="42" spans="4:9">
      <c r="D42" s="349" t="s">
        <v>1672</v>
      </c>
      <c r="E42" s="737">
        <f t="shared" si="7"/>
        <v>0</v>
      </c>
      <c r="F42" s="737">
        <f t="shared" si="8"/>
        <v>-15348996.168582557</v>
      </c>
      <c r="G42" s="737">
        <f t="shared" si="9"/>
        <v>15348996.168582557</v>
      </c>
    </row>
    <row r="43" spans="4:9">
      <c r="D43" s="349" t="s">
        <v>1673</v>
      </c>
      <c r="E43" s="737">
        <f t="shared" si="7"/>
        <v>0</v>
      </c>
      <c r="F43" s="737">
        <f t="shared" si="8"/>
        <v>-2091790.2177776475</v>
      </c>
      <c r="G43" s="737">
        <f t="shared" si="9"/>
        <v>2091790.2177776475</v>
      </c>
    </row>
    <row r="44" spans="4:9">
      <c r="D44" s="349" t="s">
        <v>1674</v>
      </c>
      <c r="E44" s="737">
        <f t="shared" si="7"/>
        <v>0</v>
      </c>
      <c r="F44" s="737">
        <f t="shared" si="8"/>
        <v>-313021.46473172645</v>
      </c>
      <c r="G44" s="737">
        <f t="shared" si="9"/>
        <v>313021.46473172645</v>
      </c>
    </row>
    <row r="45" spans="4:9" ht="15.6">
      <c r="D45" s="591" t="s">
        <v>1675</v>
      </c>
      <c r="E45" s="738">
        <f t="shared" si="7"/>
        <v>868954.81538604491</v>
      </c>
      <c r="F45" s="738">
        <f t="shared" si="8"/>
        <v>0</v>
      </c>
      <c r="G45" s="738">
        <f t="shared" si="9"/>
        <v>868954.81538604491</v>
      </c>
      <c r="H45" s="740" t="s">
        <v>1690</v>
      </c>
    </row>
    <row r="46" spans="4:9">
      <c r="D46" s="349" t="s">
        <v>1691</v>
      </c>
      <c r="E46" s="737">
        <f>SUM(E35:E45)</f>
        <v>-125312.3491203672</v>
      </c>
      <c r="F46" s="737">
        <f t="shared" ref="F46" si="10">SUM(F35:F45)</f>
        <v>-3354003.6595212109</v>
      </c>
      <c r="G46" s="601">
        <f>E46-F46</f>
        <v>3228691.3104008436</v>
      </c>
      <c r="H46" s="192" t="str">
        <f>IF(LARGE(E46:F46,1)=E46,"Escolher Delegar", "Escolher prestar diretamente")</f>
        <v>Escolher Delegar</v>
      </c>
    </row>
    <row r="47" spans="4:9">
      <c r="D47" s="349" t="s">
        <v>1692</v>
      </c>
      <c r="F47" s="737"/>
      <c r="G47" s="601">
        <f>F16-F31</f>
        <v>3228691.520019874</v>
      </c>
      <c r="H47" s="192" t="str">
        <f>IF(G46&gt;0, "Escolher Delegar", "Escolher prestar diretamente")</f>
        <v>Escolher Delegar</v>
      </c>
    </row>
    <row r="48" spans="4:9">
      <c r="D48" s="349" t="s">
        <v>1693</v>
      </c>
      <c r="H48" s="192" t="str">
        <f>IF(E46&gt;F46,"Escolher delegar","Escolher prestar diretamente" )</f>
        <v>Escolher delegar</v>
      </c>
    </row>
  </sheetData>
  <conditionalFormatting sqref="E5:E15">
    <cfRule type="cellIs" dxfId="12" priority="25" operator="equal">
      <formula>"Poder Público não afetado"</formula>
    </cfRule>
    <cfRule type="cellIs" dxfId="11" priority="32" operator="equal">
      <formula>"Poder concedente não afetado"</formula>
    </cfRule>
    <cfRule type="cellIs" dxfId="10" priority="33" operator="equal">
      <formula>"Poder concedente não afetado"</formula>
    </cfRule>
    <cfRule type="cellIs" dxfId="9" priority="34" operator="equal">
      <formula>"Entrada de Caixa"</formula>
    </cfRule>
    <cfRule type="cellIs" dxfId="8" priority="35" operator="equal">
      <formula>"Saida de Caixa"</formula>
    </cfRule>
  </conditionalFormatting>
  <conditionalFormatting sqref="E20:E30">
    <cfRule type="cellIs" dxfId="7" priority="4" operator="equal">
      <formula>"Poder Público não afetado"</formula>
    </cfRule>
    <cfRule type="cellIs" dxfId="6" priority="7" operator="equal">
      <formula>"Poder concedente não afetado"</formula>
    </cfRule>
    <cfRule type="cellIs" dxfId="5" priority="8" operator="equal">
      <formula>"Poder concedente não afetado"</formula>
    </cfRule>
    <cfRule type="cellIs" dxfId="4" priority="9" operator="equal">
      <formula>"Entrada de Caixa"</formula>
    </cfRule>
    <cfRule type="cellIs" dxfId="3" priority="10" operator="equal">
      <formula>"Saida de Caixa"</formula>
    </cfRule>
  </conditionalFormatting>
  <conditionalFormatting sqref="H46:H48">
    <cfRule type="cellIs" dxfId="2" priority="1" operator="equal">
      <formula>"Escolher prestar diretamente"</formula>
    </cfRule>
    <cfRule type="cellIs" dxfId="1" priority="2" operator="equal">
      <formula>"Escolher delegar"</formula>
    </cfRule>
    <cfRule type="cellIs" dxfId="0" priority="3" operator="equal">
      <formula>"PPP desonera o Poder Público"</formula>
    </cfRule>
  </conditionalFormatting>
  <hyperlinks>
    <hyperlink ref="H32" r:id="rId1" display="https://ia800806.us.archive.org/26/items/408196-study-on-cost-overruns/408196-study-on-cost-overruns.pdf" xr:uid="{19BD97C7-721C-4A7D-8A1D-B0FFABA85EC1}"/>
    <hyperlink ref="H19" r:id="rId2" display="https://www.bndes.gov.br/wps/portal/site/home/financiamento/guia/custos-financeiros/historico-da-parcela-fixa-da-tlp" xr:uid="{5D908E0A-7C42-4243-81DC-CD558BDFBA3E}"/>
  </hyperlink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19"/>
  <dimension ref="B2:T32"/>
  <sheetViews>
    <sheetView workbookViewId="0">
      <selection activeCell="C17" sqref="C17"/>
    </sheetView>
  </sheetViews>
  <sheetFormatPr defaultRowHeight="14.45"/>
  <cols>
    <col min="2" max="2" width="26.28515625" bestFit="1" customWidth="1"/>
    <col min="3" max="3" width="19.7109375" bestFit="1" customWidth="1"/>
    <col min="4" max="4" width="34.5703125" customWidth="1"/>
    <col min="5" max="5" width="27.7109375" bestFit="1" customWidth="1"/>
    <col min="6" max="6" width="29" bestFit="1" customWidth="1"/>
    <col min="7" max="7" width="15.85546875" bestFit="1" customWidth="1"/>
    <col min="9" max="9" width="2.85546875" customWidth="1"/>
    <col min="10" max="10" width="3.5703125" customWidth="1"/>
    <col min="11" max="11" width="37" bestFit="1" customWidth="1"/>
    <col min="12" max="12" width="14" bestFit="1" customWidth="1"/>
    <col min="13" max="13" width="3.7109375" customWidth="1"/>
    <col min="14" max="14" width="2.7109375" customWidth="1"/>
    <col min="15" max="15" width="2.140625" customWidth="1"/>
    <col min="16" max="16" width="3.5703125" bestFit="1" customWidth="1"/>
    <col min="17" max="17" width="44.28515625" bestFit="1" customWidth="1"/>
    <col min="18" max="18" width="8.7109375" bestFit="1" customWidth="1"/>
    <col min="19" max="19" width="15.140625" bestFit="1" customWidth="1"/>
    <col min="20" max="20" width="22.5703125" bestFit="1" customWidth="1"/>
  </cols>
  <sheetData>
    <row r="2" spans="2:20" ht="15" thickBot="1">
      <c r="K2" s="557" t="s">
        <v>1694</v>
      </c>
      <c r="L2" s="558"/>
      <c r="P2" s="726"/>
      <c r="Q2" s="180" t="str">
        <f>'AUX. CAPEX Resumo'!C18</f>
        <v>DISCRIMINAÇÃO</v>
      </c>
      <c r="R2" s="588" t="str">
        <f>'AUX. CAPEX Resumo'!F18</f>
        <v>PESO (%)</v>
      </c>
      <c r="S2" s="589" t="str">
        <f>'AUX. CAPEX Resumo'!G18</f>
        <v>TOTAL (R$)</v>
      </c>
      <c r="T2" s="589" t="str">
        <f>'AUX. CAPEX Resumo'!I18</f>
        <v>VALOR POR M² (R$/M²)</v>
      </c>
    </row>
    <row r="3" spans="2:20" ht="14.45" customHeight="1">
      <c r="B3" s="390" t="s">
        <v>1695</v>
      </c>
      <c r="C3" s="748" t="s">
        <v>1696</v>
      </c>
      <c r="D3" s="749" t="s">
        <v>1466</v>
      </c>
      <c r="K3" s="387" t="s">
        <v>948</v>
      </c>
      <c r="L3" s="386">
        <v>1650831.7809002642</v>
      </c>
      <c r="P3" s="940" t="str">
        <f>'AUX. CAPEX Resumo'!C21</f>
        <v>REFORMA</v>
      </c>
      <c r="Q3" t="str">
        <f>'AUX. CAPEX Resumo'!C23</f>
        <v>ADMINISTRAÇÃO LOCAL</v>
      </c>
      <c r="R3" s="583">
        <f>'AUX. CAPEX Resumo'!F23</f>
        <v>5.1187234674358699E-2</v>
      </c>
      <c r="S3" s="584">
        <f>'AUX. CAPEX Resumo'!G23</f>
        <v>109063.2</v>
      </c>
      <c r="T3" s="584">
        <f>'AUX. CAPEX Resumo'!I23</f>
        <v>3.2170517025745098</v>
      </c>
    </row>
    <row r="4" spans="2:20">
      <c r="B4" s="391" t="s">
        <v>1697</v>
      </c>
      <c r="C4" s="396" t="s">
        <v>1226</v>
      </c>
      <c r="D4" s="392">
        <v>35</v>
      </c>
      <c r="K4" s="387" t="s">
        <v>947</v>
      </c>
      <c r="L4" s="386">
        <v>29505.952609534961</v>
      </c>
      <c r="P4" s="940"/>
      <c r="Q4" t="str">
        <f>'AUX. CAPEX Resumo'!C24</f>
        <v>SERVIÇOS INICIAIS</v>
      </c>
      <c r="R4" s="583">
        <f>'AUX. CAPEX Resumo'!F24</f>
        <v>1.9568644509946474E-2</v>
      </c>
      <c r="S4" s="584">
        <f>'AUX. CAPEX Resumo'!G24</f>
        <v>41694.36</v>
      </c>
      <c r="T4" s="584">
        <f>'AUX. CAPEX Resumo'!I24</f>
        <v>1.2298640772116951</v>
      </c>
    </row>
    <row r="5" spans="2:20">
      <c r="B5" s="391" t="s">
        <v>1698</v>
      </c>
      <c r="C5" s="396" t="s">
        <v>1699</v>
      </c>
      <c r="D5" s="397">
        <f>'INPUTS&amp;OUTPUTS'!D16/1000000</f>
        <v>6.22337176</v>
      </c>
      <c r="K5" s="387" t="s">
        <v>949</v>
      </c>
      <c r="L5" s="386">
        <v>125745.26582994862</v>
      </c>
      <c r="P5" s="940"/>
      <c r="Q5" t="str">
        <f>'AUX. CAPEX Resumo'!C25</f>
        <v>SERVIÇOS PRELIMINARES</v>
      </c>
      <c r="R5" s="583">
        <f>'AUX. CAPEX Resumo'!F25</f>
        <v>1.2195167453871415E-3</v>
      </c>
      <c r="S5" s="584">
        <f>'AUX. CAPEX Resumo'!G25</f>
        <v>2598.39</v>
      </c>
      <c r="T5" s="584">
        <f>'AUX. CAPEX Resumo'!I25</f>
        <v>7.6645055100644219E-2</v>
      </c>
    </row>
    <row r="6" spans="2:20">
      <c r="B6" s="391" t="s">
        <v>1700</v>
      </c>
      <c r="C6" s="396" t="s">
        <v>1699</v>
      </c>
      <c r="D6" s="397">
        <f>'INPUTS&amp;OUTPUTS'!D18/1000000</f>
        <v>2.221631818385859</v>
      </c>
      <c r="K6" s="387" t="s">
        <v>950</v>
      </c>
      <c r="L6" s="386">
        <v>855103.7213927994</v>
      </c>
      <c r="P6" s="940"/>
      <c r="Q6" t="str">
        <f>'AUX. CAPEX Resumo'!C26</f>
        <v>INSTALAÇÕES ELÉTRICAS DO PARQUE</v>
      </c>
      <c r="R6" s="583">
        <f>'AUX. CAPEX Resumo'!F26</f>
        <v>0.20935059990584662</v>
      </c>
      <c r="S6" s="584">
        <f>'AUX. CAPEX Resumo'!G26</f>
        <v>446057.43000000005</v>
      </c>
      <c r="T6" s="584">
        <f>'AUX. CAPEX Resumo'!I26</f>
        <v>13.157415284234375</v>
      </c>
    </row>
    <row r="7" spans="2:20">
      <c r="B7" s="391" t="s">
        <v>1701</v>
      </c>
      <c r="C7" s="396" t="s">
        <v>1702</v>
      </c>
      <c r="D7" s="397">
        <f>'INPUTS&amp;OUTPUTS'!D19/1000000</f>
        <v>3.5597618295539406</v>
      </c>
      <c r="K7" s="387" t="s">
        <v>951</v>
      </c>
      <c r="L7" s="386">
        <v>12504.020202020203</v>
      </c>
      <c r="P7" s="940"/>
      <c r="Q7" t="str">
        <f>'AUX. CAPEX Resumo'!C27</f>
        <v>DRENAGEM DO PARQUE</v>
      </c>
      <c r="R7" s="583">
        <f>'AUX. CAPEX Resumo'!F27</f>
        <v>0.12132959845506007</v>
      </c>
      <c r="S7" s="584">
        <f>'AUX. CAPEX Resumo'!G27</f>
        <v>258513.56</v>
      </c>
      <c r="T7" s="584">
        <f>'AUX. CAPEX Resumo'!I27</f>
        <v>7.6254088302616987</v>
      </c>
    </row>
    <row r="8" spans="2:20">
      <c r="B8" s="391" t="s">
        <v>1703</v>
      </c>
      <c r="C8" s="396" t="s">
        <v>1704</v>
      </c>
      <c r="D8" s="393">
        <f>'INPUTS&amp;OUTPUTS'!G20</f>
        <v>1.4999999999999999E-2</v>
      </c>
      <c r="K8" s="387" t="s">
        <v>952</v>
      </c>
      <c r="L8" s="386">
        <v>128755.45497572665</v>
      </c>
      <c r="P8" s="940"/>
      <c r="Q8" t="str">
        <f>'AUX. CAPEX Resumo'!C28</f>
        <v>SISTEMAS DE IRRIGAÇÃO DO PARQUE</v>
      </c>
      <c r="R8" s="583">
        <f>'AUX. CAPEX Resumo'!F28</f>
        <v>6.3326316532505922E-2</v>
      </c>
      <c r="S8" s="584">
        <f>'AUX. CAPEX Resumo'!G28</f>
        <v>134927.59999999998</v>
      </c>
      <c r="T8" s="584">
        <f>'AUX. CAPEX Resumo'!I28</f>
        <v>3.9799773462019488</v>
      </c>
    </row>
    <row r="9" spans="2:20">
      <c r="B9" s="391" t="s">
        <v>1580</v>
      </c>
      <c r="C9" s="396" t="s">
        <v>1705</v>
      </c>
      <c r="D9" s="393">
        <f>'INPUTS&amp;OUTPUTS'!D20</f>
        <v>0.12976849964301698</v>
      </c>
      <c r="K9" s="387" t="s">
        <v>971</v>
      </c>
      <c r="L9" s="386">
        <v>69615.718610243654</v>
      </c>
      <c r="P9" s="940"/>
      <c r="Q9" t="str">
        <f>'AUX. CAPEX Resumo'!C29</f>
        <v>CONSTRUÇÃO E RECAPEAMENTO DA CICLOVIA</v>
      </c>
      <c r="R9" s="583">
        <f>'AUX. CAPEX Resumo'!F29</f>
        <v>2.8345458264725284E-2</v>
      </c>
      <c r="S9" s="584">
        <f>'AUX. CAPEX Resumo'!G29</f>
        <v>60394.87000000001</v>
      </c>
      <c r="T9" s="584">
        <f>'AUX. CAPEX Resumo'!I29</f>
        <v>1.781475505580858</v>
      </c>
    </row>
    <row r="10" spans="2:20">
      <c r="K10" s="387" t="s">
        <v>954</v>
      </c>
      <c r="L10" s="386">
        <v>146572.04837240183</v>
      </c>
      <c r="P10" s="940"/>
      <c r="Q10" t="str">
        <f>'AUX. CAPEX Resumo'!C30</f>
        <v>RESTOBAR</v>
      </c>
      <c r="R10" s="583">
        <f>'AUX. CAPEX Resumo'!F30</f>
        <v>7.7546652714260061E-2</v>
      </c>
      <c r="S10" s="584">
        <f>'AUX. CAPEX Resumo'!G30</f>
        <v>165226.47</v>
      </c>
      <c r="T10" s="584">
        <f>'AUX. CAPEX Resumo'!I30</f>
        <v>4.8737071406659274</v>
      </c>
    </row>
    <row r="11" spans="2:20">
      <c r="K11" s="387" t="s">
        <v>955</v>
      </c>
      <c r="L11" s="386">
        <v>268882.08867815492</v>
      </c>
      <c r="P11" s="940"/>
      <c r="Q11" t="str">
        <f>'AUX. CAPEX Resumo'!C31</f>
        <v>BANHEIROS EXISTENTES</v>
      </c>
      <c r="R11" s="583">
        <f>'AUX. CAPEX Resumo'!F31</f>
        <v>4.4505257813398152E-3</v>
      </c>
      <c r="S11" s="584">
        <f>'AUX. CAPEX Resumo'!G31</f>
        <v>9482.61</v>
      </c>
      <c r="T11" s="584">
        <f>'AUX. CAPEX Resumo'!I31</f>
        <v>0.27970980720673955</v>
      </c>
    </row>
    <row r="12" spans="2:20">
      <c r="B12" s="390" t="s">
        <v>1706</v>
      </c>
      <c r="C12" s="749" t="str">
        <f>C3</f>
        <v>(Junho/2025)</v>
      </c>
      <c r="D12" s="748" t="s">
        <v>1706</v>
      </c>
      <c r="K12" s="387" t="s">
        <v>956</v>
      </c>
      <c r="L12" s="386">
        <v>256512.36558297949</v>
      </c>
      <c r="P12" s="940"/>
      <c r="Q12" t="str">
        <f>'AUX. CAPEX Resumo'!C32</f>
        <v>ÁREA ADMINISTRATIVA</v>
      </c>
      <c r="R12" s="583">
        <f>'AUX. CAPEX Resumo'!F32</f>
        <v>0.18599923305881191</v>
      </c>
      <c r="S12" s="584">
        <f>'AUX. CAPEX Resumo'!G32</f>
        <v>396303.32999999996</v>
      </c>
      <c r="T12" s="584">
        <f>'AUX. CAPEX Resumo'!I32</f>
        <v>11.68981198527503</v>
      </c>
    </row>
    <row r="13" spans="2:20">
      <c r="B13" s="391" t="s">
        <v>36</v>
      </c>
      <c r="C13" s="750" t="s">
        <v>1699</v>
      </c>
      <c r="D13" s="751">
        <f ca="1">'INPUTS&amp;OUTPUTS'!D22</f>
        <v>1.4020670130776125E-2</v>
      </c>
      <c r="K13" s="387" t="s">
        <v>957</v>
      </c>
      <c r="L13" s="386">
        <v>37015.742529600007</v>
      </c>
      <c r="P13" s="940"/>
      <c r="Q13" t="str">
        <f>'AUX. CAPEX Resumo'!C33</f>
        <v>QUIOSQUES</v>
      </c>
      <c r="R13" s="583">
        <f>'AUX. CAPEX Resumo'!F33</f>
        <v>2.8277493786760262E-2</v>
      </c>
      <c r="S13" s="584">
        <f>'AUX. CAPEX Resumo'!G33</f>
        <v>60250.06</v>
      </c>
      <c r="T13" s="584">
        <f>'AUX. CAPEX Resumo'!I33</f>
        <v>1.7772040257686952</v>
      </c>
    </row>
    <row r="14" spans="2:20">
      <c r="B14" s="391" t="s">
        <v>1707</v>
      </c>
      <c r="C14" s="750" t="s">
        <v>1082</v>
      </c>
      <c r="D14" s="394">
        <f ca="1">'INPUTS&amp;OUTPUTS'!D21</f>
        <v>0.12976849997486162</v>
      </c>
      <c r="K14" s="387" t="s">
        <v>958</v>
      </c>
      <c r="L14" s="386">
        <v>17077.146546551652</v>
      </c>
      <c r="P14" s="940"/>
      <c r="Q14" t="str">
        <f>'AUX. CAPEX Resumo'!C34</f>
        <v>SERVIÇOS DIVERSOS</v>
      </c>
      <c r="R14" s="583">
        <f>'AUX. CAPEX Resumo'!F34</f>
        <v>0.20939872557099767</v>
      </c>
      <c r="S14" s="584">
        <f>'AUX. CAPEX Resumo'!G34</f>
        <v>446159.96999999991</v>
      </c>
      <c r="T14" s="584">
        <f>'AUX. CAPEX Resumo'!I34</f>
        <v>13.160439920239751</v>
      </c>
    </row>
    <row r="15" spans="2:20">
      <c r="B15" s="391" t="s">
        <v>1708</v>
      </c>
      <c r="C15" s="750" t="s">
        <v>1082</v>
      </c>
      <c r="D15" s="395">
        <f>'INPUTS&amp;OUTPUTS'!D26</f>
        <v>0.21687423725008428</v>
      </c>
      <c r="K15" s="387" t="s">
        <v>959</v>
      </c>
      <c r="L15" s="386">
        <v>10257.641639409256</v>
      </c>
      <c r="P15" s="940"/>
      <c r="Q15" s="579" t="str">
        <f>'AUX. CAPEX Resumo'!B35</f>
        <v>TOTAL REFORMA</v>
      </c>
      <c r="R15" s="578">
        <f>SUM(R3:R14)</f>
        <v>1</v>
      </c>
      <c r="S15" s="585">
        <f>SUM(S3:S14)</f>
        <v>2130671.85</v>
      </c>
      <c r="T15" s="585">
        <f>SUM(T3:T14)</f>
        <v>62.848710680321879</v>
      </c>
    </row>
    <row r="16" spans="2:20">
      <c r="B16" s="391" t="s">
        <v>1709</v>
      </c>
      <c r="C16" s="750" t="s">
        <v>1082</v>
      </c>
      <c r="D16" s="395">
        <f ca="1">'INPUTS&amp;OUTPUTS'!D27</f>
        <v>5.7289607786354377E-2</v>
      </c>
      <c r="K16" s="387" t="s">
        <v>960</v>
      </c>
      <c r="L16" s="386">
        <v>85311.496926938693</v>
      </c>
      <c r="P16" s="726"/>
      <c r="Q16" s="180" t="str">
        <f>TABELAS!Q2</f>
        <v>DISCRIMINAÇÃO</v>
      </c>
      <c r="R16" s="588" t="str">
        <f>TABELAS!R2</f>
        <v>PESO (%)</v>
      </c>
      <c r="S16" s="589" t="str">
        <f>TABELAS!S2</f>
        <v>TOTAL (R$)</v>
      </c>
      <c r="T16" s="589" t="str">
        <f>TABELAS!T2</f>
        <v>VALOR POR M² (R$/M²)</v>
      </c>
    </row>
    <row r="17" spans="2:20" ht="14.45" customHeight="1">
      <c r="B17" s="391" t="s">
        <v>206</v>
      </c>
      <c r="C17" s="750" t="s">
        <v>1226</v>
      </c>
      <c r="D17" s="396">
        <f ca="1">'INPUTS&amp;OUTPUTS'!D23</f>
        <v>9</v>
      </c>
      <c r="K17" s="387" t="s">
        <v>961</v>
      </c>
      <c r="L17" s="386">
        <v>3450</v>
      </c>
      <c r="P17" s="940" t="s">
        <v>1313</v>
      </c>
      <c r="Q17" s="349" t="str">
        <f>'AUX. CAPEX Resumo'!C39</f>
        <v>ADMINISTRAÇÃO LOCAL</v>
      </c>
      <c r="R17" s="583">
        <f>'AUX. CAPEX Resumo'!F39</f>
        <v>3.6511584842779249E-2</v>
      </c>
      <c r="S17" s="584">
        <f>'AUX. CAPEX Resumo'!G39</f>
        <v>149430.96</v>
      </c>
      <c r="T17" s="584">
        <f>'AUX. CAPEX Resumo'!I39</f>
        <v>4.4077848833093425</v>
      </c>
    </row>
    <row r="18" spans="2:20">
      <c r="K18" s="387" t="s">
        <v>962</v>
      </c>
      <c r="L18" s="386">
        <v>800</v>
      </c>
      <c r="P18" s="940"/>
      <c r="Q18" s="349" t="str">
        <f>'AUX. CAPEX Resumo'!C40</f>
        <v>SERVIÇOS INICIAIS</v>
      </c>
      <c r="R18" s="583">
        <f>'AUX. CAPEX Resumo'!F40</f>
        <v>1.2760791445371325E-2</v>
      </c>
      <c r="S18" s="584">
        <f>'AUX. CAPEX Resumo'!G40</f>
        <v>52226.09</v>
      </c>
      <c r="T18" s="584">
        <f>'AUX. CAPEX Resumo'!I40</f>
        <v>1.5405199164641197</v>
      </c>
    </row>
    <row r="19" spans="2:20">
      <c r="K19" s="387" t="s">
        <v>639</v>
      </c>
      <c r="L19" s="386">
        <v>129185.15616710357</v>
      </c>
      <c r="P19" s="940"/>
      <c r="Q19" s="349" t="str">
        <f>'AUX. CAPEX Resumo'!C41</f>
        <v>RESTAURANTE</v>
      </c>
      <c r="R19" s="583">
        <f>'AUX. CAPEX Resumo'!F41</f>
        <v>7.6901980824682553E-2</v>
      </c>
      <c r="S19" s="584">
        <f>'AUX. CAPEX Resumo'!G41</f>
        <v>314736.73000000004</v>
      </c>
      <c r="T19" s="584">
        <f>'AUX. CAPEX Resumo'!I41</f>
        <v>9.2838311466125507</v>
      </c>
    </row>
    <row r="20" spans="2:20">
      <c r="K20" s="388" t="s">
        <v>479</v>
      </c>
      <c r="L20" s="389">
        <v>3827125.6009636768</v>
      </c>
      <c r="P20" s="940"/>
      <c r="Q20" s="349" t="str">
        <f>'AUX. CAPEX Resumo'!C42</f>
        <v>VESTIÁRIO</v>
      </c>
      <c r="R20" s="583">
        <f>'AUX. CAPEX Resumo'!F42</f>
        <v>3.9631334709805302E-2</v>
      </c>
      <c r="S20" s="584">
        <f>'AUX. CAPEX Resumo'!G42</f>
        <v>162199.16000000003</v>
      </c>
      <c r="T20" s="584">
        <f>'AUX. CAPEX Resumo'!I42</f>
        <v>4.7844101753309589</v>
      </c>
    </row>
    <row r="21" spans="2:20">
      <c r="P21" s="940"/>
      <c r="Q21" s="349" t="str">
        <f>'AUX. CAPEX Resumo'!C43</f>
        <v>GUARITA</v>
      </c>
      <c r="R21" s="583">
        <f>'AUX. CAPEX Resumo'!F43</f>
        <v>1.3535978991433065E-2</v>
      </c>
      <c r="S21" s="584">
        <f>'AUX. CAPEX Resumo'!G43</f>
        <v>55398.7</v>
      </c>
      <c r="T21" s="584">
        <f>'AUX. CAPEX Resumo'!I43</f>
        <v>1.6341028152063619</v>
      </c>
    </row>
    <row r="22" spans="2:20">
      <c r="K22" s="190" t="s">
        <v>1234</v>
      </c>
      <c r="L22" s="190" t="s">
        <v>553</v>
      </c>
      <c r="P22" s="940"/>
      <c r="Q22" s="349" t="str">
        <f>'AUX. CAPEX Resumo'!C44</f>
        <v>DECK</v>
      </c>
      <c r="R22" s="583">
        <f>'AUX. CAPEX Resumo'!F44</f>
        <v>9.0240828333783205E-2</v>
      </c>
      <c r="S22" s="584">
        <f>'AUX. CAPEX Resumo'!G44</f>
        <v>369328.63</v>
      </c>
      <c r="T22" s="584">
        <f>'AUX. CAPEX Resumo'!I44</f>
        <v>10.894135675012389</v>
      </c>
    </row>
    <row r="23" spans="2:20">
      <c r="K23" s="349" t="str">
        <f>'CAPEX - Aquisições'!B6</f>
        <v>Locker</v>
      </c>
      <c r="L23" s="593">
        <f>'CAPEX - Aquisições'!C6</f>
        <v>193523.64950332636</v>
      </c>
      <c r="M23" s="349"/>
      <c r="P23" s="940"/>
      <c r="Q23" s="349" t="str">
        <f>'AUX. CAPEX Resumo'!C45</f>
        <v>ACADEMIA</v>
      </c>
      <c r="R23" s="583">
        <f>'AUX. CAPEX Resumo'!F45</f>
        <v>0.14054986015331869</v>
      </c>
      <c r="S23" s="584">
        <f>'AUX. CAPEX Resumo'!G45</f>
        <v>575228.4</v>
      </c>
      <c r="T23" s="584">
        <f>'AUX. CAPEX Resumo'!I45</f>
        <v>16.967588550392904</v>
      </c>
    </row>
    <row r="24" spans="2:20">
      <c r="K24" s="349" t="str">
        <f>'CAPEX - Aquisições'!B7</f>
        <v xml:space="preserve">Recargas EV's </v>
      </c>
      <c r="L24" s="593">
        <f>'CAPEX - Aquisições'!C7</f>
        <v>143038.94600539084</v>
      </c>
      <c r="P24" s="940"/>
      <c r="Q24" s="349" t="str">
        <f>'AUX. CAPEX Resumo'!C46</f>
        <v>QUIOSQUES</v>
      </c>
      <c r="R24" s="583">
        <f>'AUX. CAPEX Resumo'!F46</f>
        <v>3.2929939395434447E-2</v>
      </c>
      <c r="S24" s="584">
        <f>'AUX. CAPEX Resumo'!G46</f>
        <v>134772.36000000002</v>
      </c>
      <c r="T24" s="584">
        <f>'AUX. CAPEX Resumo'!I46</f>
        <v>3.9753982112938631</v>
      </c>
    </row>
    <row r="25" spans="2:20">
      <c r="K25" s="349" t="str">
        <f>'CAPEX - Aquisições'!B8</f>
        <v>Catracas</v>
      </c>
      <c r="L25" s="593">
        <f>'CAPEX - Aquisições'!C8</f>
        <v>21710.366785746628</v>
      </c>
      <c r="P25" s="940"/>
      <c r="Q25" s="349" t="str">
        <f>'AUX. CAPEX Resumo'!C47</f>
        <v>BRINQUEDOTECA</v>
      </c>
      <c r="R25" s="583">
        <f>'AUX. CAPEX Resumo'!F47</f>
        <v>0.16315442487450785</v>
      </c>
      <c r="S25" s="584">
        <f>'AUX. CAPEX Resumo'!G47</f>
        <v>667742.10000000009</v>
      </c>
      <c r="T25" s="584">
        <f>'AUX. CAPEX Resumo'!I47</f>
        <v>19.69647745239163</v>
      </c>
    </row>
    <row r="26" spans="2:20">
      <c r="K26" s="349" t="str">
        <f>'CAPEX - Aquisições'!B9</f>
        <v>CFTV</v>
      </c>
      <c r="L26" s="593">
        <f>'CAPEX - Aquisições'!C9</f>
        <v>26660.84</v>
      </c>
      <c r="P26" s="940"/>
      <c r="Q26" s="349" t="str">
        <f>'AUX. CAPEX Resumo'!C48</f>
        <v>ÁREA PET</v>
      </c>
      <c r="R26" s="583">
        <f>'AUX. CAPEX Resumo'!F48</f>
        <v>1.8227766911940533E-2</v>
      </c>
      <c r="S26" s="584">
        <f>'AUX. CAPEX Resumo'!G48</f>
        <v>74600.78</v>
      </c>
      <c r="T26" s="584">
        <f>'AUX. CAPEX Resumo'!I48</f>
        <v>2.2005091205134861</v>
      </c>
    </row>
    <row r="27" spans="2:20">
      <c r="K27" s="349" t="str">
        <f>'CAPEX - Aquisições'!B14</f>
        <v xml:space="preserve">Equipamentos esportivos </v>
      </c>
      <c r="L27" s="593">
        <f>'CAPEX - Aquisições'!C14</f>
        <v>47075.946831383859</v>
      </c>
      <c r="P27" s="940"/>
      <c r="Q27" s="349" t="str">
        <f>'AUX. CAPEX Resumo'!C49</f>
        <v>PLAYGROUND</v>
      </c>
      <c r="R27" s="583">
        <f>'AUX. CAPEX Resumo'!F49</f>
        <v>4.4240878633097731E-2</v>
      </c>
      <c r="S27" s="584">
        <f>'AUX. CAPEX Resumo'!G49</f>
        <v>181064.64</v>
      </c>
      <c r="T27" s="584">
        <f>'AUX. CAPEX Resumo'!I49</f>
        <v>5.3408877457111172</v>
      </c>
    </row>
    <row r="28" spans="2:20">
      <c r="K28" s="349" t="str">
        <f>'CAPEX - Aquisições'!B17</f>
        <v xml:space="preserve">Motor catamarã </v>
      </c>
      <c r="L28" s="593">
        <f>'CAPEX - Aquisições'!C17</f>
        <v>108652.61971794587</v>
      </c>
      <c r="P28" s="940"/>
      <c r="Q28" s="349" t="str">
        <f>'AUX. CAPEX Resumo'!C50</f>
        <v>PISTA DE SKATE (AMPLIAÇÃO)</v>
      </c>
      <c r="R28" s="583">
        <f>'AUX. CAPEX Resumo'!F50</f>
        <v>3.0122308674226741E-2</v>
      </c>
      <c r="S28" s="584">
        <f>'AUX. CAPEX Resumo'!G50</f>
        <v>123281.57</v>
      </c>
      <c r="T28" s="584">
        <f>'AUX. CAPEX Resumo'!I50</f>
        <v>3.6364528517828072</v>
      </c>
    </row>
    <row r="29" spans="2:20">
      <c r="K29" s="591" t="str">
        <f>'CAPEX - Aquisições'!B18</f>
        <v xml:space="preserve">Bebedouro </v>
      </c>
      <c r="L29" s="592">
        <f>'CAPEX - Aquisições'!C18</f>
        <v>16069.623368657294</v>
      </c>
      <c r="P29" s="940"/>
      <c r="Q29" s="349" t="str">
        <f>'AUX. CAPEX Resumo'!C51</f>
        <v>COBERTURA DA QUADRA</v>
      </c>
      <c r="R29" s="583">
        <f>'AUX. CAPEX Resumo'!F51</f>
        <v>7.1942181561022389E-2</v>
      </c>
      <c r="S29" s="584">
        <f>'AUX. CAPEX Resumo'!G51</f>
        <v>294437.76000000001</v>
      </c>
      <c r="T29" s="584">
        <f>'AUX. CAPEX Resumo'!I51</f>
        <v>8.685069731222125</v>
      </c>
    </row>
    <row r="30" spans="2:20">
      <c r="K30" s="349" t="s">
        <v>479</v>
      </c>
      <c r="L30" s="593">
        <f>SUM(L23:L29)</f>
        <v>556731.99221245095</v>
      </c>
      <c r="P30" s="940"/>
      <c r="Q30" s="349" t="str">
        <f>'AUX. CAPEX Resumo'!C52</f>
        <v>COBERTURA ÁREA DE EVENTOS/ESTACIONAMENTO</v>
      </c>
      <c r="R30" s="583">
        <f>'AUX. CAPEX Resumo'!F52</f>
        <v>0.22925014064859692</v>
      </c>
      <c r="S30" s="584">
        <f>'AUX. CAPEX Resumo'!G52</f>
        <v>938252.03</v>
      </c>
      <c r="T30" s="584">
        <f>'AUX. CAPEX Resumo'!I52</f>
        <v>237.2528618208944</v>
      </c>
    </row>
    <row r="31" spans="2:20">
      <c r="P31" s="940"/>
      <c r="Q31" s="581" t="str">
        <f>'AUX. CAPEX Resumo'!B53</f>
        <v>TOTAL AMPLIAÇÃO</v>
      </c>
      <c r="R31" s="582">
        <f>SUM(R17:R30)</f>
        <v>1</v>
      </c>
      <c r="S31" s="587">
        <f>'AUX. CAPEX Resumo'!G53</f>
        <v>4092699.91</v>
      </c>
      <c r="T31" s="585">
        <f>'AUX. CAPEX Resumo'!I53</f>
        <v>93.047168275243664</v>
      </c>
    </row>
    <row r="32" spans="2:20">
      <c r="P32" s="725" t="s">
        <v>1710</v>
      </c>
      <c r="Q32" s="725"/>
      <c r="R32" s="725"/>
      <c r="S32" s="586">
        <f>SUM(S31,TABELAS!S15)</f>
        <v>6223371.7599999998</v>
      </c>
      <c r="T32" s="590">
        <f>SUM(T31,TABELAS!T15)</f>
        <v>155.89587895556554</v>
      </c>
    </row>
  </sheetData>
  <mergeCells count="2">
    <mergeCell ref="P3:P15"/>
    <mergeCell ref="P17:P31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0"/>
  <dimension ref="D2:AY150"/>
  <sheetViews>
    <sheetView showGridLines="0" workbookViewId="0">
      <selection activeCell="A83" sqref="A83"/>
    </sheetView>
  </sheetViews>
  <sheetFormatPr defaultRowHeight="14.45"/>
  <cols>
    <col min="5" max="5" width="33.28515625" bestFit="1" customWidth="1"/>
    <col min="9" max="9" width="14.28515625" bestFit="1" customWidth="1"/>
    <col min="13" max="13" width="31.42578125" bestFit="1" customWidth="1"/>
    <col min="14" max="16" width="9.28515625" bestFit="1" customWidth="1"/>
    <col min="17" max="18" width="16" bestFit="1" customWidth="1"/>
    <col min="19" max="49" width="15.85546875" bestFit="1" customWidth="1"/>
  </cols>
  <sheetData>
    <row r="2" spans="5:16" ht="18">
      <c r="E2" s="758" t="s">
        <v>1711</v>
      </c>
      <c r="M2" s="755"/>
      <c r="N2" s="756" t="s">
        <v>1712</v>
      </c>
      <c r="O2" s="755"/>
      <c r="P2" s="755"/>
    </row>
    <row r="23" spans="5:13" ht="21">
      <c r="E23" s="758" t="s">
        <v>1713</v>
      </c>
      <c r="M23" s="757" t="s">
        <v>1714</v>
      </c>
    </row>
    <row r="46" spans="5:23" ht="15.6">
      <c r="E46" s="759" t="s">
        <v>1715</v>
      </c>
      <c r="N46" s="759" t="s">
        <v>1716</v>
      </c>
      <c r="W46" s="759" t="s">
        <v>1717</v>
      </c>
    </row>
    <row r="61" spans="5:5" ht="15.6">
      <c r="E61" s="759" t="s">
        <v>1718</v>
      </c>
    </row>
    <row r="89" spans="4:48"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  <c r="AD89" s="379"/>
      <c r="AE89" s="379"/>
      <c r="AF89" s="379"/>
      <c r="AG89" s="379"/>
      <c r="AH89" s="379"/>
      <c r="AI89" s="379"/>
      <c r="AJ89" s="379"/>
      <c r="AK89" s="379"/>
      <c r="AL89" s="379"/>
      <c r="AM89" s="379"/>
      <c r="AN89" s="379"/>
      <c r="AO89" s="379"/>
      <c r="AP89" s="379"/>
      <c r="AQ89" s="379"/>
      <c r="AR89" s="379"/>
      <c r="AS89" s="379"/>
      <c r="AT89" s="379"/>
      <c r="AU89" s="379"/>
    </row>
    <row r="90" spans="4:48">
      <c r="D90" s="379"/>
      <c r="E90" s="379"/>
      <c r="F90" s="379" t="s">
        <v>224</v>
      </c>
      <c r="G90" s="379" t="s">
        <v>84</v>
      </c>
      <c r="H90" s="379" t="s">
        <v>86</v>
      </c>
      <c r="I90" s="379" t="s">
        <v>92</v>
      </c>
      <c r="J90" s="379" t="s">
        <v>93</v>
      </c>
      <c r="K90" s="379" t="s">
        <v>94</v>
      </c>
      <c r="L90" s="379" t="s">
        <v>95</v>
      </c>
      <c r="M90" s="379" t="s">
        <v>96</v>
      </c>
      <c r="N90" s="379" t="s">
        <v>97</v>
      </c>
      <c r="O90" s="379" t="s">
        <v>98</v>
      </c>
      <c r="P90" s="379" t="s">
        <v>99</v>
      </c>
      <c r="Q90" s="379" t="s">
        <v>100</v>
      </c>
      <c r="R90" s="379" t="s">
        <v>101</v>
      </c>
      <c r="S90" s="379" t="s">
        <v>102</v>
      </c>
      <c r="T90" s="379" t="s">
        <v>103</v>
      </c>
      <c r="U90" s="379" t="s">
        <v>104</v>
      </c>
      <c r="V90" s="379" t="s">
        <v>105</v>
      </c>
      <c r="W90" s="379" t="s">
        <v>106</v>
      </c>
      <c r="X90" s="379" t="s">
        <v>107</v>
      </c>
      <c r="Y90" s="379" t="s">
        <v>108</v>
      </c>
      <c r="Z90" s="379" t="s">
        <v>109</v>
      </c>
      <c r="AA90" s="379" t="s">
        <v>110</v>
      </c>
      <c r="AB90" s="379" t="s">
        <v>111</v>
      </c>
      <c r="AC90" s="379" t="s">
        <v>112</v>
      </c>
      <c r="AD90" s="379" t="s">
        <v>113</v>
      </c>
      <c r="AE90" s="379" t="s">
        <v>114</v>
      </c>
      <c r="AF90" s="379" t="s">
        <v>115</v>
      </c>
      <c r="AG90" s="379" t="s">
        <v>116</v>
      </c>
      <c r="AH90" s="379" t="s">
        <v>117</v>
      </c>
      <c r="AI90" s="379" t="s">
        <v>118</v>
      </c>
      <c r="AJ90" s="379" t="s">
        <v>119</v>
      </c>
      <c r="AK90" s="379" t="s">
        <v>120</v>
      </c>
      <c r="AL90" s="379" t="s">
        <v>121</v>
      </c>
      <c r="AM90" s="379" t="s">
        <v>122</v>
      </c>
      <c r="AN90" s="379" t="s">
        <v>123</v>
      </c>
      <c r="AO90" s="379" t="s">
        <v>124</v>
      </c>
      <c r="AP90" s="379"/>
      <c r="AQ90" s="379"/>
      <c r="AR90" s="379"/>
      <c r="AS90" s="379"/>
      <c r="AT90" s="379"/>
      <c r="AU90" s="379"/>
    </row>
    <row r="91" spans="4:48">
      <c r="D91" s="379"/>
      <c r="E91" s="380" t="s">
        <v>1252</v>
      </c>
      <c r="F91" s="380">
        <f>CAPEX!H30</f>
        <v>0</v>
      </c>
      <c r="G91" s="380">
        <f>CAPEX!I30</f>
        <v>0</v>
      </c>
      <c r="H91" s="380">
        <f>CAPEX!J30</f>
        <v>384933.80229446391</v>
      </c>
      <c r="I91" s="380">
        <f>CAPEX!K30</f>
        <v>0</v>
      </c>
      <c r="J91" s="380">
        <f>CAPEX!L30</f>
        <v>0</v>
      </c>
      <c r="K91" s="380">
        <f>CAPEX!M30</f>
        <v>0</v>
      </c>
      <c r="L91" s="380">
        <f>CAPEX!N30</f>
        <v>0</v>
      </c>
      <c r="M91" s="380">
        <f>CAPEX!O30</f>
        <v>0</v>
      </c>
      <c r="N91" s="380">
        <f>CAPEX!P30</f>
        <v>0</v>
      </c>
      <c r="O91" s="380">
        <f>CAPEX!Q30</f>
        <v>0</v>
      </c>
      <c r="P91" s="380">
        <f>CAPEX!R30</f>
        <v>0</v>
      </c>
      <c r="Q91" s="380">
        <f>CAPEX!S30</f>
        <v>0</v>
      </c>
      <c r="R91" s="380">
        <f>CAPEX!T30</f>
        <v>0</v>
      </c>
      <c r="S91" s="380">
        <f>CAPEX!U30</f>
        <v>0</v>
      </c>
      <c r="T91" s="380">
        <f>CAPEX!V30</f>
        <v>0</v>
      </c>
      <c r="U91" s="380">
        <f>CAPEX!W30</f>
        <v>0</v>
      </c>
      <c r="V91" s="380">
        <f>CAPEX!X30</f>
        <v>0</v>
      </c>
      <c r="W91" s="380">
        <f>CAPEX!Y30</f>
        <v>0</v>
      </c>
      <c r="X91" s="380">
        <f>CAPEX!Z30</f>
        <v>0</v>
      </c>
      <c r="Y91" s="380">
        <f>CAPEX!AA30</f>
        <v>0</v>
      </c>
      <c r="Z91" s="380">
        <f>CAPEX!AB30</f>
        <v>0</v>
      </c>
      <c r="AA91" s="380">
        <f>CAPEX!AC30</f>
        <v>0</v>
      </c>
      <c r="AB91" s="380">
        <f>CAPEX!AD30</f>
        <v>0</v>
      </c>
      <c r="AC91" s="380">
        <f>CAPEX!AE30</f>
        <v>0</v>
      </c>
      <c r="AD91" s="380">
        <f>CAPEX!AF30</f>
        <v>0</v>
      </c>
      <c r="AE91" s="380">
        <f>CAPEX!AG30</f>
        <v>0</v>
      </c>
      <c r="AF91" s="380">
        <f>CAPEX!AH30</f>
        <v>0</v>
      </c>
      <c r="AG91" s="380">
        <f>CAPEX!AI30</f>
        <v>0</v>
      </c>
      <c r="AH91" s="380">
        <f>CAPEX!AJ30</f>
        <v>0</v>
      </c>
      <c r="AI91" s="380">
        <f>CAPEX!AK30</f>
        <v>0</v>
      </c>
      <c r="AJ91" s="380">
        <f>CAPEX!AL30</f>
        <v>0</v>
      </c>
      <c r="AK91" s="380">
        <f>CAPEX!AM30</f>
        <v>0</v>
      </c>
      <c r="AL91" s="380">
        <f>CAPEX!AN30</f>
        <v>0</v>
      </c>
      <c r="AM91" s="380">
        <f>CAPEX!AO30</f>
        <v>0</v>
      </c>
      <c r="AN91" s="380">
        <f>CAPEX!AP30</f>
        <v>0</v>
      </c>
      <c r="AO91" s="380">
        <f>CAPEX!AQ30</f>
        <v>0</v>
      </c>
      <c r="AP91" s="380"/>
      <c r="AQ91" s="380"/>
      <c r="AR91" s="380"/>
      <c r="AS91" s="380"/>
      <c r="AT91" s="380"/>
      <c r="AU91" s="380"/>
      <c r="AV91" s="119"/>
    </row>
    <row r="92" spans="4:48">
      <c r="D92" s="379"/>
      <c r="E92" s="379"/>
      <c r="F92" s="380">
        <f>CAPEX!H31</f>
        <v>0</v>
      </c>
      <c r="G92" s="380">
        <f>CAPEX!I31</f>
        <v>0</v>
      </c>
      <c r="H92" s="380">
        <f>CAPEX!J31</f>
        <v>47075.946831383859</v>
      </c>
      <c r="I92" s="380">
        <f>CAPEX!K31</f>
        <v>0</v>
      </c>
      <c r="J92" s="380">
        <f>CAPEX!L31</f>
        <v>0</v>
      </c>
      <c r="K92" s="380">
        <f>CAPEX!M31</f>
        <v>0</v>
      </c>
      <c r="L92" s="380">
        <f>CAPEX!N31</f>
        <v>0</v>
      </c>
      <c r="M92" s="380">
        <f>CAPEX!O31</f>
        <v>0</v>
      </c>
      <c r="N92" s="380">
        <f>CAPEX!P31</f>
        <v>0</v>
      </c>
      <c r="O92" s="380">
        <f>CAPEX!Q31</f>
        <v>0</v>
      </c>
      <c r="P92" s="380">
        <f>CAPEX!R31</f>
        <v>0</v>
      </c>
      <c r="Q92" s="380">
        <f>CAPEX!S31</f>
        <v>0</v>
      </c>
      <c r="R92" s="380">
        <f>CAPEX!T31</f>
        <v>0</v>
      </c>
      <c r="S92" s="380">
        <f>CAPEX!U31</f>
        <v>0</v>
      </c>
      <c r="T92" s="380">
        <f>CAPEX!V31</f>
        <v>0</v>
      </c>
      <c r="U92" s="380">
        <f>CAPEX!W31</f>
        <v>0</v>
      </c>
      <c r="V92" s="380">
        <f>CAPEX!X31</f>
        <v>0</v>
      </c>
      <c r="W92" s="380">
        <f>CAPEX!Y31</f>
        <v>0</v>
      </c>
      <c r="X92" s="380">
        <f>CAPEX!Z31</f>
        <v>0</v>
      </c>
      <c r="Y92" s="380">
        <f>CAPEX!AA31</f>
        <v>0</v>
      </c>
      <c r="Z92" s="380">
        <f>CAPEX!AB31</f>
        <v>0</v>
      </c>
      <c r="AA92" s="380">
        <f>CAPEX!AC31</f>
        <v>0</v>
      </c>
      <c r="AB92" s="380">
        <f>CAPEX!AD31</f>
        <v>0</v>
      </c>
      <c r="AC92" s="380">
        <f>CAPEX!AE31</f>
        <v>0</v>
      </c>
      <c r="AD92" s="380">
        <f>CAPEX!AF31</f>
        <v>0</v>
      </c>
      <c r="AE92" s="380">
        <f>CAPEX!AG31</f>
        <v>0</v>
      </c>
      <c r="AF92" s="380">
        <f>CAPEX!AH31</f>
        <v>0</v>
      </c>
      <c r="AG92" s="380">
        <f>CAPEX!AI31</f>
        <v>0</v>
      </c>
      <c r="AH92" s="380">
        <f>CAPEX!AJ31</f>
        <v>0</v>
      </c>
      <c r="AI92" s="380">
        <f>CAPEX!AK31</f>
        <v>0</v>
      </c>
      <c r="AJ92" s="380">
        <f>CAPEX!AL31</f>
        <v>0</v>
      </c>
      <c r="AK92" s="380">
        <f>CAPEX!AM31</f>
        <v>0</v>
      </c>
      <c r="AL92" s="380">
        <f>CAPEX!AN31</f>
        <v>0</v>
      </c>
      <c r="AM92" s="380">
        <f>CAPEX!AO31</f>
        <v>0</v>
      </c>
      <c r="AN92" s="380">
        <f>CAPEX!AP31</f>
        <v>0</v>
      </c>
      <c r="AO92" s="380">
        <f>CAPEX!AQ31</f>
        <v>0</v>
      </c>
      <c r="AP92" s="379"/>
      <c r="AQ92" s="379"/>
      <c r="AR92" s="379"/>
      <c r="AS92" s="379"/>
      <c r="AT92" s="379"/>
      <c r="AU92" s="379"/>
    </row>
    <row r="93" spans="4:48">
      <c r="D93" s="379"/>
      <c r="E93" s="379"/>
      <c r="F93" s="380">
        <f>CAPEX!H33</f>
        <v>0</v>
      </c>
      <c r="G93" s="380">
        <f>CAPEX!I33</f>
        <v>0</v>
      </c>
      <c r="H93" s="380">
        <f>CAPEX!J33</f>
        <v>108652.61971794587</v>
      </c>
      <c r="I93" s="380">
        <f>CAPEX!K33</f>
        <v>0</v>
      </c>
      <c r="J93" s="380">
        <f>CAPEX!L33</f>
        <v>0</v>
      </c>
      <c r="K93" s="380">
        <f>CAPEX!M33</f>
        <v>0</v>
      </c>
      <c r="L93" s="380">
        <f>CAPEX!N33</f>
        <v>0</v>
      </c>
      <c r="M93" s="380">
        <f>CAPEX!O33</f>
        <v>0</v>
      </c>
      <c r="N93" s="380">
        <f>CAPEX!P33</f>
        <v>0</v>
      </c>
      <c r="O93" s="380">
        <f>CAPEX!Q33</f>
        <v>0</v>
      </c>
      <c r="P93" s="380">
        <f>CAPEX!R33</f>
        <v>0</v>
      </c>
      <c r="Q93" s="380">
        <f>CAPEX!S33</f>
        <v>0</v>
      </c>
      <c r="R93" s="380">
        <f>CAPEX!T33</f>
        <v>0</v>
      </c>
      <c r="S93" s="380">
        <f>CAPEX!U33</f>
        <v>0</v>
      </c>
      <c r="T93" s="380">
        <f>CAPEX!V33</f>
        <v>0</v>
      </c>
      <c r="U93" s="380">
        <f>CAPEX!W33</f>
        <v>0</v>
      </c>
      <c r="V93" s="380">
        <f>CAPEX!X33</f>
        <v>0</v>
      </c>
      <c r="W93" s="380">
        <f>CAPEX!Y33</f>
        <v>0</v>
      </c>
      <c r="X93" s="380">
        <f>CAPEX!Z33</f>
        <v>0</v>
      </c>
      <c r="Y93" s="380">
        <f>CAPEX!AA33</f>
        <v>0</v>
      </c>
      <c r="Z93" s="380">
        <f>CAPEX!AB33</f>
        <v>0</v>
      </c>
      <c r="AA93" s="380">
        <f>CAPEX!AC33</f>
        <v>0</v>
      </c>
      <c r="AB93" s="380">
        <f>CAPEX!AD33</f>
        <v>0</v>
      </c>
      <c r="AC93" s="380">
        <f>CAPEX!AE33</f>
        <v>0</v>
      </c>
      <c r="AD93" s="380">
        <f>CAPEX!AF33</f>
        <v>0</v>
      </c>
      <c r="AE93" s="380">
        <f>CAPEX!AG33</f>
        <v>0</v>
      </c>
      <c r="AF93" s="380">
        <f>CAPEX!AH33</f>
        <v>0</v>
      </c>
      <c r="AG93" s="380">
        <f>CAPEX!AI33</f>
        <v>0</v>
      </c>
      <c r="AH93" s="380">
        <f>CAPEX!AJ33</f>
        <v>0</v>
      </c>
      <c r="AI93" s="380">
        <f>CAPEX!AK33</f>
        <v>0</v>
      </c>
      <c r="AJ93" s="380">
        <f>CAPEX!AL33</f>
        <v>0</v>
      </c>
      <c r="AK93" s="380">
        <f>CAPEX!AM33</f>
        <v>0</v>
      </c>
      <c r="AL93" s="380">
        <f>CAPEX!AN33</f>
        <v>0</v>
      </c>
      <c r="AM93" s="380">
        <f>CAPEX!AO33</f>
        <v>0</v>
      </c>
      <c r="AN93" s="380">
        <f>CAPEX!AP33</f>
        <v>0</v>
      </c>
      <c r="AO93" s="380">
        <f>CAPEX!AQ33</f>
        <v>0</v>
      </c>
      <c r="AP93" s="379"/>
      <c r="AQ93" s="379"/>
      <c r="AR93" s="379"/>
      <c r="AS93" s="379"/>
      <c r="AT93" s="379"/>
      <c r="AU93" s="379"/>
    </row>
    <row r="94" spans="4:48"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79"/>
      <c r="AC94" s="379"/>
      <c r="AD94" s="379"/>
      <c r="AE94" s="379"/>
      <c r="AF94" s="379"/>
      <c r="AG94" s="379"/>
      <c r="AH94" s="379"/>
      <c r="AI94" s="379"/>
      <c r="AJ94" s="379"/>
      <c r="AK94" s="379"/>
      <c r="AL94" s="379"/>
      <c r="AM94" s="379"/>
      <c r="AN94" s="379"/>
      <c r="AO94" s="379"/>
      <c r="AP94" s="379"/>
      <c r="AQ94" s="379"/>
      <c r="AR94" s="379"/>
      <c r="AS94" s="379"/>
      <c r="AT94" s="379"/>
      <c r="AU94" s="379"/>
    </row>
    <row r="95" spans="4:48">
      <c r="D95" s="379"/>
      <c r="E95" s="379"/>
      <c r="F95" s="379" t="s">
        <v>224</v>
      </c>
      <c r="G95" s="379" t="s">
        <v>84</v>
      </c>
      <c r="H95" s="379" t="s">
        <v>86</v>
      </c>
      <c r="I95" s="379" t="s">
        <v>92</v>
      </c>
      <c r="J95" s="379" t="s">
        <v>93</v>
      </c>
      <c r="K95" s="379" t="s">
        <v>94</v>
      </c>
      <c r="L95" s="379" t="s">
        <v>95</v>
      </c>
      <c r="M95" s="379" t="s">
        <v>96</v>
      </c>
      <c r="N95" s="379" t="s">
        <v>97</v>
      </c>
      <c r="O95" s="379" t="s">
        <v>98</v>
      </c>
      <c r="P95" s="379" t="s">
        <v>99</v>
      </c>
      <c r="Q95" s="379" t="s">
        <v>100</v>
      </c>
      <c r="R95" s="379" t="s">
        <v>101</v>
      </c>
      <c r="S95" s="379" t="s">
        <v>102</v>
      </c>
      <c r="T95" s="379" t="s">
        <v>103</v>
      </c>
      <c r="U95" s="379" t="s">
        <v>104</v>
      </c>
      <c r="V95" s="379" t="s">
        <v>105</v>
      </c>
      <c r="W95" s="379" t="s">
        <v>106</v>
      </c>
      <c r="X95" s="379" t="s">
        <v>107</v>
      </c>
      <c r="Y95" s="379" t="s">
        <v>108</v>
      </c>
      <c r="Z95" s="379" t="s">
        <v>109</v>
      </c>
      <c r="AA95" s="379" t="s">
        <v>110</v>
      </c>
      <c r="AB95" s="379" t="s">
        <v>111</v>
      </c>
      <c r="AC95" s="379" t="s">
        <v>112</v>
      </c>
      <c r="AD95" s="379" t="s">
        <v>113</v>
      </c>
      <c r="AE95" s="379" t="s">
        <v>114</v>
      </c>
      <c r="AF95" s="379" t="s">
        <v>115</v>
      </c>
      <c r="AG95" s="379" t="s">
        <v>116</v>
      </c>
      <c r="AH95" s="379" t="s">
        <v>117</v>
      </c>
      <c r="AI95" s="379" t="s">
        <v>118</v>
      </c>
      <c r="AJ95" s="379" t="s">
        <v>119</v>
      </c>
      <c r="AK95" s="379" t="s">
        <v>120</v>
      </c>
      <c r="AL95" s="379" t="s">
        <v>121</v>
      </c>
      <c r="AM95" s="379" t="s">
        <v>122</v>
      </c>
      <c r="AN95" s="379" t="s">
        <v>123</v>
      </c>
      <c r="AO95" s="379" t="s">
        <v>124</v>
      </c>
      <c r="AP95" s="379"/>
      <c r="AQ95" s="379"/>
      <c r="AR95" s="379"/>
      <c r="AS95" s="379"/>
      <c r="AT95" s="379"/>
      <c r="AU95" s="379"/>
    </row>
    <row r="96" spans="4:48">
      <c r="D96" s="379"/>
      <c r="E96" s="380" t="s">
        <v>1252</v>
      </c>
      <c r="F96" s="380">
        <f>SUM(F91:F93)</f>
        <v>0</v>
      </c>
      <c r="G96" s="380">
        <f t="shared" ref="G96:AO96" si="0">SUM(G91:G93)</f>
        <v>0</v>
      </c>
      <c r="H96" s="380">
        <f t="shared" si="0"/>
        <v>540662.36884379364</v>
      </c>
      <c r="I96" s="380">
        <f t="shared" si="0"/>
        <v>0</v>
      </c>
      <c r="J96" s="380">
        <f t="shared" si="0"/>
        <v>0</v>
      </c>
      <c r="K96" s="380">
        <f t="shared" si="0"/>
        <v>0</v>
      </c>
      <c r="L96" s="380">
        <f t="shared" si="0"/>
        <v>0</v>
      </c>
      <c r="M96" s="380">
        <f t="shared" si="0"/>
        <v>0</v>
      </c>
      <c r="N96" s="380">
        <f t="shared" si="0"/>
        <v>0</v>
      </c>
      <c r="O96" s="380">
        <f t="shared" si="0"/>
        <v>0</v>
      </c>
      <c r="P96" s="380">
        <f t="shared" si="0"/>
        <v>0</v>
      </c>
      <c r="Q96" s="380">
        <f t="shared" si="0"/>
        <v>0</v>
      </c>
      <c r="R96" s="380">
        <f t="shared" si="0"/>
        <v>0</v>
      </c>
      <c r="S96" s="380">
        <f t="shared" si="0"/>
        <v>0</v>
      </c>
      <c r="T96" s="380">
        <f t="shared" si="0"/>
        <v>0</v>
      </c>
      <c r="U96" s="380">
        <f t="shared" si="0"/>
        <v>0</v>
      </c>
      <c r="V96" s="380">
        <f t="shared" si="0"/>
        <v>0</v>
      </c>
      <c r="W96" s="380">
        <f t="shared" si="0"/>
        <v>0</v>
      </c>
      <c r="X96" s="380">
        <f t="shared" si="0"/>
        <v>0</v>
      </c>
      <c r="Y96" s="380">
        <f t="shared" si="0"/>
        <v>0</v>
      </c>
      <c r="Z96" s="380">
        <f t="shared" si="0"/>
        <v>0</v>
      </c>
      <c r="AA96" s="380">
        <f t="shared" si="0"/>
        <v>0</v>
      </c>
      <c r="AB96" s="380">
        <f t="shared" si="0"/>
        <v>0</v>
      </c>
      <c r="AC96" s="380">
        <f t="shared" si="0"/>
        <v>0</v>
      </c>
      <c r="AD96" s="380">
        <f t="shared" si="0"/>
        <v>0</v>
      </c>
      <c r="AE96" s="380">
        <f t="shared" si="0"/>
        <v>0</v>
      </c>
      <c r="AF96" s="380">
        <f t="shared" si="0"/>
        <v>0</v>
      </c>
      <c r="AG96" s="380">
        <f t="shared" si="0"/>
        <v>0</v>
      </c>
      <c r="AH96" s="380">
        <f t="shared" si="0"/>
        <v>0</v>
      </c>
      <c r="AI96" s="380">
        <f t="shared" si="0"/>
        <v>0</v>
      </c>
      <c r="AJ96" s="380">
        <f t="shared" si="0"/>
        <v>0</v>
      </c>
      <c r="AK96" s="380">
        <f t="shared" si="0"/>
        <v>0</v>
      </c>
      <c r="AL96" s="380">
        <f t="shared" si="0"/>
        <v>0</v>
      </c>
      <c r="AM96" s="380">
        <f t="shared" si="0"/>
        <v>0</v>
      </c>
      <c r="AN96" s="380">
        <f t="shared" si="0"/>
        <v>0</v>
      </c>
      <c r="AO96" s="380">
        <f t="shared" si="0"/>
        <v>0</v>
      </c>
      <c r="AP96" s="379"/>
      <c r="AQ96" s="379"/>
      <c r="AR96" s="379"/>
      <c r="AS96" s="379"/>
      <c r="AT96" s="379"/>
      <c r="AU96" s="379"/>
    </row>
    <row r="97" spans="4:47">
      <c r="D97" s="379"/>
      <c r="E97" s="379" t="s">
        <v>1258</v>
      </c>
      <c r="F97" s="379"/>
      <c r="G97" s="379"/>
      <c r="H97" s="379"/>
      <c r="I97" s="379"/>
      <c r="J97" s="379"/>
      <c r="K97" s="379"/>
      <c r="L97" s="379"/>
      <c r="M97" s="379"/>
      <c r="N97" s="379"/>
      <c r="O97" s="379"/>
      <c r="P97" s="379"/>
      <c r="Q97" s="379"/>
      <c r="R97" s="379"/>
      <c r="S97" s="379"/>
      <c r="T97" s="379"/>
      <c r="U97" s="379"/>
      <c r="V97" s="379"/>
      <c r="W97" s="379"/>
      <c r="X97" s="379"/>
      <c r="Y97" s="379"/>
      <c r="Z97" s="379"/>
      <c r="AA97" s="379"/>
      <c r="AB97" s="379"/>
      <c r="AC97" s="379"/>
      <c r="AD97" s="379"/>
      <c r="AE97" s="379"/>
      <c r="AF97" s="379"/>
      <c r="AG97" s="379"/>
      <c r="AH97" s="379"/>
      <c r="AI97" s="379"/>
      <c r="AJ97" s="379"/>
      <c r="AK97" s="379"/>
      <c r="AL97" s="379"/>
      <c r="AM97" s="379"/>
      <c r="AN97" s="379"/>
      <c r="AO97" s="379"/>
      <c r="AP97" s="379"/>
      <c r="AQ97" s="379"/>
      <c r="AR97" s="379"/>
      <c r="AS97" s="379"/>
      <c r="AT97" s="379"/>
      <c r="AU97" s="379"/>
    </row>
    <row r="98" spans="4:47">
      <c r="D98" s="379"/>
      <c r="E98" s="379"/>
      <c r="F98" s="379"/>
      <c r="G98" s="379"/>
      <c r="H98" s="379"/>
      <c r="I98" s="379"/>
      <c r="J98" s="379"/>
      <c r="K98" s="379"/>
      <c r="L98" s="379"/>
      <c r="M98" s="379"/>
      <c r="N98" s="379"/>
      <c r="O98" s="379"/>
      <c r="P98" s="379"/>
      <c r="Q98" s="379"/>
      <c r="R98" s="379"/>
      <c r="S98" s="379"/>
      <c r="T98" s="379"/>
      <c r="U98" s="379"/>
      <c r="V98" s="379"/>
      <c r="W98" s="379"/>
      <c r="X98" s="379"/>
      <c r="Y98" s="379"/>
      <c r="Z98" s="379"/>
      <c r="AA98" s="379"/>
      <c r="AB98" s="379"/>
      <c r="AC98" s="379"/>
      <c r="AD98" s="379"/>
      <c r="AE98" s="379"/>
      <c r="AF98" s="379"/>
      <c r="AG98" s="379"/>
      <c r="AH98" s="379"/>
      <c r="AI98" s="379"/>
      <c r="AJ98" s="379"/>
      <c r="AK98" s="379"/>
      <c r="AL98" s="379"/>
      <c r="AM98" s="379"/>
      <c r="AN98" s="379"/>
      <c r="AO98" s="379"/>
      <c r="AP98" s="379"/>
      <c r="AQ98" s="379"/>
      <c r="AR98" s="379"/>
      <c r="AS98" s="379"/>
      <c r="AT98" s="379"/>
      <c r="AU98" s="379"/>
    </row>
    <row r="99" spans="4:47">
      <c r="D99" s="379"/>
      <c r="E99" s="379"/>
      <c r="F99" s="379"/>
      <c r="G99" s="379"/>
      <c r="H99" s="379"/>
      <c r="I99" s="379"/>
      <c r="J99" s="379"/>
      <c r="K99" s="379"/>
      <c r="L99" s="379"/>
      <c r="M99" s="379"/>
      <c r="N99" s="379"/>
      <c r="O99" s="379"/>
      <c r="P99" s="379"/>
      <c r="Q99" s="379"/>
      <c r="R99" s="379"/>
      <c r="S99" s="379"/>
      <c r="T99" s="379"/>
      <c r="U99" s="379"/>
      <c r="V99" s="379"/>
      <c r="W99" s="379"/>
      <c r="X99" s="379"/>
      <c r="Y99" s="379"/>
      <c r="Z99" s="379"/>
      <c r="AA99" s="379"/>
      <c r="AB99" s="379"/>
      <c r="AC99" s="379"/>
      <c r="AD99" s="379"/>
      <c r="AE99" s="379"/>
      <c r="AF99" s="379"/>
      <c r="AG99" s="379"/>
      <c r="AH99" s="379"/>
      <c r="AI99" s="379"/>
      <c r="AJ99" s="379"/>
      <c r="AK99" s="379"/>
      <c r="AL99" s="379"/>
      <c r="AM99" s="379"/>
      <c r="AN99" s="379"/>
      <c r="AO99" s="379"/>
      <c r="AP99" s="379"/>
      <c r="AQ99" s="379"/>
      <c r="AR99" s="379"/>
      <c r="AS99" s="379"/>
      <c r="AT99" s="379"/>
      <c r="AU99" s="379"/>
    </row>
    <row r="135" spans="13:51">
      <c r="M135" s="385"/>
      <c r="N135" s="385"/>
      <c r="O135" s="385"/>
      <c r="P135" s="385"/>
      <c r="Q135" s="385"/>
      <c r="R135" s="385"/>
      <c r="S135" s="385"/>
      <c r="T135" s="385"/>
      <c r="U135" s="385"/>
      <c r="V135" s="385"/>
      <c r="W135" s="385"/>
      <c r="X135" s="385"/>
      <c r="Y135" s="385"/>
      <c r="Z135" s="385"/>
      <c r="AA135" s="385"/>
      <c r="AB135" s="385"/>
      <c r="AC135" s="385"/>
      <c r="AD135" s="385"/>
      <c r="AE135" s="385"/>
      <c r="AF135" s="385"/>
      <c r="AG135" s="385"/>
      <c r="AH135" s="385"/>
      <c r="AI135" s="385"/>
      <c r="AJ135" s="385"/>
      <c r="AK135" s="385"/>
      <c r="AL135" s="385"/>
      <c r="AM135" s="385"/>
      <c r="AN135" s="385"/>
      <c r="AO135" s="385"/>
      <c r="AP135" s="385"/>
      <c r="AQ135" s="385"/>
      <c r="AR135" s="385"/>
      <c r="AS135" s="385"/>
      <c r="AT135" s="385"/>
      <c r="AU135" s="385"/>
      <c r="AV135" s="385"/>
      <c r="AW135" s="385"/>
      <c r="AX135" s="385"/>
      <c r="AY135" s="385"/>
    </row>
    <row r="136" spans="13:51">
      <c r="M136" s="385"/>
      <c r="N136" s="385"/>
      <c r="O136" s="385"/>
      <c r="P136" s="385"/>
      <c r="Q136" s="385"/>
      <c r="R136" s="385"/>
      <c r="S136" s="385"/>
      <c r="T136" s="385"/>
      <c r="U136" s="385"/>
      <c r="V136" s="385"/>
      <c r="W136" s="385"/>
      <c r="X136" s="385"/>
      <c r="Y136" s="385"/>
      <c r="Z136" s="385"/>
      <c r="AA136" s="385"/>
      <c r="AB136" s="385"/>
      <c r="AC136" s="385"/>
      <c r="AD136" s="385"/>
      <c r="AE136" s="385"/>
      <c r="AF136" s="385"/>
      <c r="AG136" s="385"/>
      <c r="AH136" s="385"/>
      <c r="AI136" s="385"/>
      <c r="AJ136" s="385"/>
      <c r="AK136" s="385"/>
      <c r="AL136" s="385"/>
      <c r="AM136" s="385"/>
      <c r="AN136" s="385"/>
      <c r="AO136" s="385"/>
      <c r="AP136" s="385"/>
      <c r="AQ136" s="385"/>
      <c r="AR136" s="385"/>
      <c r="AS136" s="385"/>
      <c r="AT136" s="385"/>
      <c r="AU136" s="385"/>
      <c r="AV136" s="385"/>
      <c r="AW136" s="385"/>
      <c r="AX136" s="385"/>
      <c r="AY136" s="385"/>
    </row>
    <row r="137" spans="13:51">
      <c r="M137" s="385"/>
      <c r="N137" s="385">
        <v>2025</v>
      </c>
      <c r="O137" s="385">
        <v>2026</v>
      </c>
      <c r="P137" s="385">
        <v>2027</v>
      </c>
      <c r="Q137" s="385">
        <v>2028</v>
      </c>
      <c r="R137" s="385">
        <v>2029</v>
      </c>
      <c r="S137" s="385">
        <v>2030</v>
      </c>
      <c r="T137" s="385">
        <v>2031</v>
      </c>
      <c r="U137" s="385">
        <v>2032</v>
      </c>
      <c r="V137" s="385">
        <v>2033</v>
      </c>
      <c r="W137" s="385">
        <v>2034</v>
      </c>
      <c r="X137" s="385">
        <v>2035</v>
      </c>
      <c r="Y137" s="385">
        <v>2036</v>
      </c>
      <c r="Z137" s="385">
        <v>2037</v>
      </c>
      <c r="AA137" s="385">
        <v>2038</v>
      </c>
      <c r="AB137" s="385">
        <v>2039</v>
      </c>
      <c r="AC137" s="385">
        <v>2040</v>
      </c>
      <c r="AD137" s="385">
        <v>2041</v>
      </c>
      <c r="AE137" s="385">
        <v>2042</v>
      </c>
      <c r="AF137" s="385">
        <v>2043</v>
      </c>
      <c r="AG137" s="385">
        <v>2044</v>
      </c>
      <c r="AH137" s="385">
        <v>2045</v>
      </c>
      <c r="AI137" s="385">
        <v>2046</v>
      </c>
      <c r="AJ137" s="385">
        <v>2047</v>
      </c>
      <c r="AK137" s="385">
        <v>2048</v>
      </c>
      <c r="AL137" s="385">
        <v>2049</v>
      </c>
      <c r="AM137" s="385">
        <v>2050</v>
      </c>
      <c r="AN137" s="385">
        <v>2051</v>
      </c>
      <c r="AO137" s="385">
        <v>2052</v>
      </c>
      <c r="AP137" s="385">
        <v>2053</v>
      </c>
      <c r="AQ137" s="385">
        <v>2054</v>
      </c>
      <c r="AR137" s="385">
        <v>2055</v>
      </c>
      <c r="AS137" s="385">
        <v>2056</v>
      </c>
      <c r="AT137" s="385">
        <v>2057</v>
      </c>
      <c r="AU137" s="385">
        <v>2058</v>
      </c>
      <c r="AV137" s="385">
        <v>2059</v>
      </c>
      <c r="AW137" s="385">
        <v>2060</v>
      </c>
      <c r="AX137" s="385"/>
      <c r="AY137" s="385"/>
    </row>
    <row r="138" spans="13:51">
      <c r="M138" s="385" t="s">
        <v>12</v>
      </c>
      <c r="N138" s="385">
        <v>0</v>
      </c>
      <c r="O138" s="385">
        <v>0</v>
      </c>
      <c r="P138" s="385">
        <v>0</v>
      </c>
      <c r="Q138" s="385">
        <f>'RECEITAS '!$D$37</f>
        <v>1597347.1226391527</v>
      </c>
      <c r="R138" s="385">
        <f>'RECEITAS '!$D$37</f>
        <v>1597347.1226391527</v>
      </c>
      <c r="S138" s="385">
        <f>'RECEITAS '!$D$37</f>
        <v>1597347.1226391527</v>
      </c>
      <c r="T138" s="385">
        <f>'RECEITAS '!$D$37</f>
        <v>1597347.1226391527</v>
      </c>
      <c r="U138" s="385">
        <f>'RECEITAS '!$D$37</f>
        <v>1597347.1226391527</v>
      </c>
      <c r="V138" s="385">
        <f>'RECEITAS '!$D$37</f>
        <v>1597347.1226391527</v>
      </c>
      <c r="W138" s="385">
        <f>'RECEITAS '!$D$37</f>
        <v>1597347.1226391527</v>
      </c>
      <c r="X138" s="385">
        <f>'RECEITAS '!$D$37</f>
        <v>1597347.1226391527</v>
      </c>
      <c r="Y138" s="385">
        <f>'RECEITAS '!$D$37</f>
        <v>1597347.1226391527</v>
      </c>
      <c r="Z138" s="385">
        <f>'RECEITAS '!$D$37</f>
        <v>1597347.1226391527</v>
      </c>
      <c r="AA138" s="385">
        <f>'RECEITAS '!$D$37</f>
        <v>1597347.1226391527</v>
      </c>
      <c r="AB138" s="385">
        <f>'RECEITAS '!$D$37</f>
        <v>1597347.1226391527</v>
      </c>
      <c r="AC138" s="385">
        <f>'RECEITAS '!$D$37</f>
        <v>1597347.1226391527</v>
      </c>
      <c r="AD138" s="385">
        <f>'RECEITAS '!$D$37</f>
        <v>1597347.1226391527</v>
      </c>
      <c r="AE138" s="385">
        <f>'RECEITAS '!$D$37</f>
        <v>1597347.1226391527</v>
      </c>
      <c r="AF138" s="385">
        <f>'RECEITAS '!$D$37</f>
        <v>1597347.1226391527</v>
      </c>
      <c r="AG138" s="385">
        <f>'RECEITAS '!$D$37</f>
        <v>1597347.1226391527</v>
      </c>
      <c r="AH138" s="385">
        <f>'RECEITAS '!$D$37</f>
        <v>1597347.1226391527</v>
      </c>
      <c r="AI138" s="385">
        <f>'RECEITAS '!$D$37</f>
        <v>1597347.1226391527</v>
      </c>
      <c r="AJ138" s="385">
        <f>'RECEITAS '!$D$37</f>
        <v>1597347.1226391527</v>
      </c>
      <c r="AK138" s="385">
        <f>'RECEITAS '!$D$37</f>
        <v>1597347.1226391527</v>
      </c>
      <c r="AL138" s="385">
        <f>'RECEITAS '!$D$37</f>
        <v>1597347.1226391527</v>
      </c>
      <c r="AM138" s="385">
        <f>'RECEITAS '!$D$37</f>
        <v>1597347.1226391527</v>
      </c>
      <c r="AN138" s="385">
        <f>'RECEITAS '!$D$37</f>
        <v>1597347.1226391527</v>
      </c>
      <c r="AO138" s="385">
        <f>'RECEITAS '!$D$37</f>
        <v>1597347.1226391527</v>
      </c>
      <c r="AP138" s="385">
        <f>'RECEITAS '!$D$37</f>
        <v>1597347.1226391527</v>
      </c>
      <c r="AQ138" s="385">
        <f>'RECEITAS '!$D$37</f>
        <v>1597347.1226391527</v>
      </c>
      <c r="AR138" s="385">
        <f>'RECEITAS '!$D$37</f>
        <v>1597347.1226391527</v>
      </c>
      <c r="AS138" s="385">
        <f>'RECEITAS '!$D$37</f>
        <v>1597347.1226391527</v>
      </c>
      <c r="AT138" s="385">
        <f>'RECEITAS '!$D$37</f>
        <v>1597347.1226391527</v>
      </c>
      <c r="AU138" s="385">
        <f>'RECEITAS '!$D$37</f>
        <v>1597347.1226391527</v>
      </c>
      <c r="AV138" s="385">
        <f>'RECEITAS '!$D$37</f>
        <v>1597347.1226391527</v>
      </c>
      <c r="AW138" s="385">
        <f>'RECEITAS '!$D$37</f>
        <v>1597347.1226391527</v>
      </c>
      <c r="AX138" s="385"/>
      <c r="AY138" s="385"/>
    </row>
    <row r="139" spans="13:51">
      <c r="M139" s="385" t="s">
        <v>21</v>
      </c>
      <c r="N139" s="385">
        <v>0</v>
      </c>
      <c r="O139" s="385">
        <v>0</v>
      </c>
      <c r="P139" s="385">
        <v>0</v>
      </c>
      <c r="Q139" s="385">
        <f>'RECEITAS '!$D$72</f>
        <v>1713360</v>
      </c>
      <c r="R139" s="385">
        <f>'RECEITAS '!$D$72</f>
        <v>1713360</v>
      </c>
      <c r="S139" s="385">
        <f>'RECEITAS '!$D$72</f>
        <v>1713360</v>
      </c>
      <c r="T139" s="385">
        <f>'RECEITAS '!$D$72</f>
        <v>1713360</v>
      </c>
      <c r="U139" s="385">
        <f>'RECEITAS '!$D$72</f>
        <v>1713360</v>
      </c>
      <c r="V139" s="385">
        <f>'RECEITAS '!$D$72</f>
        <v>1713360</v>
      </c>
      <c r="W139" s="385">
        <f>'RECEITAS '!$D$72</f>
        <v>1713360</v>
      </c>
      <c r="X139" s="385">
        <f>'RECEITAS '!$D$72</f>
        <v>1713360</v>
      </c>
      <c r="Y139" s="385">
        <f>'RECEITAS '!$D$72</f>
        <v>1713360</v>
      </c>
      <c r="Z139" s="385">
        <f>'RECEITAS '!$D$72</f>
        <v>1713360</v>
      </c>
      <c r="AA139" s="385">
        <f>'RECEITAS '!$D$72</f>
        <v>1713360</v>
      </c>
      <c r="AB139" s="385">
        <f>'RECEITAS '!$D$72</f>
        <v>1713360</v>
      </c>
      <c r="AC139" s="385">
        <f>'RECEITAS '!$D$72</f>
        <v>1713360</v>
      </c>
      <c r="AD139" s="385">
        <f>'RECEITAS '!$D$72</f>
        <v>1713360</v>
      </c>
      <c r="AE139" s="385">
        <f>'RECEITAS '!$D$72</f>
        <v>1713360</v>
      </c>
      <c r="AF139" s="385">
        <f>'RECEITAS '!$D$72</f>
        <v>1713360</v>
      </c>
      <c r="AG139" s="385">
        <f>'RECEITAS '!$D$72</f>
        <v>1713360</v>
      </c>
      <c r="AH139" s="385">
        <f>'RECEITAS '!$D$72</f>
        <v>1713360</v>
      </c>
      <c r="AI139" s="385">
        <f>'RECEITAS '!$D$72</f>
        <v>1713360</v>
      </c>
      <c r="AJ139" s="385">
        <f>'RECEITAS '!$D$72</f>
        <v>1713360</v>
      </c>
      <c r="AK139" s="385">
        <f>'RECEITAS '!$D$72</f>
        <v>1713360</v>
      </c>
      <c r="AL139" s="385">
        <f>'RECEITAS '!$D$72</f>
        <v>1713360</v>
      </c>
      <c r="AM139" s="385">
        <f>'RECEITAS '!$D$72</f>
        <v>1713360</v>
      </c>
      <c r="AN139" s="385">
        <f>'RECEITAS '!$D$72</f>
        <v>1713360</v>
      </c>
      <c r="AO139" s="385">
        <f>'RECEITAS '!$D$72</f>
        <v>1713360</v>
      </c>
      <c r="AP139" s="385">
        <f>'RECEITAS '!$D$72</f>
        <v>1713360</v>
      </c>
      <c r="AQ139" s="385">
        <f>'RECEITAS '!$D$72</f>
        <v>1713360</v>
      </c>
      <c r="AR139" s="385">
        <f>'RECEITAS '!$D$72</f>
        <v>1713360</v>
      </c>
      <c r="AS139" s="385">
        <f>'RECEITAS '!$D$72</f>
        <v>1713360</v>
      </c>
      <c r="AT139" s="385">
        <f>'RECEITAS '!$D$72</f>
        <v>1713360</v>
      </c>
      <c r="AU139" s="385">
        <f>'RECEITAS '!$D$72</f>
        <v>1713360</v>
      </c>
      <c r="AV139" s="385">
        <f>'RECEITAS '!$D$72</f>
        <v>1713360</v>
      </c>
      <c r="AW139" s="385">
        <f>'RECEITAS '!$D$72</f>
        <v>1713360</v>
      </c>
      <c r="AX139" s="385"/>
      <c r="AY139" s="385"/>
    </row>
    <row r="140" spans="13:51">
      <c r="M140" s="385" t="s">
        <v>23</v>
      </c>
      <c r="N140" s="385">
        <v>0</v>
      </c>
      <c r="O140" s="385">
        <v>0</v>
      </c>
      <c r="P140" s="385">
        <v>0</v>
      </c>
      <c r="Q140" s="385">
        <f>'RECEITAS '!$D$100</f>
        <v>437213.14755885396</v>
      </c>
      <c r="R140" s="385">
        <f>'RECEITAS '!$D$100</f>
        <v>437213.14755885396</v>
      </c>
      <c r="S140" s="385">
        <f>'RECEITAS '!$D$100</f>
        <v>437213.14755885396</v>
      </c>
      <c r="T140" s="385">
        <f>'RECEITAS '!$D$100</f>
        <v>437213.14755885396</v>
      </c>
      <c r="U140" s="385">
        <f>'RECEITAS '!$D$100</f>
        <v>437213.14755885396</v>
      </c>
      <c r="V140" s="385">
        <f>'RECEITAS '!$D$100</f>
        <v>437213.14755885396</v>
      </c>
      <c r="W140" s="385">
        <f>'RECEITAS '!$D$100</f>
        <v>437213.14755885396</v>
      </c>
      <c r="X140" s="385">
        <f>'RECEITAS '!$D$100</f>
        <v>437213.14755885396</v>
      </c>
      <c r="Y140" s="385">
        <f>'RECEITAS '!$D$100</f>
        <v>437213.14755885396</v>
      </c>
      <c r="Z140" s="385">
        <f>'RECEITAS '!$D$100</f>
        <v>437213.14755885396</v>
      </c>
      <c r="AA140" s="385">
        <f>'RECEITAS '!$D$100</f>
        <v>437213.14755885396</v>
      </c>
      <c r="AB140" s="385">
        <f>'RECEITAS '!$D$100</f>
        <v>437213.14755885396</v>
      </c>
      <c r="AC140" s="385">
        <f>'RECEITAS '!$D$100</f>
        <v>437213.14755885396</v>
      </c>
      <c r="AD140" s="385">
        <f>'RECEITAS '!$D$100</f>
        <v>437213.14755885396</v>
      </c>
      <c r="AE140" s="385">
        <f>'RECEITAS '!$D$100</f>
        <v>437213.14755885396</v>
      </c>
      <c r="AF140" s="385">
        <f>'RECEITAS '!$D$100</f>
        <v>437213.14755885396</v>
      </c>
      <c r="AG140" s="385">
        <f>'RECEITAS '!$D$100</f>
        <v>437213.14755885396</v>
      </c>
      <c r="AH140" s="385">
        <f>'RECEITAS '!$D$100</f>
        <v>437213.14755885396</v>
      </c>
      <c r="AI140" s="385">
        <f>'RECEITAS '!$D$100</f>
        <v>437213.14755885396</v>
      </c>
      <c r="AJ140" s="385">
        <f>'RECEITAS '!$D$100</f>
        <v>437213.14755885396</v>
      </c>
      <c r="AK140" s="385">
        <f>'RECEITAS '!$D$100</f>
        <v>437213.14755885396</v>
      </c>
      <c r="AL140" s="385">
        <f>'RECEITAS '!$D$100</f>
        <v>437213.14755885396</v>
      </c>
      <c r="AM140" s="385">
        <f>'RECEITAS '!$D$100</f>
        <v>437213.14755885396</v>
      </c>
      <c r="AN140" s="385">
        <f>'RECEITAS '!$D$100</f>
        <v>437213.14755885396</v>
      </c>
      <c r="AO140" s="385">
        <f>'RECEITAS '!$D$100</f>
        <v>437213.14755885396</v>
      </c>
      <c r="AP140" s="385">
        <f>'RECEITAS '!$D$100</f>
        <v>437213.14755885396</v>
      </c>
      <c r="AQ140" s="385">
        <f>'RECEITAS '!$D$100</f>
        <v>437213.14755885396</v>
      </c>
      <c r="AR140" s="385">
        <f>'RECEITAS '!$D$100</f>
        <v>437213.14755885396</v>
      </c>
      <c r="AS140" s="385">
        <f>'RECEITAS '!$D$100</f>
        <v>437213.14755885396</v>
      </c>
      <c r="AT140" s="385">
        <f>'RECEITAS '!$D$100</f>
        <v>437213.14755885396</v>
      </c>
      <c r="AU140" s="385">
        <f>'RECEITAS '!$D$100</f>
        <v>437213.14755885396</v>
      </c>
      <c r="AV140" s="385">
        <f>'RECEITAS '!$D$100</f>
        <v>437213.14755885396</v>
      </c>
      <c r="AW140" s="385">
        <f>'RECEITAS '!$D$100</f>
        <v>437213.14755885396</v>
      </c>
      <c r="AX140" s="385"/>
      <c r="AY140" s="385"/>
    </row>
    <row r="141" spans="13:51">
      <c r="M141" s="385" t="s">
        <v>26</v>
      </c>
      <c r="N141" s="385">
        <v>0</v>
      </c>
      <c r="O141" s="385">
        <v>0</v>
      </c>
      <c r="P141" s="385">
        <v>0</v>
      </c>
      <c r="Q141" s="385">
        <f>'RECEITAS '!$E$301</f>
        <v>105753.40227770073</v>
      </c>
      <c r="R141" s="385">
        <f>'RECEITAS '!$E$301</f>
        <v>105753.40227770073</v>
      </c>
      <c r="S141" s="385">
        <f>'RECEITAS '!$E$301</f>
        <v>105753.40227770073</v>
      </c>
      <c r="T141" s="385">
        <f>'RECEITAS '!$E$301</f>
        <v>105753.40227770073</v>
      </c>
      <c r="U141" s="385">
        <f>'RECEITAS '!$E$301</f>
        <v>105753.40227770073</v>
      </c>
      <c r="V141" s="385">
        <f>'RECEITAS '!$E$301</f>
        <v>105753.40227770073</v>
      </c>
      <c r="W141" s="385">
        <f>'RECEITAS '!$E$301</f>
        <v>105753.40227770073</v>
      </c>
      <c r="X141" s="385">
        <f>'RECEITAS '!$E$301</f>
        <v>105753.40227770073</v>
      </c>
      <c r="Y141" s="385">
        <f>'RECEITAS '!$E$301</f>
        <v>105753.40227770073</v>
      </c>
      <c r="Z141" s="385">
        <f>'RECEITAS '!$E$301</f>
        <v>105753.40227770073</v>
      </c>
      <c r="AA141" s="385">
        <f>'RECEITAS '!$E$301</f>
        <v>105753.40227770073</v>
      </c>
      <c r="AB141" s="385">
        <f>'RECEITAS '!$E$301</f>
        <v>105753.40227770073</v>
      </c>
      <c r="AC141" s="385">
        <f>'RECEITAS '!$E$301</f>
        <v>105753.40227770073</v>
      </c>
      <c r="AD141" s="385">
        <f>'RECEITAS '!$E$301</f>
        <v>105753.40227770073</v>
      </c>
      <c r="AE141" s="385">
        <f>'RECEITAS '!$E$301</f>
        <v>105753.40227770073</v>
      </c>
      <c r="AF141" s="385">
        <f>'RECEITAS '!$E$301</f>
        <v>105753.40227770073</v>
      </c>
      <c r="AG141" s="385">
        <f>'RECEITAS '!$E$301</f>
        <v>105753.40227770073</v>
      </c>
      <c r="AH141" s="385">
        <f>'RECEITAS '!$E$301</f>
        <v>105753.40227770073</v>
      </c>
      <c r="AI141" s="385">
        <f>'RECEITAS '!$E$301</f>
        <v>105753.40227770073</v>
      </c>
      <c r="AJ141" s="385">
        <f>'RECEITAS '!$E$301</f>
        <v>105753.40227770073</v>
      </c>
      <c r="AK141" s="385">
        <f>'RECEITAS '!$E$301</f>
        <v>105753.40227770073</v>
      </c>
      <c r="AL141" s="385">
        <f>'RECEITAS '!$E$301</f>
        <v>105753.40227770073</v>
      </c>
      <c r="AM141" s="385">
        <f>'RECEITAS '!$E$301</f>
        <v>105753.40227770073</v>
      </c>
      <c r="AN141" s="385">
        <f>'RECEITAS '!$E$301</f>
        <v>105753.40227770073</v>
      </c>
      <c r="AO141" s="385">
        <f>'RECEITAS '!$E$301</f>
        <v>105753.40227770073</v>
      </c>
      <c r="AP141" s="385">
        <f>'RECEITAS '!$E$301</f>
        <v>105753.40227770073</v>
      </c>
      <c r="AQ141" s="385">
        <f>'RECEITAS '!$E$301</f>
        <v>105753.40227770073</v>
      </c>
      <c r="AR141" s="385">
        <f>'RECEITAS '!$E$301</f>
        <v>105753.40227770073</v>
      </c>
      <c r="AS141" s="385">
        <f>'RECEITAS '!$E$301</f>
        <v>105753.40227770073</v>
      </c>
      <c r="AT141" s="385">
        <f>'RECEITAS '!$E$301</f>
        <v>105753.40227770073</v>
      </c>
      <c r="AU141" s="385">
        <f>'RECEITAS '!$E$301</f>
        <v>105753.40227770073</v>
      </c>
      <c r="AV141" s="385">
        <f>'RECEITAS '!$E$301</f>
        <v>105753.40227770073</v>
      </c>
      <c r="AW141" s="385">
        <f>'RECEITAS '!$E$301</f>
        <v>105753.40227770073</v>
      </c>
      <c r="AX141" s="385"/>
      <c r="AY141" s="385"/>
    </row>
    <row r="142" spans="13:51">
      <c r="M142" s="385" t="s">
        <v>29</v>
      </c>
      <c r="N142" s="385">
        <v>0</v>
      </c>
      <c r="O142" s="385">
        <v>0</v>
      </c>
      <c r="P142" s="385">
        <v>0</v>
      </c>
      <c r="Q142" s="385">
        <f>'RECEITAS '!$D$14</f>
        <v>1608768</v>
      </c>
      <c r="R142" s="385">
        <f>'RECEITAS '!$D$14</f>
        <v>1608768</v>
      </c>
      <c r="S142" s="385">
        <f>'RECEITAS '!$D$14</f>
        <v>1608768</v>
      </c>
      <c r="T142" s="385">
        <f>'RECEITAS '!$D$14</f>
        <v>1608768</v>
      </c>
      <c r="U142" s="385">
        <f>'RECEITAS '!$D$14</f>
        <v>1608768</v>
      </c>
      <c r="V142" s="385">
        <f>'RECEITAS '!$D$14</f>
        <v>1608768</v>
      </c>
      <c r="W142" s="385">
        <f>'RECEITAS '!$D$14</f>
        <v>1608768</v>
      </c>
      <c r="X142" s="385">
        <f>'RECEITAS '!$D$14</f>
        <v>1608768</v>
      </c>
      <c r="Y142" s="385">
        <f>'RECEITAS '!$D$14</f>
        <v>1608768</v>
      </c>
      <c r="Z142" s="385">
        <f>'RECEITAS '!$D$14</f>
        <v>1608768</v>
      </c>
      <c r="AA142" s="385">
        <f>'RECEITAS '!$D$14</f>
        <v>1608768</v>
      </c>
      <c r="AB142" s="385">
        <f>'RECEITAS '!$D$14</f>
        <v>1608768</v>
      </c>
      <c r="AC142" s="385">
        <f>'RECEITAS '!$D$14</f>
        <v>1608768</v>
      </c>
      <c r="AD142" s="385">
        <f>'RECEITAS '!$D$14</f>
        <v>1608768</v>
      </c>
      <c r="AE142" s="385">
        <f>'RECEITAS '!$D$14</f>
        <v>1608768</v>
      </c>
      <c r="AF142" s="385">
        <f>'RECEITAS '!$D$14</f>
        <v>1608768</v>
      </c>
      <c r="AG142" s="385">
        <f>'RECEITAS '!$D$14</f>
        <v>1608768</v>
      </c>
      <c r="AH142" s="385">
        <f>'RECEITAS '!$D$14</f>
        <v>1608768</v>
      </c>
      <c r="AI142" s="385">
        <f>'RECEITAS '!$D$14</f>
        <v>1608768</v>
      </c>
      <c r="AJ142" s="385">
        <f>'RECEITAS '!$D$14</f>
        <v>1608768</v>
      </c>
      <c r="AK142" s="385">
        <f>'RECEITAS '!$D$14</f>
        <v>1608768</v>
      </c>
      <c r="AL142" s="385">
        <f>'RECEITAS '!$D$14</f>
        <v>1608768</v>
      </c>
      <c r="AM142" s="385">
        <f>'RECEITAS '!$D$14</f>
        <v>1608768</v>
      </c>
      <c r="AN142" s="385">
        <f>'RECEITAS '!$D$14</f>
        <v>1608768</v>
      </c>
      <c r="AO142" s="385">
        <f>'RECEITAS '!$D$14</f>
        <v>1608768</v>
      </c>
      <c r="AP142" s="385">
        <f>'RECEITAS '!$D$14</f>
        <v>1608768</v>
      </c>
      <c r="AQ142" s="385">
        <f>'RECEITAS '!$D$14</f>
        <v>1608768</v>
      </c>
      <c r="AR142" s="385">
        <f>'RECEITAS '!$D$14</f>
        <v>1608768</v>
      </c>
      <c r="AS142" s="385">
        <f>'RECEITAS '!$D$14</f>
        <v>1608768</v>
      </c>
      <c r="AT142" s="385">
        <f>'RECEITAS '!$D$14</f>
        <v>1608768</v>
      </c>
      <c r="AU142" s="385">
        <f>'RECEITAS '!$D$14</f>
        <v>1608768</v>
      </c>
      <c r="AV142" s="385">
        <f>'RECEITAS '!$D$14</f>
        <v>1608768</v>
      </c>
      <c r="AW142" s="385">
        <f>'RECEITAS '!$D$14</f>
        <v>1608768</v>
      </c>
      <c r="AX142" s="385"/>
      <c r="AY142" s="385"/>
    </row>
    <row r="143" spans="13:51">
      <c r="M143" s="385" t="s">
        <v>32</v>
      </c>
      <c r="N143" s="385">
        <v>0</v>
      </c>
      <c r="O143" s="385">
        <v>0</v>
      </c>
      <c r="P143" s="385">
        <v>0</v>
      </c>
      <c r="Q143" s="385">
        <f>'RECEITAS '!$D$145</f>
        <v>690098.12903575995</v>
      </c>
      <c r="R143" s="385">
        <f>'RECEITAS '!$D$145</f>
        <v>690098.12903575995</v>
      </c>
      <c r="S143" s="385">
        <f>'RECEITAS '!$D$145</f>
        <v>690098.12903575995</v>
      </c>
      <c r="T143" s="385">
        <f>'RECEITAS '!$D$145</f>
        <v>690098.12903575995</v>
      </c>
      <c r="U143" s="385">
        <f>'RECEITAS '!$D$145</f>
        <v>690098.12903575995</v>
      </c>
      <c r="V143" s="385">
        <f>'RECEITAS '!$D$145</f>
        <v>690098.12903575995</v>
      </c>
      <c r="W143" s="385">
        <f>'RECEITAS '!$D$145</f>
        <v>690098.12903575995</v>
      </c>
      <c r="X143" s="385">
        <f>'RECEITAS '!$D$145</f>
        <v>690098.12903575995</v>
      </c>
      <c r="Y143" s="385">
        <f>'RECEITAS '!$D$145</f>
        <v>690098.12903575995</v>
      </c>
      <c r="Z143" s="385">
        <f>'RECEITAS '!$D$145</f>
        <v>690098.12903575995</v>
      </c>
      <c r="AA143" s="385">
        <f>'RECEITAS '!$D$145</f>
        <v>690098.12903575995</v>
      </c>
      <c r="AB143" s="385">
        <f>'RECEITAS '!$D$145</f>
        <v>690098.12903575995</v>
      </c>
      <c r="AC143" s="385">
        <f>'RECEITAS '!$D$145</f>
        <v>690098.12903575995</v>
      </c>
      <c r="AD143" s="385">
        <f>'RECEITAS '!$D$145</f>
        <v>690098.12903575995</v>
      </c>
      <c r="AE143" s="385">
        <f>'RECEITAS '!$D$145</f>
        <v>690098.12903575995</v>
      </c>
      <c r="AF143" s="385">
        <f>'RECEITAS '!$D$145</f>
        <v>690098.12903575995</v>
      </c>
      <c r="AG143" s="385">
        <f>'RECEITAS '!$D$145</f>
        <v>690098.12903575995</v>
      </c>
      <c r="AH143" s="385">
        <f>'RECEITAS '!$D$145</f>
        <v>690098.12903575995</v>
      </c>
      <c r="AI143" s="385">
        <f>'RECEITAS '!$D$145</f>
        <v>690098.12903575995</v>
      </c>
      <c r="AJ143" s="385">
        <f>'RECEITAS '!$D$145</f>
        <v>690098.12903575995</v>
      </c>
      <c r="AK143" s="385">
        <f>'RECEITAS '!$D$145</f>
        <v>690098.12903575995</v>
      </c>
      <c r="AL143" s="385">
        <f>'RECEITAS '!$D$145</f>
        <v>690098.12903575995</v>
      </c>
      <c r="AM143" s="385">
        <f>'RECEITAS '!$D$145</f>
        <v>690098.12903575995</v>
      </c>
      <c r="AN143" s="385">
        <f>'RECEITAS '!$D$145</f>
        <v>690098.12903575995</v>
      </c>
      <c r="AO143" s="385">
        <f>'RECEITAS '!$D$145</f>
        <v>690098.12903575995</v>
      </c>
      <c r="AP143" s="385">
        <f>'RECEITAS '!$D$145</f>
        <v>690098.12903575995</v>
      </c>
      <c r="AQ143" s="385">
        <f>'RECEITAS '!$D$145</f>
        <v>690098.12903575995</v>
      </c>
      <c r="AR143" s="385">
        <f>'RECEITAS '!$D$145</f>
        <v>690098.12903575995</v>
      </c>
      <c r="AS143" s="385">
        <f>'RECEITAS '!$D$145</f>
        <v>690098.12903575995</v>
      </c>
      <c r="AT143" s="385">
        <f>'RECEITAS '!$D$145</f>
        <v>690098.12903575995</v>
      </c>
      <c r="AU143" s="385">
        <f>'RECEITAS '!$D$145</f>
        <v>690098.12903575995</v>
      </c>
      <c r="AV143" s="385">
        <f>'RECEITAS '!$D$145</f>
        <v>690098.12903575995</v>
      </c>
      <c r="AW143" s="385">
        <f>'RECEITAS '!$D$145</f>
        <v>690098.12903575995</v>
      </c>
      <c r="AX143" s="385"/>
      <c r="AY143" s="385"/>
    </row>
    <row r="144" spans="13:51">
      <c r="M144" s="385" t="s">
        <v>35</v>
      </c>
      <c r="N144" s="385">
        <v>0</v>
      </c>
      <c r="O144" s="385">
        <v>0</v>
      </c>
      <c r="P144" s="385">
        <v>0</v>
      </c>
      <c r="Q144" s="385">
        <f>'RECEITAS '!$D$185</f>
        <v>145741.88413566441</v>
      </c>
      <c r="R144" s="385">
        <f>'RECEITAS '!$D$185</f>
        <v>145741.88413566441</v>
      </c>
      <c r="S144" s="385">
        <f>'RECEITAS '!$D$185</f>
        <v>145741.88413566441</v>
      </c>
      <c r="T144" s="385">
        <f>'RECEITAS '!$D$185</f>
        <v>145741.88413566441</v>
      </c>
      <c r="U144" s="385">
        <f>'RECEITAS '!$D$185</f>
        <v>145741.88413566441</v>
      </c>
      <c r="V144" s="385">
        <f>'RECEITAS '!$D$185</f>
        <v>145741.88413566441</v>
      </c>
      <c r="W144" s="385">
        <f>'RECEITAS '!$D$185</f>
        <v>145741.88413566441</v>
      </c>
      <c r="X144" s="385">
        <f>'RECEITAS '!$D$185</f>
        <v>145741.88413566441</v>
      </c>
      <c r="Y144" s="385">
        <f>'RECEITAS '!$D$185</f>
        <v>145741.88413566441</v>
      </c>
      <c r="Z144" s="385">
        <f>'RECEITAS '!$D$185</f>
        <v>145741.88413566441</v>
      </c>
      <c r="AA144" s="385">
        <f>'RECEITAS '!$D$185</f>
        <v>145741.88413566441</v>
      </c>
      <c r="AB144" s="385">
        <f>'RECEITAS '!$D$185</f>
        <v>145741.88413566441</v>
      </c>
      <c r="AC144" s="385">
        <f>'RECEITAS '!$D$185</f>
        <v>145741.88413566441</v>
      </c>
      <c r="AD144" s="385">
        <f>'RECEITAS '!$D$185</f>
        <v>145741.88413566441</v>
      </c>
      <c r="AE144" s="385">
        <f>'RECEITAS '!$D$185</f>
        <v>145741.88413566441</v>
      </c>
      <c r="AF144" s="385">
        <f>'RECEITAS '!$D$185</f>
        <v>145741.88413566441</v>
      </c>
      <c r="AG144" s="385">
        <f>'RECEITAS '!$D$185</f>
        <v>145741.88413566441</v>
      </c>
      <c r="AH144" s="385">
        <f>'RECEITAS '!$D$185</f>
        <v>145741.88413566441</v>
      </c>
      <c r="AI144" s="385">
        <f>'RECEITAS '!$D$185</f>
        <v>145741.88413566441</v>
      </c>
      <c r="AJ144" s="385">
        <f>'RECEITAS '!$D$185</f>
        <v>145741.88413566441</v>
      </c>
      <c r="AK144" s="385">
        <f>'RECEITAS '!$D$185</f>
        <v>145741.88413566441</v>
      </c>
      <c r="AL144" s="385">
        <f>'RECEITAS '!$D$185</f>
        <v>145741.88413566441</v>
      </c>
      <c r="AM144" s="385">
        <f>'RECEITAS '!$D$185</f>
        <v>145741.88413566441</v>
      </c>
      <c r="AN144" s="385">
        <f>'RECEITAS '!$D$185</f>
        <v>145741.88413566441</v>
      </c>
      <c r="AO144" s="385">
        <f>'RECEITAS '!$D$185</f>
        <v>145741.88413566441</v>
      </c>
      <c r="AP144" s="385">
        <f>'RECEITAS '!$D$185</f>
        <v>145741.88413566441</v>
      </c>
      <c r="AQ144" s="385">
        <f>'RECEITAS '!$D$185</f>
        <v>145741.88413566441</v>
      </c>
      <c r="AR144" s="385">
        <f>'RECEITAS '!$D$185</f>
        <v>145741.88413566441</v>
      </c>
      <c r="AS144" s="385">
        <f>'RECEITAS '!$D$185</f>
        <v>145741.88413566441</v>
      </c>
      <c r="AT144" s="385">
        <f>'RECEITAS '!$D$185</f>
        <v>145741.88413566441</v>
      </c>
      <c r="AU144" s="385">
        <f>'RECEITAS '!$D$185</f>
        <v>145741.88413566441</v>
      </c>
      <c r="AV144" s="385">
        <f>'RECEITAS '!$D$185</f>
        <v>145741.88413566441</v>
      </c>
      <c r="AW144" s="385">
        <f>'RECEITAS '!$D$185</f>
        <v>145741.88413566441</v>
      </c>
      <c r="AX144" s="385"/>
      <c r="AY144" s="385"/>
    </row>
    <row r="145" spans="13:51">
      <c r="M145" s="385" t="s">
        <v>38</v>
      </c>
      <c r="N145" s="385">
        <v>0</v>
      </c>
      <c r="O145" s="385">
        <v>0</v>
      </c>
      <c r="P145" s="385">
        <v>0</v>
      </c>
      <c r="Q145" s="385">
        <f>'RECEITAS '!$D$217</f>
        <v>484727.19094532356</v>
      </c>
      <c r="R145" s="385">
        <f>'RECEITAS '!$D$217</f>
        <v>484727.19094532356</v>
      </c>
      <c r="S145" s="385">
        <f>'RECEITAS '!$D$217</f>
        <v>484727.19094532356</v>
      </c>
      <c r="T145" s="385">
        <f>'RECEITAS '!$D$217</f>
        <v>484727.19094532356</v>
      </c>
      <c r="U145" s="385">
        <f>'RECEITAS '!$D$217</f>
        <v>484727.19094532356</v>
      </c>
      <c r="V145" s="385">
        <f>'RECEITAS '!$D$217</f>
        <v>484727.19094532356</v>
      </c>
      <c r="W145" s="385">
        <f>'RECEITAS '!$D$217</f>
        <v>484727.19094532356</v>
      </c>
      <c r="X145" s="385">
        <f>'RECEITAS '!$D$217</f>
        <v>484727.19094532356</v>
      </c>
      <c r="Y145" s="385">
        <f>'RECEITAS '!$D$217</f>
        <v>484727.19094532356</v>
      </c>
      <c r="Z145" s="385">
        <f>'RECEITAS '!$D$217</f>
        <v>484727.19094532356</v>
      </c>
      <c r="AA145" s="385">
        <f>'RECEITAS '!$D$217</f>
        <v>484727.19094532356</v>
      </c>
      <c r="AB145" s="385">
        <f>'RECEITAS '!$D$217</f>
        <v>484727.19094532356</v>
      </c>
      <c r="AC145" s="385">
        <f>'RECEITAS '!$D$217</f>
        <v>484727.19094532356</v>
      </c>
      <c r="AD145" s="385">
        <f>'RECEITAS '!$D$217</f>
        <v>484727.19094532356</v>
      </c>
      <c r="AE145" s="385">
        <f>'RECEITAS '!$D$217</f>
        <v>484727.19094532356</v>
      </c>
      <c r="AF145" s="385">
        <f>'RECEITAS '!$D$217</f>
        <v>484727.19094532356</v>
      </c>
      <c r="AG145" s="385">
        <f>'RECEITAS '!$D$217</f>
        <v>484727.19094532356</v>
      </c>
      <c r="AH145" s="385">
        <f>'RECEITAS '!$D$217</f>
        <v>484727.19094532356</v>
      </c>
      <c r="AI145" s="385">
        <f>'RECEITAS '!$D$217</f>
        <v>484727.19094532356</v>
      </c>
      <c r="AJ145" s="385">
        <f>'RECEITAS '!$D$217</f>
        <v>484727.19094532356</v>
      </c>
      <c r="AK145" s="385">
        <f>'RECEITAS '!$D$217</f>
        <v>484727.19094532356</v>
      </c>
      <c r="AL145" s="385">
        <f>'RECEITAS '!$D$217</f>
        <v>484727.19094532356</v>
      </c>
      <c r="AM145" s="385">
        <f>'RECEITAS '!$D$217</f>
        <v>484727.19094532356</v>
      </c>
      <c r="AN145" s="385">
        <f>'RECEITAS '!$D$217</f>
        <v>484727.19094532356</v>
      </c>
      <c r="AO145" s="385">
        <f>'RECEITAS '!$D$217</f>
        <v>484727.19094532356</v>
      </c>
      <c r="AP145" s="385">
        <f>'RECEITAS '!$D$217</f>
        <v>484727.19094532356</v>
      </c>
      <c r="AQ145" s="385">
        <f>'RECEITAS '!$D$217</f>
        <v>484727.19094532356</v>
      </c>
      <c r="AR145" s="385">
        <f>'RECEITAS '!$D$217</f>
        <v>484727.19094532356</v>
      </c>
      <c r="AS145" s="385">
        <f>'RECEITAS '!$D$217</f>
        <v>484727.19094532356</v>
      </c>
      <c r="AT145" s="385">
        <f>'RECEITAS '!$D$217</f>
        <v>484727.19094532356</v>
      </c>
      <c r="AU145" s="385">
        <f>'RECEITAS '!$D$217</f>
        <v>484727.19094532356</v>
      </c>
      <c r="AV145" s="385">
        <f>'RECEITAS '!$D$217</f>
        <v>484727.19094532356</v>
      </c>
      <c r="AW145" s="385">
        <f>'RECEITAS '!$D$217</f>
        <v>484727.19094532356</v>
      </c>
      <c r="AX145" s="385"/>
      <c r="AY145" s="385"/>
    </row>
    <row r="146" spans="13:51">
      <c r="M146" s="385" t="s">
        <v>40</v>
      </c>
      <c r="N146" s="385">
        <v>0</v>
      </c>
      <c r="O146" s="385">
        <v>0</v>
      </c>
      <c r="P146" s="385">
        <v>0</v>
      </c>
      <c r="Q146" s="385">
        <f>'RECEITAS '!$D$237</f>
        <v>436156.18803437299</v>
      </c>
      <c r="R146" s="385">
        <f>'RECEITAS '!$D$237</f>
        <v>436156.18803437299</v>
      </c>
      <c r="S146" s="385">
        <f>'RECEITAS '!$D$237</f>
        <v>436156.18803437299</v>
      </c>
      <c r="T146" s="385">
        <f>'RECEITAS '!$D$237</f>
        <v>436156.18803437299</v>
      </c>
      <c r="U146" s="385">
        <f>'RECEITAS '!$D$237</f>
        <v>436156.18803437299</v>
      </c>
      <c r="V146" s="385">
        <f>'RECEITAS '!$D$237</f>
        <v>436156.18803437299</v>
      </c>
      <c r="W146" s="385">
        <f>'RECEITAS '!$D$237</f>
        <v>436156.18803437299</v>
      </c>
      <c r="X146" s="385">
        <f>'RECEITAS '!$D$237</f>
        <v>436156.18803437299</v>
      </c>
      <c r="Y146" s="385">
        <f>'RECEITAS '!$D$237</f>
        <v>436156.18803437299</v>
      </c>
      <c r="Z146" s="385">
        <f>'RECEITAS '!$D$237</f>
        <v>436156.18803437299</v>
      </c>
      <c r="AA146" s="385">
        <f>'RECEITAS '!$D$237</f>
        <v>436156.18803437299</v>
      </c>
      <c r="AB146" s="385">
        <f>'RECEITAS '!$D$237</f>
        <v>436156.18803437299</v>
      </c>
      <c r="AC146" s="385">
        <f>'RECEITAS '!$D$237</f>
        <v>436156.18803437299</v>
      </c>
      <c r="AD146" s="385">
        <f>'RECEITAS '!$D$237</f>
        <v>436156.18803437299</v>
      </c>
      <c r="AE146" s="385">
        <f>'RECEITAS '!$D$237</f>
        <v>436156.18803437299</v>
      </c>
      <c r="AF146" s="385">
        <f>'RECEITAS '!$D$237</f>
        <v>436156.18803437299</v>
      </c>
      <c r="AG146" s="385">
        <f>'RECEITAS '!$D$237</f>
        <v>436156.18803437299</v>
      </c>
      <c r="AH146" s="385">
        <f>'RECEITAS '!$D$237</f>
        <v>436156.18803437299</v>
      </c>
      <c r="AI146" s="385">
        <f>'RECEITAS '!$D$237</f>
        <v>436156.18803437299</v>
      </c>
      <c r="AJ146" s="385">
        <f>'RECEITAS '!$D$237</f>
        <v>436156.18803437299</v>
      </c>
      <c r="AK146" s="385">
        <f>'RECEITAS '!$D$237</f>
        <v>436156.18803437299</v>
      </c>
      <c r="AL146" s="385">
        <f>'RECEITAS '!$D$237</f>
        <v>436156.18803437299</v>
      </c>
      <c r="AM146" s="385">
        <f>'RECEITAS '!$D$237</f>
        <v>436156.18803437299</v>
      </c>
      <c r="AN146" s="385">
        <f>'RECEITAS '!$D$237</f>
        <v>436156.18803437299</v>
      </c>
      <c r="AO146" s="385">
        <f>'RECEITAS '!$D$237</f>
        <v>436156.18803437299</v>
      </c>
      <c r="AP146" s="385">
        <f>'RECEITAS '!$D$237</f>
        <v>436156.18803437299</v>
      </c>
      <c r="AQ146" s="385">
        <f>'RECEITAS '!$D$237</f>
        <v>436156.18803437299</v>
      </c>
      <c r="AR146" s="385">
        <f>'RECEITAS '!$D$237</f>
        <v>436156.18803437299</v>
      </c>
      <c r="AS146" s="385">
        <f>'RECEITAS '!$D$237</f>
        <v>436156.18803437299</v>
      </c>
      <c r="AT146" s="385">
        <f>'RECEITAS '!$D$237</f>
        <v>436156.18803437299</v>
      </c>
      <c r="AU146" s="385">
        <f>'RECEITAS '!$D$237</f>
        <v>436156.18803437299</v>
      </c>
      <c r="AV146" s="385">
        <f>'RECEITAS '!$D$237</f>
        <v>436156.18803437299</v>
      </c>
      <c r="AW146" s="385">
        <f>'RECEITAS '!$D$237</f>
        <v>436156.18803437299</v>
      </c>
      <c r="AX146" s="385"/>
      <c r="AY146" s="385"/>
    </row>
    <row r="147" spans="13:51">
      <c r="M147" s="385" t="s">
        <v>42</v>
      </c>
      <c r="N147" s="385">
        <v>0</v>
      </c>
      <c r="O147" s="385">
        <v>0</v>
      </c>
      <c r="P147" s="385">
        <v>0</v>
      </c>
      <c r="Q147" s="385">
        <f>'RECEITAS '!$D$271</f>
        <v>284400.21774158976</v>
      </c>
      <c r="R147" s="385">
        <f>'RECEITAS '!$D$271</f>
        <v>284400.21774158976</v>
      </c>
      <c r="S147" s="385">
        <f>'RECEITAS '!$D$271</f>
        <v>284400.21774158976</v>
      </c>
      <c r="T147" s="385">
        <f>'RECEITAS '!$D$271</f>
        <v>284400.21774158976</v>
      </c>
      <c r="U147" s="385">
        <f>'RECEITAS '!$D$271</f>
        <v>284400.21774158976</v>
      </c>
      <c r="V147" s="385">
        <f>'RECEITAS '!$D$271</f>
        <v>284400.21774158976</v>
      </c>
      <c r="W147" s="385">
        <f>'RECEITAS '!$D$271</f>
        <v>284400.21774158976</v>
      </c>
      <c r="X147" s="385">
        <f>'RECEITAS '!$D$271</f>
        <v>284400.21774158976</v>
      </c>
      <c r="Y147" s="385">
        <f>'RECEITAS '!$D$271</f>
        <v>284400.21774158976</v>
      </c>
      <c r="Z147" s="385">
        <f>'RECEITAS '!$D$271</f>
        <v>284400.21774158976</v>
      </c>
      <c r="AA147" s="385">
        <f>'RECEITAS '!$D$271</f>
        <v>284400.21774158976</v>
      </c>
      <c r="AB147" s="385">
        <f>'RECEITAS '!$D$271</f>
        <v>284400.21774158976</v>
      </c>
      <c r="AC147" s="385">
        <f>'RECEITAS '!$D$271</f>
        <v>284400.21774158976</v>
      </c>
      <c r="AD147" s="385">
        <f>'RECEITAS '!$D$271</f>
        <v>284400.21774158976</v>
      </c>
      <c r="AE147" s="385">
        <f>'RECEITAS '!$D$271</f>
        <v>284400.21774158976</v>
      </c>
      <c r="AF147" s="385">
        <f>'RECEITAS '!$D$271</f>
        <v>284400.21774158976</v>
      </c>
      <c r="AG147" s="385">
        <f>'RECEITAS '!$D$271</f>
        <v>284400.21774158976</v>
      </c>
      <c r="AH147" s="385">
        <f>'RECEITAS '!$D$271</f>
        <v>284400.21774158976</v>
      </c>
      <c r="AI147" s="385">
        <f>'RECEITAS '!$D$271</f>
        <v>284400.21774158976</v>
      </c>
      <c r="AJ147" s="385">
        <f>'RECEITAS '!$D$271</f>
        <v>284400.21774158976</v>
      </c>
      <c r="AK147" s="385">
        <f>'RECEITAS '!$D$271</f>
        <v>284400.21774158976</v>
      </c>
      <c r="AL147" s="385">
        <f>'RECEITAS '!$D$271</f>
        <v>284400.21774158976</v>
      </c>
      <c r="AM147" s="385">
        <f>'RECEITAS '!$D$271</f>
        <v>284400.21774158976</v>
      </c>
      <c r="AN147" s="385">
        <f>'RECEITAS '!$D$271</f>
        <v>284400.21774158976</v>
      </c>
      <c r="AO147" s="385">
        <f>'RECEITAS '!$D$271</f>
        <v>284400.21774158976</v>
      </c>
      <c r="AP147" s="385">
        <f>'RECEITAS '!$D$271</f>
        <v>284400.21774158976</v>
      </c>
      <c r="AQ147" s="385">
        <f>'RECEITAS '!$D$271</f>
        <v>284400.21774158976</v>
      </c>
      <c r="AR147" s="385">
        <f>'RECEITAS '!$D$271</f>
        <v>284400.21774158976</v>
      </c>
      <c r="AS147" s="385">
        <f>'RECEITAS '!$D$271</f>
        <v>284400.21774158976</v>
      </c>
      <c r="AT147" s="385">
        <f>'RECEITAS '!$D$271</f>
        <v>284400.21774158976</v>
      </c>
      <c r="AU147" s="385">
        <f>'RECEITAS '!$D$271</f>
        <v>284400.21774158976</v>
      </c>
      <c r="AV147" s="385">
        <f>'RECEITAS '!$D$271</f>
        <v>284400.21774158976</v>
      </c>
      <c r="AW147" s="385">
        <f>'RECEITAS '!$D$271</f>
        <v>284400.21774158976</v>
      </c>
      <c r="AX147" s="385"/>
      <c r="AY147" s="385"/>
    </row>
    <row r="148" spans="13:51">
      <c r="M148" s="385"/>
      <c r="N148" s="385"/>
      <c r="O148" s="385"/>
      <c r="P148" s="385"/>
      <c r="Q148" s="385"/>
      <c r="R148" s="385"/>
      <c r="S148" s="385"/>
      <c r="T148" s="385"/>
      <c r="U148" s="385"/>
      <c r="V148" s="385"/>
      <c r="W148" s="385"/>
      <c r="X148" s="385"/>
      <c r="Y148" s="385"/>
      <c r="Z148" s="385"/>
      <c r="AA148" s="385"/>
      <c r="AB148" s="385"/>
      <c r="AC148" s="385"/>
      <c r="AD148" s="385"/>
      <c r="AE148" s="385"/>
      <c r="AF148" s="385"/>
      <c r="AG148" s="385"/>
      <c r="AH148" s="385"/>
      <c r="AI148" s="385"/>
      <c r="AJ148" s="385"/>
      <c r="AK148" s="385"/>
      <c r="AL148" s="385"/>
      <c r="AM148" s="385"/>
      <c r="AN148" s="385"/>
      <c r="AO148" s="385"/>
      <c r="AP148" s="385"/>
      <c r="AQ148" s="385"/>
      <c r="AR148" s="385"/>
      <c r="AS148" s="385"/>
      <c r="AT148" s="385"/>
      <c r="AU148" s="385"/>
      <c r="AV148" s="385"/>
      <c r="AW148" s="385"/>
      <c r="AX148" s="385"/>
      <c r="AY148" s="385"/>
    </row>
    <row r="149" spans="13:51">
      <c r="M149" s="385"/>
      <c r="N149" s="385"/>
      <c r="O149" s="385"/>
      <c r="P149" s="385"/>
      <c r="Q149" s="385"/>
      <c r="R149" s="385"/>
      <c r="S149" s="385"/>
      <c r="T149" s="385"/>
      <c r="U149" s="385"/>
      <c r="V149" s="385"/>
      <c r="W149" s="385"/>
      <c r="X149" s="385"/>
      <c r="Y149" s="385"/>
      <c r="Z149" s="385"/>
      <c r="AA149" s="385"/>
      <c r="AB149" s="385"/>
      <c r="AC149" s="385"/>
      <c r="AD149" s="385"/>
      <c r="AE149" s="385"/>
      <c r="AF149" s="385"/>
      <c r="AG149" s="385"/>
      <c r="AH149" s="385"/>
      <c r="AI149" s="385"/>
      <c r="AJ149" s="385"/>
      <c r="AK149" s="385"/>
      <c r="AL149" s="385"/>
      <c r="AM149" s="385"/>
      <c r="AN149" s="385"/>
      <c r="AO149" s="385"/>
      <c r="AP149" s="385"/>
      <c r="AQ149" s="385"/>
      <c r="AR149" s="385"/>
      <c r="AS149" s="385"/>
      <c r="AT149" s="385"/>
      <c r="AU149" s="385"/>
      <c r="AV149" s="385"/>
      <c r="AW149" s="385"/>
      <c r="AX149" s="385"/>
      <c r="AY149" s="385"/>
    </row>
    <row r="150" spans="13:51">
      <c r="M150" s="385"/>
      <c r="N150" s="385"/>
      <c r="O150" s="385"/>
      <c r="P150" s="385"/>
      <c r="Q150" s="385"/>
      <c r="R150" s="385"/>
      <c r="S150" s="385"/>
      <c r="T150" s="385"/>
      <c r="U150" s="385"/>
      <c r="V150" s="385"/>
      <c r="W150" s="385"/>
      <c r="X150" s="385"/>
      <c r="Y150" s="385"/>
      <c r="Z150" s="385"/>
      <c r="AA150" s="385"/>
      <c r="AB150" s="385"/>
      <c r="AC150" s="385"/>
      <c r="AD150" s="385"/>
      <c r="AE150" s="385"/>
      <c r="AF150" s="385"/>
      <c r="AG150" s="385"/>
      <c r="AH150" s="385"/>
      <c r="AI150" s="385"/>
      <c r="AJ150" s="385"/>
      <c r="AK150" s="385"/>
      <c r="AL150" s="385"/>
      <c r="AM150" s="385"/>
      <c r="AN150" s="385"/>
      <c r="AO150" s="385"/>
      <c r="AP150" s="385"/>
      <c r="AQ150" s="385"/>
      <c r="AR150" s="385"/>
      <c r="AS150" s="385"/>
      <c r="AT150" s="385"/>
      <c r="AU150" s="385"/>
      <c r="AV150" s="385"/>
      <c r="AW150" s="385"/>
      <c r="AX150" s="385"/>
      <c r="AY150" s="385"/>
    </row>
  </sheetData>
  <phoneticPr fontId="69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1DB40-EA98-4303-9374-6474432062D4}">
  <dimension ref="D4:AM55"/>
  <sheetViews>
    <sheetView topLeftCell="A34" workbookViewId="0">
      <selection activeCell="D43" sqref="D43:K55"/>
    </sheetView>
  </sheetViews>
  <sheetFormatPr defaultRowHeight="14.45"/>
  <cols>
    <col min="4" max="4" width="31.7109375" bestFit="1" customWidth="1"/>
    <col min="5" max="6" width="12.28515625" bestFit="1" customWidth="1"/>
    <col min="7" max="39" width="14.28515625" bestFit="1" customWidth="1"/>
  </cols>
  <sheetData>
    <row r="4" spans="4:39" ht="15" thickBot="1"/>
    <row r="5" spans="4:39" ht="15" thickBot="1">
      <c r="D5" s="294" t="s">
        <v>89</v>
      </c>
      <c r="E5" s="340">
        <f>DFs!F5</f>
        <v>1</v>
      </c>
      <c r="F5" s="340">
        <f>DFs!G5</f>
        <v>2</v>
      </c>
      <c r="G5" s="340">
        <f>DFs!H5</f>
        <v>3</v>
      </c>
      <c r="H5" s="340">
        <f>DFs!I5</f>
        <v>4</v>
      </c>
      <c r="I5" s="340">
        <f>DFs!J5</f>
        <v>5</v>
      </c>
      <c r="J5" s="340">
        <f>DFs!K5</f>
        <v>6</v>
      </c>
      <c r="K5" s="340">
        <f>DFs!L5</f>
        <v>7</v>
      </c>
      <c r="L5" s="340">
        <f>DFs!M5</f>
        <v>8</v>
      </c>
      <c r="M5" s="340">
        <f>DFs!N5</f>
        <v>9</v>
      </c>
      <c r="N5" s="340">
        <f>DFs!O5</f>
        <v>10</v>
      </c>
      <c r="O5" s="340">
        <f>DFs!P5</f>
        <v>11</v>
      </c>
      <c r="P5" s="340">
        <f>DFs!Q5</f>
        <v>12</v>
      </c>
      <c r="Q5" s="340">
        <f>DFs!R5</f>
        <v>13</v>
      </c>
      <c r="R5" s="340">
        <f>DFs!S5</f>
        <v>14</v>
      </c>
      <c r="S5" s="340">
        <f>DFs!T5</f>
        <v>15</v>
      </c>
      <c r="T5" s="340">
        <f>DFs!U5</f>
        <v>16</v>
      </c>
      <c r="U5" s="340">
        <f>DFs!V5</f>
        <v>17</v>
      </c>
      <c r="V5" s="340">
        <f>DFs!W5</f>
        <v>18</v>
      </c>
      <c r="W5" s="340">
        <f>DFs!X5</f>
        <v>19</v>
      </c>
      <c r="X5" s="340">
        <f>DFs!Y5</f>
        <v>20</v>
      </c>
      <c r="Y5" s="340">
        <f>DFs!Z5</f>
        <v>21</v>
      </c>
      <c r="Z5" s="340">
        <f>DFs!AA5</f>
        <v>22</v>
      </c>
      <c r="AA5" s="340">
        <f>DFs!AB5</f>
        <v>23</v>
      </c>
      <c r="AB5" s="340">
        <f>DFs!AC5</f>
        <v>24</v>
      </c>
      <c r="AC5" s="340">
        <f>DFs!AD5</f>
        <v>25</v>
      </c>
      <c r="AD5" s="340">
        <f>DFs!AE5</f>
        <v>26</v>
      </c>
      <c r="AE5" s="340">
        <f>DFs!AF5</f>
        <v>27</v>
      </c>
      <c r="AF5" s="340">
        <f>DFs!AG5</f>
        <v>28</v>
      </c>
      <c r="AG5" s="340">
        <f>DFs!AH5</f>
        <v>29</v>
      </c>
      <c r="AH5" s="340">
        <f>DFs!AI5</f>
        <v>30</v>
      </c>
      <c r="AI5" s="340">
        <f>DFs!AJ5</f>
        <v>31</v>
      </c>
      <c r="AJ5" s="340">
        <f>DFs!AK5</f>
        <v>32</v>
      </c>
      <c r="AK5" s="340">
        <f>DFs!AL5</f>
        <v>33</v>
      </c>
      <c r="AL5" s="340">
        <f>DFs!AM5</f>
        <v>34</v>
      </c>
      <c r="AM5" s="340">
        <f>DFs!AN5</f>
        <v>35</v>
      </c>
    </row>
    <row r="6" spans="4:39" ht="15" thickBot="1">
      <c r="D6" s="294" t="str">
        <f>DFs!C7</f>
        <v>1. Receita Bruta (+)</v>
      </c>
      <c r="E6" s="433">
        <f>DFs!F7</f>
        <v>0</v>
      </c>
      <c r="F6" s="433">
        <f>DFs!G7</f>
        <v>0</v>
      </c>
      <c r="G6" s="433">
        <f>DFs!H7</f>
        <v>6892816.8338978458</v>
      </c>
      <c r="H6" s="433">
        <f>DFs!I7</f>
        <v>6892816.8338978458</v>
      </c>
      <c r="I6" s="433">
        <f>DFs!J7</f>
        <v>6892816.8338978458</v>
      </c>
      <c r="J6" s="433">
        <f>DFs!K7</f>
        <v>6892816.8338978458</v>
      </c>
      <c r="K6" s="433">
        <f>DFs!L7</f>
        <v>6892816.8338978458</v>
      </c>
      <c r="L6" s="433">
        <f>DFs!M7</f>
        <v>6892816.8338978458</v>
      </c>
      <c r="M6" s="433">
        <f>DFs!N7</f>
        <v>6892816.8338978458</v>
      </c>
      <c r="N6" s="433">
        <f>DFs!O7</f>
        <v>6892816.8338978458</v>
      </c>
      <c r="O6" s="433">
        <f>DFs!P7</f>
        <v>6892816.8338978458</v>
      </c>
      <c r="P6" s="433">
        <f>DFs!Q7</f>
        <v>6892816.8338978458</v>
      </c>
      <c r="Q6" s="433">
        <f>DFs!R7</f>
        <v>6892816.8338978458</v>
      </c>
      <c r="R6" s="433">
        <f>DFs!S7</f>
        <v>6892816.8338978458</v>
      </c>
      <c r="S6" s="433">
        <f>DFs!T7</f>
        <v>6892816.8338978458</v>
      </c>
      <c r="T6" s="433">
        <f>DFs!U7</f>
        <v>6892816.8338978458</v>
      </c>
      <c r="U6" s="433">
        <f>DFs!V7</f>
        <v>6892816.8338978458</v>
      </c>
      <c r="V6" s="433">
        <f>DFs!W7</f>
        <v>6892816.8338978458</v>
      </c>
      <c r="W6" s="433">
        <f>DFs!X7</f>
        <v>6892816.8338978458</v>
      </c>
      <c r="X6" s="433">
        <f>DFs!Y7</f>
        <v>6892816.8338978458</v>
      </c>
      <c r="Y6" s="433">
        <f>DFs!Z7</f>
        <v>6892816.8338978458</v>
      </c>
      <c r="Z6" s="433">
        <f>DFs!AA7</f>
        <v>6892816.8338978458</v>
      </c>
      <c r="AA6" s="433">
        <f>DFs!AB7</f>
        <v>6892816.8338978458</v>
      </c>
      <c r="AB6" s="433">
        <f>DFs!AC7</f>
        <v>6892816.8338978458</v>
      </c>
      <c r="AC6" s="433">
        <f>DFs!AD7</f>
        <v>6892816.8338978458</v>
      </c>
      <c r="AD6" s="433">
        <f>DFs!AE7</f>
        <v>6892816.8338978458</v>
      </c>
      <c r="AE6" s="433">
        <f>DFs!AF7</f>
        <v>6892816.8338978458</v>
      </c>
      <c r="AF6" s="433">
        <f>DFs!AG7</f>
        <v>6892816.8338978458</v>
      </c>
      <c r="AG6" s="433">
        <f>DFs!AH7</f>
        <v>6892816.8338978458</v>
      </c>
      <c r="AH6" s="433">
        <f>DFs!AI7</f>
        <v>6892816.8338978458</v>
      </c>
      <c r="AI6" s="433">
        <f>DFs!AJ7</f>
        <v>6892816.8338978458</v>
      </c>
      <c r="AJ6" s="433">
        <f>DFs!AK7</f>
        <v>6892816.8338978458</v>
      </c>
      <c r="AK6" s="433">
        <f>DFs!AL7</f>
        <v>6892816.8338978458</v>
      </c>
      <c r="AL6" s="433">
        <f>DFs!AM7</f>
        <v>6892816.8338978458</v>
      </c>
      <c r="AM6" s="433">
        <f>DFs!AN7</f>
        <v>6892816.8338978458</v>
      </c>
    </row>
    <row r="7" spans="4:39" ht="15" thickBot="1">
      <c r="D7" s="294" t="str">
        <f>DFs!C18</f>
        <v xml:space="preserve">2. Deduções da Receita Bruta (-) </v>
      </c>
      <c r="E7" s="433">
        <f>DFs!F18</f>
        <v>0</v>
      </c>
      <c r="F7" s="433">
        <f>DFs!G18</f>
        <v>0</v>
      </c>
      <c r="G7" s="433">
        <f>DFs!H18</f>
        <v>-596228.65613216371</v>
      </c>
      <c r="H7" s="433">
        <f>DFs!I18</f>
        <v>-596228.65613216371</v>
      </c>
      <c r="I7" s="433">
        <f>DFs!J18</f>
        <v>-596228.65613216371</v>
      </c>
      <c r="J7" s="433">
        <f>DFs!K18</f>
        <v>-596228.65613216371</v>
      </c>
      <c r="K7" s="433">
        <f>DFs!L18</f>
        <v>-596228.65613216371</v>
      </c>
      <c r="L7" s="433">
        <f>DFs!M18</f>
        <v>-596228.65613216371</v>
      </c>
      <c r="M7" s="433">
        <f>DFs!N18</f>
        <v>-596228.65613216371</v>
      </c>
      <c r="N7" s="433">
        <f>DFs!O18</f>
        <v>-596228.65613216371</v>
      </c>
      <c r="O7" s="433">
        <f>DFs!P18</f>
        <v>-596228.65613216371</v>
      </c>
      <c r="P7" s="433">
        <f>DFs!Q18</f>
        <v>-596228.65613216371</v>
      </c>
      <c r="Q7" s="433">
        <f>DFs!R18</f>
        <v>-596228.65613216371</v>
      </c>
      <c r="R7" s="433">
        <f>DFs!S18</f>
        <v>-596228.65613216371</v>
      </c>
      <c r="S7" s="433">
        <f>DFs!T18</f>
        <v>-596228.65613216371</v>
      </c>
      <c r="T7" s="433">
        <f>DFs!U18</f>
        <v>-596228.65613216371</v>
      </c>
      <c r="U7" s="433">
        <f>DFs!V18</f>
        <v>-596228.65613216371</v>
      </c>
      <c r="V7" s="433">
        <f>DFs!W18</f>
        <v>-596228.65613216371</v>
      </c>
      <c r="W7" s="433">
        <f>DFs!X18</f>
        <v>-596228.65613216371</v>
      </c>
      <c r="X7" s="433">
        <f>DFs!Y18</f>
        <v>-596228.65613216371</v>
      </c>
      <c r="Y7" s="433">
        <f>DFs!Z18</f>
        <v>-596228.65613216371</v>
      </c>
      <c r="Z7" s="433">
        <f>DFs!AA18</f>
        <v>-596228.65613216371</v>
      </c>
      <c r="AA7" s="433">
        <f>DFs!AB18</f>
        <v>-596228.65613216371</v>
      </c>
      <c r="AB7" s="433">
        <f>DFs!AC18</f>
        <v>-596228.65613216371</v>
      </c>
      <c r="AC7" s="433">
        <f>DFs!AD18</f>
        <v>-596228.65613216371</v>
      </c>
      <c r="AD7" s="433">
        <f>DFs!AE18</f>
        <v>-596228.65613216371</v>
      </c>
      <c r="AE7" s="433">
        <f>DFs!AF18</f>
        <v>-596228.65613216371</v>
      </c>
      <c r="AF7" s="433">
        <f>DFs!AG18</f>
        <v>-596228.65613216371</v>
      </c>
      <c r="AG7" s="433">
        <f>DFs!AH18</f>
        <v>-596228.65613216371</v>
      </c>
      <c r="AH7" s="433">
        <f>DFs!AI18</f>
        <v>-596228.65613216371</v>
      </c>
      <c r="AI7" s="433">
        <f>DFs!AJ18</f>
        <v>-596228.65613216371</v>
      </c>
      <c r="AJ7" s="433">
        <f>DFs!AK18</f>
        <v>-596228.65613216371</v>
      </c>
      <c r="AK7" s="433">
        <f>DFs!AL18</f>
        <v>-596228.65613216371</v>
      </c>
      <c r="AL7" s="433">
        <f>DFs!AM18</f>
        <v>-596228.65613216371</v>
      </c>
      <c r="AM7" s="433">
        <f>DFs!AN18</f>
        <v>-596228.65613216371</v>
      </c>
    </row>
    <row r="8" spans="4:39" ht="15" thickBot="1">
      <c r="D8" s="294" t="str">
        <f>DFs!C21</f>
        <v>3. Receita Operacional Líquida (=)</v>
      </c>
      <c r="E8" s="433">
        <f>DFs!F21</f>
        <v>0</v>
      </c>
      <c r="F8" s="433">
        <f>DFs!G21</f>
        <v>0</v>
      </c>
      <c r="G8" s="433">
        <f>DFs!H21</f>
        <v>6296588.1777656823</v>
      </c>
      <c r="H8" s="433">
        <f>DFs!I21</f>
        <v>6296588.1777656823</v>
      </c>
      <c r="I8" s="433">
        <f>DFs!J21</f>
        <v>6296588.1777656823</v>
      </c>
      <c r="J8" s="433">
        <f>DFs!K21</f>
        <v>6296588.1777656823</v>
      </c>
      <c r="K8" s="433">
        <f>DFs!L21</f>
        <v>6296588.1777656823</v>
      </c>
      <c r="L8" s="433">
        <f>DFs!M21</f>
        <v>6296588.1777656823</v>
      </c>
      <c r="M8" s="433">
        <f>DFs!N21</f>
        <v>6296588.1777656823</v>
      </c>
      <c r="N8" s="433">
        <f>DFs!O21</f>
        <v>6296588.1777656823</v>
      </c>
      <c r="O8" s="433">
        <f>DFs!P21</f>
        <v>6296588.1777656823</v>
      </c>
      <c r="P8" s="433">
        <f>DFs!Q21</f>
        <v>6296588.1777656823</v>
      </c>
      <c r="Q8" s="433">
        <f>DFs!R21</f>
        <v>6296588.1777656823</v>
      </c>
      <c r="R8" s="433">
        <f>DFs!S21</f>
        <v>6296588.1777656823</v>
      </c>
      <c r="S8" s="433">
        <f>DFs!T21</f>
        <v>6296588.1777656823</v>
      </c>
      <c r="T8" s="433">
        <f>DFs!U21</f>
        <v>6296588.1777656823</v>
      </c>
      <c r="U8" s="433">
        <f>DFs!V21</f>
        <v>6296588.1777656823</v>
      </c>
      <c r="V8" s="433">
        <f>DFs!W21</f>
        <v>6296588.1777656823</v>
      </c>
      <c r="W8" s="433">
        <f>DFs!X21</f>
        <v>6296588.1777656823</v>
      </c>
      <c r="X8" s="433">
        <f>DFs!Y21</f>
        <v>6296588.1777656823</v>
      </c>
      <c r="Y8" s="433">
        <f>DFs!Z21</f>
        <v>6296588.1777656823</v>
      </c>
      <c r="Z8" s="433">
        <f>DFs!AA21</f>
        <v>6296588.1777656823</v>
      </c>
      <c r="AA8" s="433">
        <f>DFs!AB21</f>
        <v>6296588.1777656823</v>
      </c>
      <c r="AB8" s="433">
        <f>DFs!AC21</f>
        <v>6296588.1777656823</v>
      </c>
      <c r="AC8" s="433">
        <f>DFs!AD21</f>
        <v>6296588.1777656823</v>
      </c>
      <c r="AD8" s="433">
        <f>DFs!AE21</f>
        <v>6296588.1777656823</v>
      </c>
      <c r="AE8" s="433">
        <f>DFs!AF21</f>
        <v>6296588.1777656823</v>
      </c>
      <c r="AF8" s="433">
        <f>DFs!AG21</f>
        <v>6296588.1777656823</v>
      </c>
      <c r="AG8" s="433">
        <f>DFs!AH21</f>
        <v>6296588.1777656823</v>
      </c>
      <c r="AH8" s="433">
        <f>DFs!AI21</f>
        <v>6296588.1777656823</v>
      </c>
      <c r="AI8" s="433">
        <f>DFs!AJ21</f>
        <v>6296588.1777656823</v>
      </c>
      <c r="AJ8" s="433">
        <f>DFs!AK21</f>
        <v>6296588.1777656823</v>
      </c>
      <c r="AK8" s="433">
        <f>DFs!AL21</f>
        <v>6296588.1777656823</v>
      </c>
      <c r="AL8" s="433">
        <f>DFs!AM21</f>
        <v>6296588.1777656823</v>
      </c>
      <c r="AM8" s="433">
        <f>DFs!AN21</f>
        <v>6296588.1777656823</v>
      </c>
    </row>
    <row r="9" spans="4:39" ht="15" thickBot="1">
      <c r="D9" s="294" t="str">
        <f>DFs!C22</f>
        <v>4. Custos e Despesas Operacionais (-)</v>
      </c>
      <c r="E9" s="433">
        <f>DFs!F22</f>
        <v>-1261.210522538601</v>
      </c>
      <c r="F9" s="433">
        <f>DFs!G22</f>
        <v>-15823.9004409386</v>
      </c>
      <c r="G9" s="433">
        <f>DFs!H22</f>
        <v>-4840704.5136528322</v>
      </c>
      <c r="H9" s="433">
        <f>DFs!I22</f>
        <v>-4927358.0426413007</v>
      </c>
      <c r="I9" s="433">
        <f>DFs!J22</f>
        <v>-4930537.0332076112</v>
      </c>
      <c r="J9" s="433">
        <f>DFs!K22</f>
        <v>-4927358.0426413007</v>
      </c>
      <c r="K9" s="433">
        <f>DFs!L22</f>
        <v>-4947045.2827818273</v>
      </c>
      <c r="L9" s="433">
        <f>DFs!M22</f>
        <v>-4930537.0332076112</v>
      </c>
      <c r="M9" s="433">
        <f>DFs!N22</f>
        <v>-4927358.0426413007</v>
      </c>
      <c r="N9" s="433">
        <f>DFs!O22</f>
        <v>-4927358.0426413007</v>
      </c>
      <c r="O9" s="433">
        <f>DFs!P22</f>
        <v>-4930537.0332076112</v>
      </c>
      <c r="P9" s="433">
        <f>DFs!Q22</f>
        <v>-4947045.2827818273</v>
      </c>
      <c r="Q9" s="433">
        <f>DFs!R22</f>
        <v>-4931650.0226413002</v>
      </c>
      <c r="R9" s="433">
        <f>DFs!S22</f>
        <v>-4930537.0332076112</v>
      </c>
      <c r="S9" s="433">
        <f>DFs!T22</f>
        <v>-4927358.0426413007</v>
      </c>
      <c r="T9" s="433">
        <f>DFs!U22</f>
        <v>-4927358.0426413007</v>
      </c>
      <c r="U9" s="433">
        <f>DFs!V22</f>
        <v>-4962453.5609179623</v>
      </c>
      <c r="V9" s="433">
        <f>DFs!W22</f>
        <v>-4927358.0426413007</v>
      </c>
      <c r="W9" s="433">
        <f>DFs!X22</f>
        <v>-4927358.0426413007</v>
      </c>
      <c r="X9" s="433">
        <f>DFs!Y22</f>
        <v>-4930537.0332076112</v>
      </c>
      <c r="Y9" s="433">
        <f>DFs!Z22</f>
        <v>-4927358.0426413007</v>
      </c>
      <c r="Z9" s="433">
        <f>DFs!AA22</f>
        <v>-4947045.2827818273</v>
      </c>
      <c r="AA9" s="433">
        <f>DFs!AB22</f>
        <v>-4934829.0132076107</v>
      </c>
      <c r="AB9" s="433">
        <f>DFs!AC22</f>
        <v>-4927358.0426413007</v>
      </c>
      <c r="AC9" s="433">
        <f>DFs!AD22</f>
        <v>-4927358.0426413007</v>
      </c>
      <c r="AD9" s="433">
        <f>DFs!AE22</f>
        <v>-4930537.0332076112</v>
      </c>
      <c r="AE9" s="433">
        <f>DFs!AF22</f>
        <v>-4947045.2827818273</v>
      </c>
      <c r="AF9" s="433">
        <f>DFs!AG22</f>
        <v>-4927358.0426413007</v>
      </c>
      <c r="AG9" s="433">
        <f>DFs!AH22</f>
        <v>-4930537.0332076112</v>
      </c>
      <c r="AH9" s="433">
        <f>DFs!AI22</f>
        <v>-4927358.0426413007</v>
      </c>
      <c r="AI9" s="433">
        <f>DFs!AJ22</f>
        <v>-4927358.0426413007</v>
      </c>
      <c r="AJ9" s="433">
        <f>DFs!AK22</f>
        <v>-4962453.5609179623</v>
      </c>
      <c r="AK9" s="433">
        <f>DFs!AL22</f>
        <v>-4931650.0226413002</v>
      </c>
      <c r="AL9" s="433">
        <f>DFs!AM22</f>
        <v>-4927358.0426413007</v>
      </c>
      <c r="AM9" s="433">
        <f>DFs!AN22</f>
        <v>-4930537.0332076112</v>
      </c>
    </row>
    <row r="10" spans="4:39" ht="15" thickBot="1">
      <c r="D10" s="294" t="str">
        <f>DFs!C27</f>
        <v>5. EBITDA (=)</v>
      </c>
      <c r="E10" s="433">
        <f>DFs!F27</f>
        <v>-1261.210522538601</v>
      </c>
      <c r="F10" s="433">
        <f>DFs!G27</f>
        <v>-15823.9004409386</v>
      </c>
      <c r="G10" s="433">
        <f>DFs!H27</f>
        <v>1455883.6641128501</v>
      </c>
      <c r="H10" s="433">
        <f>DFs!I27</f>
        <v>1369230.1351243816</v>
      </c>
      <c r="I10" s="433">
        <f>DFs!J27</f>
        <v>1366051.1445580712</v>
      </c>
      <c r="J10" s="433">
        <f>DFs!K27</f>
        <v>1369230.1351243816</v>
      </c>
      <c r="K10" s="433">
        <f>DFs!L27</f>
        <v>1349542.8949838551</v>
      </c>
      <c r="L10" s="433">
        <f>DFs!M27</f>
        <v>1366051.1445580712</v>
      </c>
      <c r="M10" s="433">
        <f>DFs!N27</f>
        <v>1369230.1351243816</v>
      </c>
      <c r="N10" s="433">
        <f>DFs!O27</f>
        <v>1369230.1351243816</v>
      </c>
      <c r="O10" s="433">
        <f>DFs!P27</f>
        <v>1366051.1445580712</v>
      </c>
      <c r="P10" s="433">
        <f>DFs!Q27</f>
        <v>1349542.8949838551</v>
      </c>
      <c r="Q10" s="433">
        <f>DFs!R27</f>
        <v>1364938.1551243821</v>
      </c>
      <c r="R10" s="433">
        <f>DFs!S27</f>
        <v>1366051.1445580712</v>
      </c>
      <c r="S10" s="433">
        <f>DFs!T27</f>
        <v>1369230.1351243816</v>
      </c>
      <c r="T10" s="433">
        <f>DFs!U27</f>
        <v>1369230.1351243816</v>
      </c>
      <c r="U10" s="433">
        <f>DFs!V27</f>
        <v>1334134.61684772</v>
      </c>
      <c r="V10" s="433">
        <f>DFs!W27</f>
        <v>1369230.1351243816</v>
      </c>
      <c r="W10" s="433">
        <f>DFs!X27</f>
        <v>1369230.1351243816</v>
      </c>
      <c r="X10" s="433">
        <f>DFs!Y27</f>
        <v>1366051.1445580712</v>
      </c>
      <c r="Y10" s="433">
        <f>DFs!Z27</f>
        <v>1369230.1351243816</v>
      </c>
      <c r="Z10" s="433">
        <f>DFs!AA27</f>
        <v>1349542.8949838551</v>
      </c>
      <c r="AA10" s="433">
        <f>DFs!AB27</f>
        <v>1361759.1645580716</v>
      </c>
      <c r="AB10" s="433">
        <f>DFs!AC27</f>
        <v>1369230.1351243816</v>
      </c>
      <c r="AC10" s="433">
        <f>DFs!AD27</f>
        <v>1369230.1351243816</v>
      </c>
      <c r="AD10" s="433">
        <f>DFs!AE27</f>
        <v>1366051.1445580712</v>
      </c>
      <c r="AE10" s="433">
        <f>DFs!AF27</f>
        <v>1349542.8949838551</v>
      </c>
      <c r="AF10" s="433">
        <f>DFs!AG27</f>
        <v>1369230.1351243816</v>
      </c>
      <c r="AG10" s="433">
        <f>DFs!AH27</f>
        <v>1366051.1445580712</v>
      </c>
      <c r="AH10" s="433">
        <f>DFs!AI27</f>
        <v>1369230.1351243816</v>
      </c>
      <c r="AI10" s="433">
        <f>DFs!AJ27</f>
        <v>1369230.1351243816</v>
      </c>
      <c r="AJ10" s="433">
        <f>DFs!AK27</f>
        <v>1334134.61684772</v>
      </c>
      <c r="AK10" s="433">
        <f>DFs!AL27</f>
        <v>1364938.1551243821</v>
      </c>
      <c r="AL10" s="433">
        <f>DFs!AM27</f>
        <v>1369230.1351243816</v>
      </c>
      <c r="AM10" s="433">
        <f>DFs!AN27</f>
        <v>1366051.1445580712</v>
      </c>
    </row>
    <row r="11" spans="4:39" ht="15" thickBot="1">
      <c r="D11" s="294" t="str">
        <f>DFs!C29</f>
        <v>5.1 Depreciação e Amortização (-)</v>
      </c>
      <c r="E11" s="433">
        <f>DFs!F29</f>
        <v>-27142.857142450001</v>
      </c>
      <c r="F11" s="433">
        <f>DFs!G29</f>
        <v>-27142.857142450001</v>
      </c>
      <c r="G11" s="433">
        <f>DFs!H29</f>
        <v>-163590.72089717261</v>
      </c>
      <c r="H11" s="433">
        <f>DFs!I29</f>
        <v>-294362.35331573559</v>
      </c>
      <c r="I11" s="433">
        <f>DFs!J29</f>
        <v>-313609.04343045875</v>
      </c>
      <c r="J11" s="433">
        <f>DFs!K29</f>
        <v>-313609.04343045875</v>
      </c>
      <c r="K11" s="433">
        <f>DFs!L29</f>
        <v>-312549.37990835629</v>
      </c>
      <c r="L11" s="433">
        <f>DFs!M29</f>
        <v>-312549.37990835629</v>
      </c>
      <c r="M11" s="433">
        <f>DFs!N29</f>
        <v>-308611.93188025098</v>
      </c>
      <c r="N11" s="433">
        <f>DFs!O29</f>
        <v>-308611.93188025098</v>
      </c>
      <c r="O11" s="433">
        <f>DFs!P29</f>
        <v>-308611.93188025098</v>
      </c>
      <c r="P11" s="433">
        <f>DFs!Q29</f>
        <v>-308611.93188025098</v>
      </c>
      <c r="Q11" s="433">
        <f>DFs!R29</f>
        <v>-308611.93188025098</v>
      </c>
      <c r="R11" s="433">
        <f>DFs!S29</f>
        <v>-296139.70757159067</v>
      </c>
      <c r="S11" s="433">
        <f>DFs!T29</f>
        <v>-296139.70757159067</v>
      </c>
      <c r="T11" s="433">
        <f>DFs!U29</f>
        <v>-296139.70757159067</v>
      </c>
      <c r="U11" s="433">
        <f>DFs!V29</f>
        <v>-296139.70757159067</v>
      </c>
      <c r="V11" s="433">
        <f>DFs!W29</f>
        <v>-296139.70757159067</v>
      </c>
      <c r="W11" s="433">
        <f>DFs!X29</f>
        <v>-295324.41765717318</v>
      </c>
      <c r="X11" s="433">
        <f>DFs!Y29</f>
        <v>-295324.41765717318</v>
      </c>
      <c r="Y11" s="433">
        <f>DFs!Z29</f>
        <v>-295324.41765717318</v>
      </c>
      <c r="Z11" s="433">
        <f>DFs!AA29</f>
        <v>-295324.41765717318</v>
      </c>
      <c r="AA11" s="433">
        <f>DFs!AB29</f>
        <v>-295324.41765717318</v>
      </c>
      <c r="AB11" s="433">
        <f>DFs!AC29</f>
        <v>-295324.41765717318</v>
      </c>
      <c r="AC11" s="433">
        <f>DFs!AD29</f>
        <v>-276077.72754245001</v>
      </c>
      <c r="AD11" s="433">
        <f>DFs!AE29</f>
        <v>-276077.72754245001</v>
      </c>
      <c r="AE11" s="433">
        <f>DFs!AF29</f>
        <v>-276077.72754245001</v>
      </c>
      <c r="AF11" s="433">
        <f>DFs!AG29</f>
        <v>-151610.29234245</v>
      </c>
      <c r="AG11" s="433">
        <f>DFs!AH29</f>
        <v>-27142.857142450001</v>
      </c>
      <c r="AH11" s="433">
        <f>DFs!AI29</f>
        <v>-27142.857142450001</v>
      </c>
      <c r="AI11" s="433">
        <f>DFs!AJ29</f>
        <v>-27142.857142450001</v>
      </c>
      <c r="AJ11" s="433">
        <f>DFs!AK29</f>
        <v>-27142.857142450001</v>
      </c>
      <c r="AK11" s="433">
        <f>DFs!AL29</f>
        <v>-27142.857142450001</v>
      </c>
      <c r="AL11" s="433">
        <f>DFs!AM29</f>
        <v>-27142.857142450001</v>
      </c>
      <c r="AM11" s="433">
        <f>DFs!AN29</f>
        <v>-27142.857142450001</v>
      </c>
    </row>
    <row r="12" spans="4:39" ht="15" thickBot="1">
      <c r="D12" s="294" t="str">
        <f>DFs!C30</f>
        <v xml:space="preserve">6. EBIT </v>
      </c>
      <c r="E12" s="433">
        <f>DFs!F30</f>
        <v>-28404.067664988601</v>
      </c>
      <c r="F12" s="433">
        <f>DFs!G30</f>
        <v>-42966.7575833886</v>
      </c>
      <c r="G12" s="433">
        <f>DFs!H30</f>
        <v>1292292.9432156775</v>
      </c>
      <c r="H12" s="433">
        <f>DFs!I30</f>
        <v>1074867.7818086459</v>
      </c>
      <c r="I12" s="433">
        <f>DFs!J30</f>
        <v>1052442.1011276124</v>
      </c>
      <c r="J12" s="433">
        <f>DFs!K30</f>
        <v>1055621.0916939229</v>
      </c>
      <c r="K12" s="433">
        <f>DFs!L30</f>
        <v>1036993.5150754987</v>
      </c>
      <c r="L12" s="433">
        <f>DFs!M30</f>
        <v>1053501.7646497148</v>
      </c>
      <c r="M12" s="433">
        <f>DFs!N30</f>
        <v>1060618.2032441306</v>
      </c>
      <c r="N12" s="433">
        <f>DFs!O30</f>
        <v>1060618.2032441306</v>
      </c>
      <c r="O12" s="433">
        <f>DFs!P30</f>
        <v>1057439.2126778201</v>
      </c>
      <c r="P12" s="433">
        <f>DFs!Q30</f>
        <v>1040930.963103604</v>
      </c>
      <c r="Q12" s="433">
        <f>DFs!R30</f>
        <v>1056326.2232441311</v>
      </c>
      <c r="R12" s="433">
        <f>DFs!S30</f>
        <v>1069911.4369864804</v>
      </c>
      <c r="S12" s="433">
        <f>DFs!T30</f>
        <v>1073090.4275527908</v>
      </c>
      <c r="T12" s="433">
        <f>DFs!U30</f>
        <v>1073090.4275527908</v>
      </c>
      <c r="U12" s="433">
        <f>DFs!V30</f>
        <v>1037994.9092761293</v>
      </c>
      <c r="V12" s="433">
        <f>DFs!W30</f>
        <v>1073090.4275527908</v>
      </c>
      <c r="W12" s="433">
        <f>DFs!X30</f>
        <v>1073905.7174672084</v>
      </c>
      <c r="X12" s="433">
        <f>DFs!Y30</f>
        <v>1070726.7269008979</v>
      </c>
      <c r="Y12" s="433">
        <f>DFs!Z30</f>
        <v>1073905.7174672084</v>
      </c>
      <c r="Z12" s="433">
        <f>DFs!AA30</f>
        <v>1054218.4773266818</v>
      </c>
      <c r="AA12" s="433">
        <f>DFs!AB30</f>
        <v>1066434.7469008984</v>
      </c>
      <c r="AB12" s="433">
        <f>DFs!AC30</f>
        <v>1073905.7174672084</v>
      </c>
      <c r="AC12" s="433">
        <f>DFs!AD30</f>
        <v>1093152.4075819317</v>
      </c>
      <c r="AD12" s="433">
        <f>DFs!AE30</f>
        <v>1089973.4170156212</v>
      </c>
      <c r="AE12" s="433">
        <f>DFs!AF30</f>
        <v>1073465.1674414051</v>
      </c>
      <c r="AF12" s="433">
        <f>DFs!AG30</f>
        <v>1217619.8427819316</v>
      </c>
      <c r="AG12" s="433">
        <f>DFs!AH30</f>
        <v>1338908.2874156211</v>
      </c>
      <c r="AH12" s="433">
        <f>DFs!AI30</f>
        <v>1342087.2779819316</v>
      </c>
      <c r="AI12" s="433">
        <f>DFs!AJ30</f>
        <v>1342087.2779819316</v>
      </c>
      <c r="AJ12" s="433">
        <f>DFs!AK30</f>
        <v>1306991.7597052699</v>
      </c>
      <c r="AK12" s="433">
        <f>DFs!AL30</f>
        <v>1337795.2979819321</v>
      </c>
      <c r="AL12" s="433">
        <f>DFs!AM30</f>
        <v>1342087.2779819316</v>
      </c>
      <c r="AM12" s="433">
        <f>DFs!AN30</f>
        <v>1338908.2874156211</v>
      </c>
    </row>
    <row r="13" spans="4:39" ht="15" thickBot="1">
      <c r="D13" s="294" t="str">
        <f>DFs!C34</f>
        <v>7. EBT (LAIR)</v>
      </c>
      <c r="E13" s="433">
        <f>DFs!F34</f>
        <v>-28404.067664988601</v>
      </c>
      <c r="F13" s="433">
        <f>DFs!G34</f>
        <v>-42966.7575833886</v>
      </c>
      <c r="G13" s="433">
        <f>DFs!H34</f>
        <v>1292292.9432156775</v>
      </c>
      <c r="H13" s="433">
        <f>DFs!I34</f>
        <v>1074867.7818086459</v>
      </c>
      <c r="I13" s="433">
        <f>DFs!J34</f>
        <v>1052442.1011276124</v>
      </c>
      <c r="J13" s="433">
        <f ca="1">DFs!K34</f>
        <v>828912.87062238774</v>
      </c>
      <c r="K13" s="433">
        <f ca="1">DFs!L34</f>
        <v>829177.6457599249</v>
      </c>
      <c r="L13" s="433">
        <f ca="1">DFs!M34</f>
        <v>864578.24709010217</v>
      </c>
      <c r="M13" s="433">
        <f ca="1">DFs!N34</f>
        <v>890587.03744047927</v>
      </c>
      <c r="N13" s="433">
        <f ca="1">DFs!O34</f>
        <v>909479.38919644046</v>
      </c>
      <c r="O13" s="433">
        <f ca="1">DFs!P34</f>
        <v>925192.75038609118</v>
      </c>
      <c r="P13" s="433">
        <f ca="1">DFs!Q34</f>
        <v>927576.85256783641</v>
      </c>
      <c r="Q13" s="433">
        <f ca="1">DFs!R34</f>
        <v>961864.46446432476</v>
      </c>
      <c r="R13" s="433">
        <f ca="1">DFs!S34</f>
        <v>994342.02996263525</v>
      </c>
      <c r="S13" s="433">
        <f ca="1">DFs!T34</f>
        <v>1016413.372284907</v>
      </c>
      <c r="T13" s="433">
        <f ca="1">DFs!U34</f>
        <v>1035305.7240408682</v>
      </c>
      <c r="U13" s="433">
        <f ca="1">DFs!V34</f>
        <v>1019102.557520168</v>
      </c>
      <c r="V13" s="433">
        <f ca="1">DFs!W34</f>
        <v>1073090.4275527908</v>
      </c>
      <c r="W13" s="433">
        <f ca="1">DFs!X34</f>
        <v>1073905.7174672084</v>
      </c>
      <c r="X13" s="433">
        <f ca="1">DFs!Y34</f>
        <v>1070726.7269008979</v>
      </c>
      <c r="Y13" s="433">
        <f ca="1">DFs!Z34</f>
        <v>1073905.7174672084</v>
      </c>
      <c r="Z13" s="433">
        <f ca="1">DFs!AA34</f>
        <v>1054218.4773266818</v>
      </c>
      <c r="AA13" s="433">
        <f ca="1">DFs!AB34</f>
        <v>1066434.7469008984</v>
      </c>
      <c r="AB13" s="433">
        <f ca="1">DFs!AC34</f>
        <v>1073905.7174672084</v>
      </c>
      <c r="AC13" s="433">
        <f ca="1">DFs!AD34</f>
        <v>1093152.4075819317</v>
      </c>
      <c r="AD13" s="433">
        <f ca="1">DFs!AE34</f>
        <v>1089973.4170156212</v>
      </c>
      <c r="AE13" s="433">
        <f ca="1">DFs!AF34</f>
        <v>1073465.1674414051</v>
      </c>
      <c r="AF13" s="433">
        <f ca="1">DFs!AG34</f>
        <v>1217619.8427819316</v>
      </c>
      <c r="AG13" s="433">
        <f ca="1">DFs!AH34</f>
        <v>1338908.2874156209</v>
      </c>
      <c r="AH13" s="433">
        <f ca="1">DFs!AI34</f>
        <v>1342087.2779819313</v>
      </c>
      <c r="AI13" s="433">
        <f ca="1">DFs!AJ34</f>
        <v>1342087.2779819313</v>
      </c>
      <c r="AJ13" s="433">
        <f ca="1">DFs!AK34</f>
        <v>1306991.7597052697</v>
      </c>
      <c r="AK13" s="433">
        <f ca="1">DFs!AL34</f>
        <v>1337795.2979819318</v>
      </c>
      <c r="AL13" s="433">
        <f ca="1">DFs!AM34</f>
        <v>1342087.2779819313</v>
      </c>
      <c r="AM13" s="433">
        <f ca="1">DFs!AN34</f>
        <v>1338908.2874156209</v>
      </c>
    </row>
    <row r="14" spans="4:39" ht="15" thickBot="1">
      <c r="D14" s="294" t="str">
        <f>DFs!C36</f>
        <v>8. Lucro ou Prejuízo Líquido</v>
      </c>
      <c r="E14" s="433">
        <f>DFs!F36</f>
        <v>-28404.067664988601</v>
      </c>
      <c r="F14" s="433">
        <f>DFs!G36</f>
        <v>-42966.7575833886</v>
      </c>
      <c r="G14" s="433">
        <f>DFs!H36</f>
        <v>566354.47168759187</v>
      </c>
      <c r="H14" s="433">
        <f>DFs!I36</f>
        <v>348929.31028056028</v>
      </c>
      <c r="I14" s="433">
        <f>DFs!J36</f>
        <v>326503.62959952676</v>
      </c>
      <c r="J14" s="433">
        <f ca="1">DFs!K36</f>
        <v>102974.39909430209</v>
      </c>
      <c r="K14" s="433">
        <f ca="1">DFs!L36</f>
        <v>103239.17423183925</v>
      </c>
      <c r="L14" s="433">
        <f ca="1">DFs!M36</f>
        <v>138639.77556201653</v>
      </c>
      <c r="M14" s="433">
        <f ca="1">DFs!N36</f>
        <v>164648.56591239362</v>
      </c>
      <c r="N14" s="433">
        <f ca="1">DFs!O36</f>
        <v>183540.91766835481</v>
      </c>
      <c r="O14" s="433">
        <f ca="1">DFs!P36</f>
        <v>199254.27885800553</v>
      </c>
      <c r="P14" s="433">
        <f ca="1">DFs!Q36</f>
        <v>201638.38103975076</v>
      </c>
      <c r="Q14" s="433">
        <f ca="1">DFs!R36</f>
        <v>235925.99293623911</v>
      </c>
      <c r="R14" s="433">
        <f ca="1">DFs!S36</f>
        <v>268403.5584345496</v>
      </c>
      <c r="S14" s="433">
        <f ca="1">DFs!T36</f>
        <v>290474.90075682139</v>
      </c>
      <c r="T14" s="433">
        <f ca="1">DFs!U36</f>
        <v>309367.25251278258</v>
      </c>
      <c r="U14" s="433">
        <f ca="1">DFs!V36</f>
        <v>293164.08599208237</v>
      </c>
      <c r="V14" s="433">
        <f ca="1">DFs!W36</f>
        <v>347151.9560247052</v>
      </c>
      <c r="W14" s="433">
        <f ca="1">DFs!X36</f>
        <v>347967.24593912275</v>
      </c>
      <c r="X14" s="433">
        <f ca="1">DFs!Y36</f>
        <v>344788.25537281227</v>
      </c>
      <c r="Y14" s="433">
        <f ca="1">DFs!Z36</f>
        <v>347967.24593912275</v>
      </c>
      <c r="Z14" s="433">
        <f ca="1">DFs!AA36</f>
        <v>328280.00579859619</v>
      </c>
      <c r="AA14" s="433">
        <f ca="1">DFs!AB36</f>
        <v>340496.27537281276</v>
      </c>
      <c r="AB14" s="433">
        <f ca="1">DFs!AC36</f>
        <v>347967.24593912275</v>
      </c>
      <c r="AC14" s="433">
        <f ca="1">DFs!AD36</f>
        <v>367213.93605384603</v>
      </c>
      <c r="AD14" s="433">
        <f ca="1">DFs!AE36</f>
        <v>364034.94548753556</v>
      </c>
      <c r="AE14" s="433">
        <f ca="1">DFs!AF36</f>
        <v>347526.69591331948</v>
      </c>
      <c r="AF14" s="433">
        <f ca="1">DFs!AG36</f>
        <v>491681.37125384598</v>
      </c>
      <c r="AG14" s="433">
        <f ca="1">DFs!AH36</f>
        <v>612969.81588753522</v>
      </c>
      <c r="AH14" s="433">
        <f ca="1">DFs!AI36</f>
        <v>616148.8064538457</v>
      </c>
      <c r="AI14" s="433">
        <f ca="1">DFs!AJ36</f>
        <v>616148.8064538457</v>
      </c>
      <c r="AJ14" s="433">
        <f ca="1">DFs!AK36</f>
        <v>581053.28817718406</v>
      </c>
      <c r="AK14" s="433">
        <f ca="1">DFs!AL36</f>
        <v>611856.82645384618</v>
      </c>
      <c r="AL14" s="433">
        <f ca="1">DFs!AM36</f>
        <v>616148.8064538457</v>
      </c>
      <c r="AM14" s="433">
        <f ca="1">DFs!AN36</f>
        <v>612969.81588753522</v>
      </c>
    </row>
    <row r="15" spans="4:39" ht="15" thickBot="1"/>
    <row r="16" spans="4:39" ht="15" thickBot="1">
      <c r="D16" s="294" t="s">
        <v>211</v>
      </c>
      <c r="E16" s="340">
        <f>I5</f>
        <v>5</v>
      </c>
      <c r="F16" s="340">
        <f>N5</f>
        <v>10</v>
      </c>
      <c r="G16" s="340">
        <f>S5</f>
        <v>15</v>
      </c>
      <c r="H16" s="340">
        <f>X5</f>
        <v>20</v>
      </c>
      <c r="I16" s="340">
        <f>AC5</f>
        <v>25</v>
      </c>
      <c r="J16" s="340">
        <f>AH5</f>
        <v>30</v>
      </c>
      <c r="K16" s="340">
        <f>AM5</f>
        <v>35</v>
      </c>
    </row>
    <row r="17" spans="4:39" ht="15" thickBot="1">
      <c r="D17" s="294" t="str">
        <f>D6</f>
        <v>1. Receita Bruta (+)</v>
      </c>
      <c r="E17" s="433">
        <f t="shared" ref="E17:E25" si="0">I6</f>
        <v>6892816.8338978458</v>
      </c>
      <c r="F17" s="433">
        <f t="shared" ref="F17:F25" si="1">N6</f>
        <v>6892816.8338978458</v>
      </c>
      <c r="G17" s="433">
        <f t="shared" ref="G17:G25" si="2">S6</f>
        <v>6892816.8338978458</v>
      </c>
      <c r="H17" s="433">
        <f t="shared" ref="H17:H25" si="3">X6</f>
        <v>6892816.8338978458</v>
      </c>
      <c r="I17" s="433">
        <f t="shared" ref="I17:I25" si="4">AC6</f>
        <v>6892816.8338978458</v>
      </c>
      <c r="J17" s="433">
        <f t="shared" ref="J17:J25" si="5">AH6</f>
        <v>6892816.8338978458</v>
      </c>
      <c r="K17" s="433">
        <f t="shared" ref="K17:K25" si="6">AM6</f>
        <v>6892816.8338978458</v>
      </c>
    </row>
    <row r="18" spans="4:39" ht="15" thickBot="1">
      <c r="D18" s="294" t="str">
        <f t="shared" ref="D18:D24" si="7">D7</f>
        <v xml:space="preserve">2. Deduções da Receita Bruta (-) </v>
      </c>
      <c r="E18" s="433">
        <f t="shared" si="0"/>
        <v>-596228.65613216371</v>
      </c>
      <c r="F18" s="433">
        <f t="shared" si="1"/>
        <v>-596228.65613216371</v>
      </c>
      <c r="G18" s="433">
        <f t="shared" si="2"/>
        <v>-596228.65613216371</v>
      </c>
      <c r="H18" s="433">
        <f t="shared" si="3"/>
        <v>-596228.65613216371</v>
      </c>
      <c r="I18" s="433">
        <f t="shared" si="4"/>
        <v>-596228.65613216371</v>
      </c>
      <c r="J18" s="433">
        <f t="shared" si="5"/>
        <v>-596228.65613216371</v>
      </c>
      <c r="K18" s="433">
        <f t="shared" si="6"/>
        <v>-596228.65613216371</v>
      </c>
    </row>
    <row r="19" spans="4:39" ht="15" thickBot="1">
      <c r="D19" s="294" t="str">
        <f t="shared" si="7"/>
        <v>3. Receita Operacional Líquida (=)</v>
      </c>
      <c r="E19" s="433">
        <f t="shared" si="0"/>
        <v>6296588.1777656823</v>
      </c>
      <c r="F19" s="433">
        <f t="shared" si="1"/>
        <v>6296588.1777656823</v>
      </c>
      <c r="G19" s="433">
        <f t="shared" si="2"/>
        <v>6296588.1777656823</v>
      </c>
      <c r="H19" s="433">
        <f t="shared" si="3"/>
        <v>6296588.1777656823</v>
      </c>
      <c r="I19" s="433">
        <f t="shared" si="4"/>
        <v>6296588.1777656823</v>
      </c>
      <c r="J19" s="433">
        <f t="shared" si="5"/>
        <v>6296588.1777656823</v>
      </c>
      <c r="K19" s="433">
        <f t="shared" si="6"/>
        <v>6296588.1777656823</v>
      </c>
    </row>
    <row r="20" spans="4:39" ht="15" thickBot="1">
      <c r="D20" s="294" t="str">
        <f t="shared" si="7"/>
        <v>4. Custos e Despesas Operacionais (-)</v>
      </c>
      <c r="E20" s="433">
        <f t="shared" si="0"/>
        <v>-4930537.0332076112</v>
      </c>
      <c r="F20" s="433">
        <f t="shared" si="1"/>
        <v>-4927358.0426413007</v>
      </c>
      <c r="G20" s="433">
        <f t="shared" si="2"/>
        <v>-4927358.0426413007</v>
      </c>
      <c r="H20" s="433">
        <f t="shared" si="3"/>
        <v>-4930537.0332076112</v>
      </c>
      <c r="I20" s="433">
        <f t="shared" si="4"/>
        <v>-4927358.0426413007</v>
      </c>
      <c r="J20" s="433">
        <f t="shared" si="5"/>
        <v>-4927358.0426413007</v>
      </c>
      <c r="K20" s="433">
        <f t="shared" si="6"/>
        <v>-4930537.0332076112</v>
      </c>
    </row>
    <row r="21" spans="4:39" ht="15" thickBot="1">
      <c r="D21" s="294" t="str">
        <f t="shared" si="7"/>
        <v>5. EBITDA (=)</v>
      </c>
      <c r="E21" s="433">
        <f t="shared" si="0"/>
        <v>1366051.1445580712</v>
      </c>
      <c r="F21" s="433">
        <f t="shared" si="1"/>
        <v>1369230.1351243816</v>
      </c>
      <c r="G21" s="433">
        <f t="shared" si="2"/>
        <v>1369230.1351243816</v>
      </c>
      <c r="H21" s="433">
        <f t="shared" si="3"/>
        <v>1366051.1445580712</v>
      </c>
      <c r="I21" s="433">
        <f t="shared" si="4"/>
        <v>1369230.1351243816</v>
      </c>
      <c r="J21" s="433">
        <f t="shared" si="5"/>
        <v>1369230.1351243816</v>
      </c>
      <c r="K21" s="433">
        <f t="shared" si="6"/>
        <v>1366051.1445580712</v>
      </c>
    </row>
    <row r="22" spans="4:39" ht="15" thickBot="1">
      <c r="D22" s="294" t="str">
        <f t="shared" si="7"/>
        <v>5.1 Depreciação e Amortização (-)</v>
      </c>
      <c r="E22" s="433">
        <f t="shared" si="0"/>
        <v>-313609.04343045875</v>
      </c>
      <c r="F22" s="433">
        <f t="shared" si="1"/>
        <v>-308611.93188025098</v>
      </c>
      <c r="G22" s="433">
        <f t="shared" si="2"/>
        <v>-296139.70757159067</v>
      </c>
      <c r="H22" s="433">
        <f t="shared" si="3"/>
        <v>-295324.41765717318</v>
      </c>
      <c r="I22" s="433">
        <f t="shared" si="4"/>
        <v>-276077.72754245001</v>
      </c>
      <c r="J22" s="433">
        <f t="shared" si="5"/>
        <v>-27142.857142450001</v>
      </c>
      <c r="K22" s="433">
        <f t="shared" si="6"/>
        <v>-27142.857142450001</v>
      </c>
    </row>
    <row r="23" spans="4:39" ht="15" thickBot="1">
      <c r="D23" s="294" t="str">
        <f t="shared" si="7"/>
        <v xml:space="preserve">6. EBIT </v>
      </c>
      <c r="E23" s="433">
        <f t="shared" si="0"/>
        <v>1052442.1011276124</v>
      </c>
      <c r="F23" s="433">
        <f t="shared" si="1"/>
        <v>1060618.2032441306</v>
      </c>
      <c r="G23" s="433">
        <f t="shared" si="2"/>
        <v>1073090.4275527908</v>
      </c>
      <c r="H23" s="433">
        <f t="shared" si="3"/>
        <v>1070726.7269008979</v>
      </c>
      <c r="I23" s="433">
        <f t="shared" si="4"/>
        <v>1093152.4075819317</v>
      </c>
      <c r="J23" s="433">
        <f t="shared" si="5"/>
        <v>1342087.2779819316</v>
      </c>
      <c r="K23" s="433">
        <f t="shared" si="6"/>
        <v>1338908.2874156211</v>
      </c>
    </row>
    <row r="24" spans="4:39" ht="15" thickBot="1">
      <c r="D24" s="294" t="str">
        <f t="shared" si="7"/>
        <v>7. EBT (LAIR)</v>
      </c>
      <c r="E24" s="433">
        <f t="shared" si="0"/>
        <v>1052442.1011276124</v>
      </c>
      <c r="F24" s="433">
        <f t="shared" ca="1" si="1"/>
        <v>909479.38919644046</v>
      </c>
      <c r="G24" s="433">
        <f t="shared" ca="1" si="2"/>
        <v>1016413.372284907</v>
      </c>
      <c r="H24" s="433">
        <f t="shared" ca="1" si="3"/>
        <v>1070726.7269008979</v>
      </c>
      <c r="I24" s="433">
        <f t="shared" ca="1" si="4"/>
        <v>1093152.4075819317</v>
      </c>
      <c r="J24" s="433">
        <f t="shared" ca="1" si="5"/>
        <v>1342087.2779819313</v>
      </c>
      <c r="K24" s="433">
        <f t="shared" ca="1" si="6"/>
        <v>1338908.2874156209</v>
      </c>
    </row>
    <row r="25" spans="4:39" ht="15" thickBot="1">
      <c r="D25" s="294" t="str">
        <f>D14</f>
        <v>8. Lucro ou Prejuízo Líquido</v>
      </c>
      <c r="E25" s="433">
        <f t="shared" si="0"/>
        <v>326503.62959952676</v>
      </c>
      <c r="F25" s="433">
        <f t="shared" ca="1" si="1"/>
        <v>183540.91766835481</v>
      </c>
      <c r="G25" s="433">
        <f t="shared" ca="1" si="2"/>
        <v>290474.90075682139</v>
      </c>
      <c r="H25" s="433">
        <f t="shared" ca="1" si="3"/>
        <v>344788.25537281227</v>
      </c>
      <c r="I25" s="433">
        <f t="shared" ca="1" si="4"/>
        <v>367213.93605384603</v>
      </c>
      <c r="J25" s="433">
        <f t="shared" ca="1" si="5"/>
        <v>616148.8064538457</v>
      </c>
      <c r="K25" s="433">
        <f t="shared" ca="1" si="6"/>
        <v>612969.81588753522</v>
      </c>
    </row>
    <row r="29" spans="4:39" ht="15" thickBot="1">
      <c r="E29" s="340">
        <f>E5</f>
        <v>1</v>
      </c>
      <c r="F29" s="340">
        <f t="shared" ref="F29:AM29" si="8">F5</f>
        <v>2</v>
      </c>
      <c r="G29" s="340">
        <f t="shared" si="8"/>
        <v>3</v>
      </c>
      <c r="H29" s="340">
        <f t="shared" si="8"/>
        <v>4</v>
      </c>
      <c r="I29" s="340">
        <f t="shared" si="8"/>
        <v>5</v>
      </c>
      <c r="J29" s="340">
        <f t="shared" si="8"/>
        <v>6</v>
      </c>
      <c r="K29" s="340">
        <f t="shared" si="8"/>
        <v>7</v>
      </c>
      <c r="L29" s="340">
        <f t="shared" si="8"/>
        <v>8</v>
      </c>
      <c r="M29" s="340">
        <f t="shared" si="8"/>
        <v>9</v>
      </c>
      <c r="N29" s="340">
        <f t="shared" si="8"/>
        <v>10</v>
      </c>
      <c r="O29" s="340">
        <f t="shared" si="8"/>
        <v>11</v>
      </c>
      <c r="P29" s="340">
        <f t="shared" si="8"/>
        <v>12</v>
      </c>
      <c r="Q29" s="340">
        <f t="shared" si="8"/>
        <v>13</v>
      </c>
      <c r="R29" s="340">
        <f t="shared" si="8"/>
        <v>14</v>
      </c>
      <c r="S29" s="340">
        <f t="shared" si="8"/>
        <v>15</v>
      </c>
      <c r="T29" s="340">
        <f t="shared" si="8"/>
        <v>16</v>
      </c>
      <c r="U29" s="340">
        <f t="shared" si="8"/>
        <v>17</v>
      </c>
      <c r="V29" s="340">
        <f t="shared" si="8"/>
        <v>18</v>
      </c>
      <c r="W29" s="340">
        <f t="shared" si="8"/>
        <v>19</v>
      </c>
      <c r="X29" s="340">
        <f t="shared" si="8"/>
        <v>20</v>
      </c>
      <c r="Y29" s="340">
        <f t="shared" si="8"/>
        <v>21</v>
      </c>
      <c r="Z29" s="340">
        <f t="shared" si="8"/>
        <v>22</v>
      </c>
      <c r="AA29" s="340">
        <f t="shared" si="8"/>
        <v>23</v>
      </c>
      <c r="AB29" s="340">
        <f t="shared" si="8"/>
        <v>24</v>
      </c>
      <c r="AC29" s="340">
        <f t="shared" si="8"/>
        <v>25</v>
      </c>
      <c r="AD29" s="340">
        <f t="shared" si="8"/>
        <v>26</v>
      </c>
      <c r="AE29" s="340">
        <f t="shared" si="8"/>
        <v>27</v>
      </c>
      <c r="AF29" s="340">
        <f t="shared" si="8"/>
        <v>28</v>
      </c>
      <c r="AG29" s="340">
        <f t="shared" si="8"/>
        <v>29</v>
      </c>
      <c r="AH29" s="340">
        <f t="shared" si="8"/>
        <v>30</v>
      </c>
      <c r="AI29" s="340">
        <f t="shared" si="8"/>
        <v>31</v>
      </c>
      <c r="AJ29" s="340">
        <f t="shared" si="8"/>
        <v>32</v>
      </c>
      <c r="AK29" s="340">
        <f t="shared" si="8"/>
        <v>33</v>
      </c>
      <c r="AL29" s="340">
        <f t="shared" si="8"/>
        <v>34</v>
      </c>
      <c r="AM29" s="340">
        <f t="shared" si="8"/>
        <v>35</v>
      </c>
    </row>
    <row r="30" spans="4:39" ht="15" thickBot="1">
      <c r="D30" s="297" t="str">
        <f>DFs!C63</f>
        <v>(=) EBITDA</v>
      </c>
      <c r="E30" s="441">
        <f>DFs!F63</f>
        <v>-1261.210522538601</v>
      </c>
      <c r="F30" s="441">
        <f>DFs!G63</f>
        <v>-15823.9004409386</v>
      </c>
      <c r="G30" s="441">
        <f>DFs!H63</f>
        <v>1455883.6641128501</v>
      </c>
      <c r="H30" s="441">
        <f>DFs!I63</f>
        <v>1369230.1351243816</v>
      </c>
      <c r="I30" s="441">
        <f>DFs!J63</f>
        <v>1366051.1445580712</v>
      </c>
      <c r="J30" s="441">
        <f>DFs!K63</f>
        <v>1369230.1351243816</v>
      </c>
      <c r="K30" s="441">
        <f>DFs!L63</f>
        <v>1349542.8949838551</v>
      </c>
      <c r="L30" s="441">
        <f>DFs!M63</f>
        <v>1366051.1445580712</v>
      </c>
      <c r="M30" s="441">
        <f>DFs!N63</f>
        <v>1369230.1351243816</v>
      </c>
      <c r="N30" s="441">
        <f>DFs!O63</f>
        <v>1369230.1351243816</v>
      </c>
      <c r="O30" s="441">
        <f>DFs!P63</f>
        <v>1366051.1445580712</v>
      </c>
      <c r="P30" s="441">
        <f>DFs!Q63</f>
        <v>1349542.8949838551</v>
      </c>
      <c r="Q30" s="441">
        <f>DFs!R63</f>
        <v>1364938.1551243821</v>
      </c>
      <c r="R30" s="441">
        <f>DFs!S63</f>
        <v>1366051.1445580712</v>
      </c>
      <c r="S30" s="441">
        <f>DFs!T63</f>
        <v>1369230.1351243816</v>
      </c>
      <c r="T30" s="441">
        <f>DFs!U63</f>
        <v>1369230.1351243816</v>
      </c>
      <c r="U30" s="441">
        <f>DFs!V63</f>
        <v>1334134.61684772</v>
      </c>
      <c r="V30" s="441">
        <f>DFs!W63</f>
        <v>1369230.1351243816</v>
      </c>
      <c r="W30" s="441">
        <f>DFs!X63</f>
        <v>1369230.1351243816</v>
      </c>
      <c r="X30" s="441">
        <f>DFs!Y63</f>
        <v>1366051.1445580712</v>
      </c>
      <c r="Y30" s="441">
        <f>DFs!Z63</f>
        <v>1369230.1351243816</v>
      </c>
      <c r="Z30" s="441">
        <f>DFs!AA63</f>
        <v>1349542.8949838551</v>
      </c>
      <c r="AA30" s="441">
        <f>DFs!AB63</f>
        <v>1361759.1645580716</v>
      </c>
      <c r="AB30" s="441">
        <f>DFs!AC63</f>
        <v>1369230.1351243816</v>
      </c>
      <c r="AC30" s="441">
        <f>DFs!AD63</f>
        <v>1369230.1351243816</v>
      </c>
      <c r="AD30" s="441">
        <f>DFs!AE63</f>
        <v>1366051.1445580712</v>
      </c>
      <c r="AE30" s="441">
        <f>DFs!AF63</f>
        <v>1349542.8949838551</v>
      </c>
      <c r="AF30" s="441">
        <f>DFs!AG63</f>
        <v>1369230.1351243816</v>
      </c>
      <c r="AG30" s="441">
        <f>DFs!AH63</f>
        <v>1366051.1445580712</v>
      </c>
      <c r="AH30" s="441">
        <f>DFs!AI63</f>
        <v>1369230.1351243816</v>
      </c>
      <c r="AI30" s="441">
        <f>DFs!AJ63</f>
        <v>1369230.1351243816</v>
      </c>
      <c r="AJ30" s="441">
        <f>DFs!AK63</f>
        <v>1334134.61684772</v>
      </c>
      <c r="AK30" s="441">
        <f>DFs!AL63</f>
        <v>1364938.1551243821</v>
      </c>
      <c r="AL30" s="441">
        <f>DFs!AM63</f>
        <v>1369230.1351243816</v>
      </c>
      <c r="AM30" s="441">
        <f>DFs!AN63</f>
        <v>1366051.1445580712</v>
      </c>
    </row>
    <row r="31" spans="4:39" ht="15" thickBot="1">
      <c r="D31" s="297" t="str">
        <f>DFs!C64</f>
        <v>(-) Investimentos</v>
      </c>
      <c r="E31" s="441">
        <f>DFs!F64</f>
        <v>-3087330.8278636746</v>
      </c>
      <c r="F31" s="441">
        <f>DFs!G64</f>
        <v>-2694062.8200761257</v>
      </c>
      <c r="G31" s="441">
        <f>DFs!H64</f>
        <v>0</v>
      </c>
      <c r="H31" s="441">
        <f>DFs!I64</f>
        <v>0</v>
      </c>
      <c r="I31" s="441">
        <f>DFs!J64</f>
        <v>0</v>
      </c>
      <c r="J31" s="441">
        <f>DFs!K64</f>
        <v>0</v>
      </c>
      <c r="K31" s="441">
        <f>DFs!L64</f>
        <v>0</v>
      </c>
      <c r="L31" s="441">
        <f>DFs!M64</f>
        <v>0</v>
      </c>
      <c r="M31" s="441">
        <f>DFs!N64</f>
        <v>0</v>
      </c>
      <c r="N31" s="441">
        <f>DFs!O64</f>
        <v>0</v>
      </c>
      <c r="O31" s="441">
        <f>DFs!P64</f>
        <v>0</v>
      </c>
      <c r="P31" s="441">
        <f>DFs!Q64</f>
        <v>0</v>
      </c>
      <c r="Q31" s="441">
        <f>DFs!R64</f>
        <v>0</v>
      </c>
      <c r="R31" s="441">
        <f>DFs!S64</f>
        <v>0</v>
      </c>
      <c r="S31" s="441">
        <f>DFs!T64</f>
        <v>0</v>
      </c>
      <c r="T31" s="441">
        <f>DFs!U64</f>
        <v>0</v>
      </c>
      <c r="U31" s="441">
        <f>DFs!V64</f>
        <v>0</v>
      </c>
      <c r="V31" s="441">
        <f>DFs!W64</f>
        <v>0</v>
      </c>
      <c r="W31" s="441">
        <f>DFs!X64</f>
        <v>0</v>
      </c>
      <c r="X31" s="441">
        <f>DFs!Y64</f>
        <v>0</v>
      </c>
      <c r="Y31" s="441">
        <f>DFs!Z64</f>
        <v>0</v>
      </c>
      <c r="Z31" s="441">
        <f>DFs!AA64</f>
        <v>0</v>
      </c>
      <c r="AA31" s="441">
        <f>DFs!AB64</f>
        <v>0</v>
      </c>
      <c r="AB31" s="441">
        <f>DFs!AC64</f>
        <v>0</v>
      </c>
      <c r="AC31" s="441">
        <f>DFs!AD64</f>
        <v>0</v>
      </c>
      <c r="AD31" s="441">
        <f>DFs!AE64</f>
        <v>0</v>
      </c>
      <c r="AE31" s="441">
        <f>DFs!AF64</f>
        <v>0</v>
      </c>
      <c r="AF31" s="441">
        <f>DFs!AG64</f>
        <v>0</v>
      </c>
      <c r="AG31" s="441">
        <f>DFs!AH64</f>
        <v>0</v>
      </c>
      <c r="AH31" s="441">
        <f>DFs!AI64</f>
        <v>0</v>
      </c>
      <c r="AI31" s="441">
        <f>DFs!AJ64</f>
        <v>0</v>
      </c>
      <c r="AJ31" s="441">
        <f>DFs!AK64</f>
        <v>0</v>
      </c>
      <c r="AK31" s="441">
        <f>DFs!AL64</f>
        <v>0</v>
      </c>
      <c r="AL31" s="441">
        <f>DFs!AM64</f>
        <v>0</v>
      </c>
      <c r="AM31" s="441">
        <f>DFs!AN64</f>
        <v>0</v>
      </c>
    </row>
    <row r="32" spans="4:39">
      <c r="D32" s="535" t="str">
        <f>DFs!C65</f>
        <v>Capex Infraestrutura (Reforma + Ampliação)</v>
      </c>
      <c r="E32" s="439">
        <f>DFs!F65</f>
        <v>-3111685.88</v>
      </c>
      <c r="F32" s="439">
        <f>DFs!G65</f>
        <v>-3111685.88</v>
      </c>
      <c r="G32" s="439">
        <f>DFs!H65</f>
        <v>0</v>
      </c>
      <c r="H32" s="439">
        <f>DFs!I65</f>
        <v>0</v>
      </c>
      <c r="I32" s="439">
        <f>DFs!J65</f>
        <v>0</v>
      </c>
      <c r="J32" s="439">
        <f>DFs!K65</f>
        <v>0</v>
      </c>
      <c r="K32" s="439">
        <f>DFs!L65</f>
        <v>0</v>
      </c>
      <c r="L32" s="439">
        <f>DFs!M65</f>
        <v>0</v>
      </c>
      <c r="M32" s="439">
        <f>DFs!N65</f>
        <v>0</v>
      </c>
      <c r="N32" s="439">
        <f>DFs!O65</f>
        <v>0</v>
      </c>
      <c r="O32" s="439">
        <f>DFs!P65</f>
        <v>0</v>
      </c>
      <c r="P32" s="439">
        <f>DFs!Q65</f>
        <v>0</v>
      </c>
      <c r="Q32" s="439">
        <f>DFs!R65</f>
        <v>0</v>
      </c>
      <c r="R32" s="439">
        <f>DFs!S65</f>
        <v>0</v>
      </c>
      <c r="S32" s="439">
        <f>DFs!T65</f>
        <v>0</v>
      </c>
      <c r="T32" s="439">
        <f>DFs!U65</f>
        <v>0</v>
      </c>
      <c r="U32" s="439">
        <f>DFs!V65</f>
        <v>0</v>
      </c>
      <c r="V32" s="439">
        <f>DFs!W65</f>
        <v>0</v>
      </c>
      <c r="W32" s="439">
        <f>DFs!X65</f>
        <v>0</v>
      </c>
      <c r="X32" s="439">
        <f>DFs!Y65</f>
        <v>0</v>
      </c>
      <c r="Y32" s="439">
        <f>DFs!Z65</f>
        <v>0</v>
      </c>
      <c r="Z32" s="439">
        <f>DFs!AA65</f>
        <v>0</v>
      </c>
      <c r="AA32" s="439">
        <f>DFs!AB65</f>
        <v>0</v>
      </c>
      <c r="AB32" s="439">
        <f>DFs!AC65</f>
        <v>0</v>
      </c>
      <c r="AC32" s="439">
        <f>DFs!AD65</f>
        <v>0</v>
      </c>
      <c r="AD32" s="439">
        <f>DFs!AE65</f>
        <v>0</v>
      </c>
      <c r="AE32" s="439">
        <f>DFs!AF65</f>
        <v>0</v>
      </c>
      <c r="AF32" s="439">
        <f>DFs!AG65</f>
        <v>0</v>
      </c>
      <c r="AG32" s="439">
        <f>DFs!AH65</f>
        <v>0</v>
      </c>
      <c r="AH32" s="439">
        <f>DFs!AI65</f>
        <v>0</v>
      </c>
      <c r="AI32" s="439">
        <f>DFs!AJ65</f>
        <v>0</v>
      </c>
      <c r="AJ32" s="439">
        <f>DFs!AK65</f>
        <v>0</v>
      </c>
      <c r="AK32" s="439">
        <f>DFs!AL65</f>
        <v>0</v>
      </c>
      <c r="AL32" s="439">
        <f>DFs!AM65</f>
        <v>0</v>
      </c>
      <c r="AM32" s="439">
        <f>DFs!AN65</f>
        <v>0</v>
      </c>
    </row>
    <row r="33" spans="4:39">
      <c r="D33" s="536" t="str">
        <f>DFs!C66</f>
        <v>Capex - Investimento</v>
      </c>
      <c r="E33" s="439">
        <f>DFs!F66</f>
        <v>-3111685.88</v>
      </c>
      <c r="F33" s="439">
        <f>DFs!G66</f>
        <v>-3111685.88</v>
      </c>
      <c r="G33" s="439">
        <f>DFs!H66</f>
        <v>0</v>
      </c>
      <c r="H33" s="439">
        <f>DFs!I66</f>
        <v>0</v>
      </c>
      <c r="I33" s="439">
        <f>DFs!J66</f>
        <v>0</v>
      </c>
      <c r="J33" s="439">
        <f>DFs!K66</f>
        <v>0</v>
      </c>
      <c r="K33" s="439">
        <f>DFs!L66</f>
        <v>0</v>
      </c>
      <c r="L33" s="439">
        <f>DFs!M66</f>
        <v>0</v>
      </c>
      <c r="M33" s="439">
        <f>DFs!N66</f>
        <v>0</v>
      </c>
      <c r="N33" s="439">
        <f>DFs!O66</f>
        <v>0</v>
      </c>
      <c r="O33" s="439">
        <f>DFs!P66</f>
        <v>0</v>
      </c>
      <c r="P33" s="439">
        <f>DFs!Q66</f>
        <v>0</v>
      </c>
      <c r="Q33" s="439">
        <f>DFs!R66</f>
        <v>0</v>
      </c>
      <c r="R33" s="439">
        <f>DFs!S66</f>
        <v>0</v>
      </c>
      <c r="S33" s="439">
        <f>DFs!T66</f>
        <v>0</v>
      </c>
      <c r="T33" s="439">
        <f>DFs!U66</f>
        <v>0</v>
      </c>
      <c r="U33" s="439">
        <f>DFs!V66</f>
        <v>0</v>
      </c>
      <c r="V33" s="439">
        <f>DFs!W66</f>
        <v>0</v>
      </c>
      <c r="W33" s="439">
        <f>DFs!X66</f>
        <v>0</v>
      </c>
      <c r="X33" s="439">
        <f>DFs!Y66</f>
        <v>0</v>
      </c>
      <c r="Y33" s="439">
        <f>DFs!Z66</f>
        <v>0</v>
      </c>
      <c r="Z33" s="439">
        <f>DFs!AA66</f>
        <v>0</v>
      </c>
      <c r="AA33" s="439">
        <f>DFs!AB66</f>
        <v>0</v>
      </c>
      <c r="AB33" s="439">
        <f>DFs!AC66</f>
        <v>0</v>
      </c>
      <c r="AC33" s="439">
        <f>DFs!AD66</f>
        <v>0</v>
      </c>
      <c r="AD33" s="439">
        <f>DFs!AE66</f>
        <v>0</v>
      </c>
      <c r="AE33" s="439">
        <f>DFs!AF66</f>
        <v>0</v>
      </c>
      <c r="AF33" s="439">
        <f>DFs!AG66</f>
        <v>0</v>
      </c>
      <c r="AG33" s="439">
        <f>DFs!AH66</f>
        <v>0</v>
      </c>
      <c r="AH33" s="439">
        <f>DFs!AI66</f>
        <v>0</v>
      </c>
      <c r="AI33" s="439">
        <f>DFs!AJ66</f>
        <v>0</v>
      </c>
      <c r="AJ33" s="439">
        <f>DFs!AK66</f>
        <v>0</v>
      </c>
      <c r="AK33" s="439">
        <f>DFs!AL66</f>
        <v>0</v>
      </c>
      <c r="AL33" s="439">
        <f>DFs!AM66</f>
        <v>0</v>
      </c>
      <c r="AM33" s="439">
        <f>DFs!AN66</f>
        <v>0</v>
      </c>
    </row>
    <row r="34" spans="4:39">
      <c r="D34" s="536" t="str">
        <f>DFs!C67</f>
        <v>Capex Reinvestimento</v>
      </c>
      <c r="E34" s="439">
        <f>DFs!F67</f>
        <v>0</v>
      </c>
      <c r="F34" s="439">
        <f>DFs!G67</f>
        <v>0</v>
      </c>
      <c r="G34" s="439">
        <f>DFs!H67</f>
        <v>0</v>
      </c>
      <c r="H34" s="439">
        <f>DFs!I67</f>
        <v>0</v>
      </c>
      <c r="I34" s="439">
        <f>DFs!J67</f>
        <v>0</v>
      </c>
      <c r="J34" s="439">
        <f>DFs!K67</f>
        <v>0</v>
      </c>
      <c r="K34" s="439">
        <f>DFs!L67</f>
        <v>0</v>
      </c>
      <c r="L34" s="439">
        <f>DFs!M67</f>
        <v>0</v>
      </c>
      <c r="M34" s="439">
        <f>DFs!N67</f>
        <v>0</v>
      </c>
      <c r="N34" s="439">
        <f>DFs!O67</f>
        <v>0</v>
      </c>
      <c r="O34" s="439">
        <f>DFs!P67</f>
        <v>0</v>
      </c>
      <c r="P34" s="439">
        <f>DFs!Q67</f>
        <v>0</v>
      </c>
      <c r="Q34" s="439">
        <f>DFs!R67</f>
        <v>0</v>
      </c>
      <c r="R34" s="439">
        <f>DFs!S67</f>
        <v>0</v>
      </c>
      <c r="S34" s="439">
        <f>DFs!T67</f>
        <v>0</v>
      </c>
      <c r="T34" s="439">
        <f>DFs!U67</f>
        <v>0</v>
      </c>
      <c r="U34" s="439">
        <f>DFs!V67</f>
        <v>0</v>
      </c>
      <c r="V34" s="439">
        <f>DFs!W67</f>
        <v>0</v>
      </c>
      <c r="W34" s="439">
        <f>DFs!X67</f>
        <v>0</v>
      </c>
      <c r="X34" s="439">
        <f>DFs!Y67</f>
        <v>0</v>
      </c>
      <c r="Y34" s="439">
        <f>DFs!Z67</f>
        <v>0</v>
      </c>
      <c r="Z34" s="439">
        <f>DFs!AA67</f>
        <v>0</v>
      </c>
      <c r="AA34" s="439">
        <f>DFs!AB67</f>
        <v>0</v>
      </c>
      <c r="AB34" s="439">
        <f>DFs!AC67</f>
        <v>0</v>
      </c>
      <c r="AC34" s="439">
        <f>DFs!AD67</f>
        <v>0</v>
      </c>
      <c r="AD34" s="439">
        <f>DFs!AE67</f>
        <v>0</v>
      </c>
      <c r="AE34" s="439">
        <f>DFs!AF67</f>
        <v>0</v>
      </c>
      <c r="AF34" s="439">
        <f>DFs!AG67</f>
        <v>0</v>
      </c>
      <c r="AG34" s="439">
        <f>DFs!AH67</f>
        <v>0</v>
      </c>
      <c r="AH34" s="439">
        <f>DFs!AI67</f>
        <v>0</v>
      </c>
      <c r="AI34" s="439">
        <f>DFs!AJ67</f>
        <v>0</v>
      </c>
      <c r="AJ34" s="439">
        <f>DFs!AK67</f>
        <v>0</v>
      </c>
      <c r="AK34" s="439">
        <f>DFs!AL67</f>
        <v>0</v>
      </c>
      <c r="AL34" s="439">
        <f>DFs!AM67</f>
        <v>0</v>
      </c>
      <c r="AM34" s="439">
        <f>DFs!AN67</f>
        <v>0</v>
      </c>
    </row>
    <row r="35" spans="4:39">
      <c r="D35" s="535" t="str">
        <f>DFs!C68</f>
        <v>Capex aquisição</v>
      </c>
      <c r="E35" s="439">
        <f>DFs!F68</f>
        <v>0</v>
      </c>
      <c r="F35" s="439">
        <f>DFs!G68</f>
        <v>-556731.99221245095</v>
      </c>
      <c r="G35" s="439">
        <f>DFs!H68</f>
        <v>0</v>
      </c>
      <c r="H35" s="439">
        <f>DFs!I68</f>
        <v>0</v>
      </c>
      <c r="I35" s="439">
        <f>DFs!J68</f>
        <v>0</v>
      </c>
      <c r="J35" s="439">
        <f>DFs!K68</f>
        <v>0</v>
      </c>
      <c r="K35" s="439">
        <f>DFs!L68</f>
        <v>0</v>
      </c>
      <c r="L35" s="439">
        <f>DFs!M68</f>
        <v>0</v>
      </c>
      <c r="M35" s="439">
        <f>DFs!N68</f>
        <v>0</v>
      </c>
      <c r="N35" s="439">
        <f>DFs!O68</f>
        <v>0</v>
      </c>
      <c r="O35" s="439">
        <f>DFs!P68</f>
        <v>0</v>
      </c>
      <c r="P35" s="439">
        <f>DFs!Q68</f>
        <v>0</v>
      </c>
      <c r="Q35" s="439">
        <f>DFs!R68</f>
        <v>0</v>
      </c>
      <c r="R35" s="439">
        <f>DFs!S68</f>
        <v>0</v>
      </c>
      <c r="S35" s="439">
        <f>DFs!T68</f>
        <v>0</v>
      </c>
      <c r="T35" s="439">
        <f>DFs!U68</f>
        <v>0</v>
      </c>
      <c r="U35" s="439">
        <f>DFs!V68</f>
        <v>0</v>
      </c>
      <c r="V35" s="439">
        <f>DFs!W68</f>
        <v>0</v>
      </c>
      <c r="W35" s="439">
        <f>DFs!X68</f>
        <v>0</v>
      </c>
      <c r="X35" s="439">
        <f>DFs!Y68</f>
        <v>0</v>
      </c>
      <c r="Y35" s="439">
        <f>DFs!Z68</f>
        <v>0</v>
      </c>
      <c r="Z35" s="439">
        <f>DFs!AA68</f>
        <v>0</v>
      </c>
      <c r="AA35" s="439">
        <f>DFs!AB68</f>
        <v>0</v>
      </c>
      <c r="AB35" s="439">
        <f>DFs!AC68</f>
        <v>0</v>
      </c>
      <c r="AC35" s="439">
        <f>DFs!AD68</f>
        <v>0</v>
      </c>
      <c r="AD35" s="439">
        <f>DFs!AE68</f>
        <v>0</v>
      </c>
      <c r="AE35" s="439">
        <f>DFs!AF68</f>
        <v>0</v>
      </c>
      <c r="AF35" s="439">
        <f>DFs!AG68</f>
        <v>0</v>
      </c>
      <c r="AG35" s="439">
        <f>DFs!AH68</f>
        <v>0</v>
      </c>
      <c r="AH35" s="439">
        <f>DFs!AI68</f>
        <v>0</v>
      </c>
      <c r="AI35" s="439">
        <f>DFs!AJ68</f>
        <v>0</v>
      </c>
      <c r="AJ35" s="439">
        <f>DFs!AK68</f>
        <v>0</v>
      </c>
      <c r="AK35" s="439">
        <f>DFs!AL68</f>
        <v>0</v>
      </c>
      <c r="AL35" s="439">
        <f>DFs!AM68</f>
        <v>0</v>
      </c>
      <c r="AM35" s="439">
        <f>DFs!AN68</f>
        <v>0</v>
      </c>
    </row>
    <row r="36" spans="4:39">
      <c r="D36" s="535" t="str">
        <f>DFs!C69</f>
        <v>Outorga Fixa e Remuneração do estudos</v>
      </c>
      <c r="E36" s="439">
        <f>DFs!F69</f>
        <v>-950000</v>
      </c>
      <c r="F36" s="439">
        <f>DFs!G69</f>
        <v>0</v>
      </c>
      <c r="G36" s="439">
        <f>DFs!H69</f>
        <v>0</v>
      </c>
      <c r="H36" s="439">
        <f>DFs!I69</f>
        <v>0</v>
      </c>
      <c r="I36" s="439">
        <f>DFs!J69</f>
        <v>0</v>
      </c>
      <c r="J36" s="439">
        <f>DFs!K69</f>
        <v>0</v>
      </c>
      <c r="K36" s="439">
        <f>DFs!L69</f>
        <v>0</v>
      </c>
      <c r="L36" s="439">
        <f>DFs!M69</f>
        <v>0</v>
      </c>
      <c r="M36" s="439">
        <f>DFs!N69</f>
        <v>0</v>
      </c>
      <c r="N36" s="439">
        <f>DFs!O69</f>
        <v>0</v>
      </c>
      <c r="O36" s="439">
        <f>DFs!P69</f>
        <v>0</v>
      </c>
      <c r="P36" s="439">
        <f>DFs!Q69</f>
        <v>0</v>
      </c>
      <c r="Q36" s="439">
        <f>DFs!R69</f>
        <v>0</v>
      </c>
      <c r="R36" s="439">
        <f>DFs!S69</f>
        <v>0</v>
      </c>
      <c r="S36" s="439">
        <f>DFs!T69</f>
        <v>0</v>
      </c>
      <c r="T36" s="439">
        <f>DFs!U69</f>
        <v>0</v>
      </c>
      <c r="U36" s="439">
        <f>DFs!V69</f>
        <v>0</v>
      </c>
      <c r="V36" s="439">
        <f>DFs!W69</f>
        <v>0</v>
      </c>
      <c r="W36" s="439">
        <f>DFs!X69</f>
        <v>0</v>
      </c>
      <c r="X36" s="439">
        <f>DFs!Y69</f>
        <v>0</v>
      </c>
      <c r="Y36" s="439">
        <f>DFs!Z69</f>
        <v>0</v>
      </c>
      <c r="Z36" s="439">
        <f>DFs!AA69</f>
        <v>0</v>
      </c>
      <c r="AA36" s="439">
        <f>DFs!AB69</f>
        <v>0</v>
      </c>
      <c r="AB36" s="439">
        <f>DFs!AC69</f>
        <v>0</v>
      </c>
      <c r="AC36" s="439">
        <f>DFs!AD69</f>
        <v>0</v>
      </c>
      <c r="AD36" s="439">
        <f>DFs!AE69</f>
        <v>0</v>
      </c>
      <c r="AE36" s="439">
        <f>DFs!AF69</f>
        <v>0</v>
      </c>
      <c r="AF36" s="439">
        <f>DFs!AG69</f>
        <v>0</v>
      </c>
      <c r="AG36" s="439">
        <f>DFs!AH69</f>
        <v>0</v>
      </c>
      <c r="AH36" s="439">
        <f>DFs!AI69</f>
        <v>0</v>
      </c>
      <c r="AI36" s="439">
        <f>DFs!AJ69</f>
        <v>0</v>
      </c>
      <c r="AJ36" s="439">
        <f>DFs!AK69</f>
        <v>0</v>
      </c>
      <c r="AK36" s="439">
        <f>DFs!AL69</f>
        <v>0</v>
      </c>
      <c r="AL36" s="439">
        <f>DFs!AM69</f>
        <v>0</v>
      </c>
      <c r="AM36" s="439">
        <f>DFs!AN69</f>
        <v>0</v>
      </c>
    </row>
    <row r="37" spans="4:39">
      <c r="D37" s="535" t="str">
        <f>DFs!C70</f>
        <v>Subsídio</v>
      </c>
      <c r="E37" s="439">
        <f>DFs!F70</f>
        <v>974355.05213632551</v>
      </c>
      <c r="F37" s="439">
        <f>DFs!G70</f>
        <v>974355.05213632551</v>
      </c>
      <c r="G37" s="439">
        <f>DFs!H70</f>
        <v>0</v>
      </c>
      <c r="H37" s="439">
        <f>DFs!I70</f>
        <v>0</v>
      </c>
      <c r="I37" s="439">
        <f>DFs!J70</f>
        <v>0</v>
      </c>
      <c r="J37" s="439">
        <f>DFs!K70</f>
        <v>0</v>
      </c>
      <c r="K37" s="439">
        <f>DFs!L70</f>
        <v>0</v>
      </c>
      <c r="L37" s="439">
        <f>DFs!M70</f>
        <v>0</v>
      </c>
      <c r="M37" s="439">
        <f>DFs!N70</f>
        <v>0</v>
      </c>
      <c r="N37" s="439">
        <f>DFs!O70</f>
        <v>0</v>
      </c>
      <c r="O37" s="439">
        <f>DFs!P70</f>
        <v>0</v>
      </c>
      <c r="P37" s="439">
        <f>DFs!Q70</f>
        <v>0</v>
      </c>
      <c r="Q37" s="439">
        <f>DFs!R70</f>
        <v>0</v>
      </c>
      <c r="R37" s="439">
        <f>DFs!S70</f>
        <v>0</v>
      </c>
      <c r="S37" s="439">
        <f>DFs!T70</f>
        <v>0</v>
      </c>
      <c r="T37" s="439">
        <f>DFs!U70</f>
        <v>0</v>
      </c>
      <c r="U37" s="439">
        <f>DFs!V70</f>
        <v>0</v>
      </c>
      <c r="V37" s="439">
        <f>DFs!W70</f>
        <v>0</v>
      </c>
      <c r="W37" s="439">
        <f>DFs!X70</f>
        <v>0</v>
      </c>
      <c r="X37" s="439">
        <f>DFs!Y70</f>
        <v>0</v>
      </c>
      <c r="Y37" s="439">
        <f>DFs!Z70</f>
        <v>0</v>
      </c>
      <c r="Z37" s="439">
        <f>DFs!AA70</f>
        <v>0</v>
      </c>
      <c r="AA37" s="439">
        <f>DFs!AB70</f>
        <v>0</v>
      </c>
      <c r="AB37" s="439">
        <f>DFs!AC70</f>
        <v>0</v>
      </c>
      <c r="AC37" s="439">
        <f>DFs!AD70</f>
        <v>0</v>
      </c>
      <c r="AD37" s="439">
        <f>DFs!AE70</f>
        <v>0</v>
      </c>
      <c r="AE37" s="439">
        <f>DFs!AF70</f>
        <v>0</v>
      </c>
      <c r="AF37" s="439">
        <f>DFs!AG70</f>
        <v>0</v>
      </c>
      <c r="AG37" s="439">
        <f>DFs!AH70</f>
        <v>0</v>
      </c>
      <c r="AH37" s="439">
        <f>DFs!AI70</f>
        <v>0</v>
      </c>
      <c r="AI37" s="439">
        <f>DFs!AJ70</f>
        <v>0</v>
      </c>
      <c r="AJ37" s="439">
        <f>DFs!AK70</f>
        <v>0</v>
      </c>
      <c r="AK37" s="439">
        <f>DFs!AL70</f>
        <v>0</v>
      </c>
      <c r="AL37" s="439">
        <f>DFs!AM70</f>
        <v>0</v>
      </c>
      <c r="AM37" s="439">
        <f>DFs!AN70</f>
        <v>0</v>
      </c>
    </row>
    <row r="38" spans="4:39">
      <c r="D38" s="297" t="str">
        <f>DFs!C71</f>
        <v>(+/-) Δ Kgiro</v>
      </c>
      <c r="E38" s="439">
        <f>DFs!F71</f>
        <v>-70.067251252144501</v>
      </c>
      <c r="F38" s="439">
        <f>DFs!G71</f>
        <v>-879.10558005214443</v>
      </c>
      <c r="G38" s="439">
        <f>DFs!H71</f>
        <v>255787.65294420504</v>
      </c>
      <c r="H38" s="439">
        <f>DFs!I71</f>
        <v>250973.5680004012</v>
      </c>
      <c r="I38" s="439">
        <f>DFs!J71</f>
        <v>250796.95741338399</v>
      </c>
      <c r="J38" s="439">
        <f>DFs!K71</f>
        <v>250973.5680004012</v>
      </c>
      <c r="K38" s="439">
        <f>DFs!L71</f>
        <v>249879.8324370386</v>
      </c>
      <c r="L38" s="439">
        <f>DFs!M71</f>
        <v>250796.95741338399</v>
      </c>
      <c r="M38" s="439">
        <f>DFs!N71</f>
        <v>250973.5680004012</v>
      </c>
      <c r="N38" s="439">
        <f>DFs!O71</f>
        <v>250973.5680004012</v>
      </c>
      <c r="O38" s="439">
        <f>DFs!P71</f>
        <v>250796.95741338399</v>
      </c>
      <c r="P38" s="439">
        <f>DFs!Q71</f>
        <v>249879.8324370386</v>
      </c>
      <c r="Q38" s="439">
        <f>DFs!R71</f>
        <v>250735.1246670679</v>
      </c>
      <c r="R38" s="439">
        <f>DFs!S71</f>
        <v>250796.95741338399</v>
      </c>
      <c r="S38" s="439">
        <f>DFs!T71</f>
        <v>250973.5680004012</v>
      </c>
      <c r="T38" s="439">
        <f>DFs!U71</f>
        <v>250973.5680004012</v>
      </c>
      <c r="U38" s="439">
        <f>DFs!V71</f>
        <v>249023.81698503112</v>
      </c>
      <c r="V38" s="439">
        <f>DFs!W71</f>
        <v>250973.5680004012</v>
      </c>
      <c r="W38" s="439">
        <f>DFs!X71</f>
        <v>250973.5680004012</v>
      </c>
      <c r="X38" s="439">
        <f>DFs!Y71</f>
        <v>250796.95741338399</v>
      </c>
      <c r="Y38" s="439">
        <f>DFs!Z71</f>
        <v>250973.5680004012</v>
      </c>
      <c r="Z38" s="439">
        <f>DFs!AA71</f>
        <v>249879.8324370386</v>
      </c>
      <c r="AA38" s="439">
        <f>DFs!AB71</f>
        <v>250558.51408005069</v>
      </c>
      <c r="AB38" s="439">
        <f>DFs!AC71</f>
        <v>250973.5680004012</v>
      </c>
      <c r="AC38" s="439">
        <f>DFs!AD71</f>
        <v>250973.5680004012</v>
      </c>
      <c r="AD38" s="439">
        <f>DFs!AE71</f>
        <v>250796.95741338399</v>
      </c>
      <c r="AE38" s="439">
        <f>DFs!AF71</f>
        <v>249879.8324370386</v>
      </c>
      <c r="AF38" s="439">
        <f>DFs!AG71</f>
        <v>250973.5680004012</v>
      </c>
      <c r="AG38" s="439">
        <f>DFs!AH71</f>
        <v>250796.95741338399</v>
      </c>
      <c r="AH38" s="439">
        <f>DFs!AI71</f>
        <v>250973.5680004012</v>
      </c>
      <c r="AI38" s="439">
        <f>DFs!AJ71</f>
        <v>250973.5680004012</v>
      </c>
      <c r="AJ38" s="439">
        <f>DFs!AK71</f>
        <v>249023.81698503112</v>
      </c>
      <c r="AK38" s="439">
        <f>DFs!AL71</f>
        <v>250735.1246670679</v>
      </c>
      <c r="AL38" s="439">
        <f>DFs!AM71</f>
        <v>250973.5680004012</v>
      </c>
      <c r="AM38" s="439">
        <f>DFs!AN71</f>
        <v>250796.95741338399</v>
      </c>
    </row>
    <row r="39" spans="4:39">
      <c r="D39" s="297" t="str">
        <f>DFs!C72</f>
        <v xml:space="preserve">(+/-) Resultado Financeiro </v>
      </c>
      <c r="E39" s="439">
        <f>DFs!F72</f>
        <v>0</v>
      </c>
      <c r="F39" s="439">
        <f>DFs!G72</f>
        <v>0</v>
      </c>
      <c r="G39" s="439">
        <f>DFs!H72</f>
        <v>0</v>
      </c>
      <c r="H39" s="439">
        <f>DFs!I72</f>
        <v>0</v>
      </c>
      <c r="I39" s="439">
        <f>DFs!J72</f>
        <v>0</v>
      </c>
      <c r="J39" s="439">
        <f ca="1">DFs!K72</f>
        <v>-226708.22107153511</v>
      </c>
      <c r="K39" s="439">
        <f ca="1">DFs!L72</f>
        <v>-207815.86931557386</v>
      </c>
      <c r="L39" s="439">
        <f ca="1">DFs!M72</f>
        <v>-188923.51755961264</v>
      </c>
      <c r="M39" s="439">
        <f ca="1">DFs!N72</f>
        <v>-170031.16580365138</v>
      </c>
      <c r="N39" s="439">
        <f ca="1">DFs!O72</f>
        <v>-151138.81404769013</v>
      </c>
      <c r="O39" s="439">
        <f ca="1">DFs!P72</f>
        <v>-132246.46229172888</v>
      </c>
      <c r="P39" s="439">
        <f ca="1">DFs!Q72</f>
        <v>-113354.11053576761</v>
      </c>
      <c r="Q39" s="439">
        <f ca="1">DFs!R72</f>
        <v>-94461.758779806347</v>
      </c>
      <c r="R39" s="439">
        <f ca="1">DFs!S72</f>
        <v>-75569.407023845095</v>
      </c>
      <c r="S39" s="439">
        <f ca="1">DFs!T72</f>
        <v>-56677.055267883828</v>
      </c>
      <c r="T39" s="439">
        <f ca="1">DFs!U72</f>
        <v>-37784.703511922569</v>
      </c>
      <c r="U39" s="439">
        <f ca="1">DFs!V72</f>
        <v>-18892.351755961314</v>
      </c>
      <c r="V39" s="439">
        <f ca="1">DFs!W72</f>
        <v>-5.3155235946178437E-11</v>
      </c>
      <c r="W39" s="439">
        <f ca="1">DFs!X72</f>
        <v>-5.7200349401682616E-11</v>
      </c>
      <c r="X39" s="439">
        <f ca="1">DFs!Y72</f>
        <v>-6.1553295991150666E-11</v>
      </c>
      <c r="Y39" s="439">
        <f ca="1">DFs!Z72</f>
        <v>-6.6237501816077232E-11</v>
      </c>
      <c r="Z39" s="439">
        <f ca="1">DFs!AA72</f>
        <v>-7.1278175704280713E-11</v>
      </c>
      <c r="AA39" s="439">
        <f ca="1">DFs!AB72</f>
        <v>-7.6702444875376465E-11</v>
      </c>
      <c r="AB39" s="439">
        <f ca="1">DFs!AC72</f>
        <v>-8.2539500930392619E-11</v>
      </c>
      <c r="AC39" s="439">
        <f ca="1">DFs!AD72</f>
        <v>-8.8820756951195492E-11</v>
      </c>
      <c r="AD39" s="439">
        <f ca="1">DFs!AE72</f>
        <v>-9.5580016555181465E-11</v>
      </c>
      <c r="AE39" s="439">
        <f ca="1">DFs!AF72</f>
        <v>-1.0285365581503077E-10</v>
      </c>
      <c r="AF39" s="439">
        <f ca="1">DFs!AG72</f>
        <v>-1.1068081902255462E-10</v>
      </c>
      <c r="AG39" s="439">
        <f ca="1">DFs!AH72</f>
        <v>-1.1910362935017102E-10</v>
      </c>
      <c r="AH39" s="439">
        <f ca="1">DFs!AI72</f>
        <v>-1.2816741554371902E-10</v>
      </c>
      <c r="AI39" s="439">
        <f ca="1">DFs!AJ72</f>
        <v>-1.3792095586659604E-10</v>
      </c>
      <c r="AJ39" s="439">
        <f ca="1">DFs!AK72</f>
        <v>-1.48416740608044E-10</v>
      </c>
      <c r="AK39" s="439">
        <f ca="1">DFs!AL72</f>
        <v>-1.5971125456831614E-10</v>
      </c>
      <c r="AL39" s="439">
        <f ca="1">DFs!AM72</f>
        <v>-1.7186528104096501E-10</v>
      </c>
      <c r="AM39" s="439">
        <f ca="1">DFs!AN72</f>
        <v>-1.8494422892818244E-10</v>
      </c>
    </row>
    <row r="40" spans="4:39" ht="15" thickBot="1">
      <c r="D40" s="298" t="str">
        <f>DFs!C73</f>
        <v xml:space="preserve">(-) IRPJ/CSLL </v>
      </c>
      <c r="E40" s="439">
        <f>DFs!F73</f>
        <v>0</v>
      </c>
      <c r="F40" s="439">
        <f>DFs!G73</f>
        <v>0</v>
      </c>
      <c r="G40" s="439">
        <f>DFs!H73</f>
        <v>-725938.47152808565</v>
      </c>
      <c r="H40" s="439">
        <f>DFs!I73</f>
        <v>-725938.47152808565</v>
      </c>
      <c r="I40" s="439">
        <f>DFs!J73</f>
        <v>-725938.47152808565</v>
      </c>
      <c r="J40" s="439">
        <f>DFs!K73</f>
        <v>-725938.47152808565</v>
      </c>
      <c r="K40" s="439">
        <f>DFs!L73</f>
        <v>-725938.47152808565</v>
      </c>
      <c r="L40" s="439">
        <f>DFs!M73</f>
        <v>-725938.47152808565</v>
      </c>
      <c r="M40" s="439">
        <f>DFs!N73</f>
        <v>-725938.47152808565</v>
      </c>
      <c r="N40" s="439">
        <f>DFs!O73</f>
        <v>-725938.47152808565</v>
      </c>
      <c r="O40" s="439">
        <f>DFs!P73</f>
        <v>-725938.47152808565</v>
      </c>
      <c r="P40" s="439">
        <f>DFs!Q73</f>
        <v>-725938.47152808565</v>
      </c>
      <c r="Q40" s="439">
        <f>DFs!R73</f>
        <v>-725938.47152808565</v>
      </c>
      <c r="R40" s="439">
        <f>DFs!S73</f>
        <v>-725938.47152808565</v>
      </c>
      <c r="S40" s="439">
        <f>DFs!T73</f>
        <v>-725938.47152808565</v>
      </c>
      <c r="T40" s="439">
        <f>DFs!U73</f>
        <v>-725938.47152808565</v>
      </c>
      <c r="U40" s="439">
        <f>DFs!V73</f>
        <v>-725938.47152808565</v>
      </c>
      <c r="V40" s="439">
        <f>DFs!W73</f>
        <v>-725938.47152808565</v>
      </c>
      <c r="W40" s="439">
        <f>DFs!X73</f>
        <v>-725938.47152808565</v>
      </c>
      <c r="X40" s="439">
        <f>DFs!Y73</f>
        <v>-725938.47152808565</v>
      </c>
      <c r="Y40" s="439">
        <f>DFs!Z73</f>
        <v>-725938.47152808565</v>
      </c>
      <c r="Z40" s="439">
        <f>DFs!AA73</f>
        <v>-725938.47152808565</v>
      </c>
      <c r="AA40" s="439">
        <f>DFs!AB73</f>
        <v>-725938.47152808565</v>
      </c>
      <c r="AB40" s="439">
        <f>DFs!AC73</f>
        <v>-725938.47152808565</v>
      </c>
      <c r="AC40" s="439">
        <f>DFs!AD73</f>
        <v>-725938.47152808565</v>
      </c>
      <c r="AD40" s="439">
        <f>DFs!AE73</f>
        <v>-725938.47152808565</v>
      </c>
      <c r="AE40" s="439">
        <f>DFs!AF73</f>
        <v>-725938.47152808565</v>
      </c>
      <c r="AF40" s="439">
        <f>DFs!AG73</f>
        <v>-725938.47152808565</v>
      </c>
      <c r="AG40" s="439">
        <f>DFs!AH73</f>
        <v>-725938.47152808565</v>
      </c>
      <c r="AH40" s="439">
        <f>DFs!AI73</f>
        <v>-725938.47152808565</v>
      </c>
      <c r="AI40" s="439">
        <f>DFs!AJ73</f>
        <v>-725938.47152808565</v>
      </c>
      <c r="AJ40" s="439">
        <f>DFs!AK73</f>
        <v>-725938.47152808565</v>
      </c>
      <c r="AK40" s="439">
        <f>DFs!AL73</f>
        <v>-725938.47152808565</v>
      </c>
      <c r="AL40" s="439">
        <f>DFs!AM73</f>
        <v>-725938.47152808565</v>
      </c>
      <c r="AM40" s="439">
        <f>DFs!AN73</f>
        <v>-725938.47152808565</v>
      </c>
    </row>
    <row r="41" spans="4:39" ht="15" thickBot="1">
      <c r="D41" s="298" t="str">
        <f>DFs!C74</f>
        <v>(=) FCFE real (junho/2025)</v>
      </c>
      <c r="E41" s="441">
        <f>DFs!F74</f>
        <v>-3088662.1056374651</v>
      </c>
      <c r="F41" s="441">
        <f>DFs!G74</f>
        <v>-2710765.8260971168</v>
      </c>
      <c r="G41" s="441">
        <f>DFs!H74</f>
        <v>985732.84552896954</v>
      </c>
      <c r="H41" s="441">
        <f>DFs!I74</f>
        <v>894265.23159669712</v>
      </c>
      <c r="I41" s="441">
        <f>DFs!J74</f>
        <v>890909.6304433695</v>
      </c>
      <c r="J41" s="441">
        <f ca="1">DFs!K74</f>
        <v>667557.0105251621</v>
      </c>
      <c r="K41" s="441">
        <f ca="1">DFs!L74</f>
        <v>665668.38657723414</v>
      </c>
      <c r="L41" s="441">
        <f ca="1">DFs!M74</f>
        <v>701986.11288375687</v>
      </c>
      <c r="M41" s="441">
        <f ca="1">DFs!N74</f>
        <v>724234.0657930458</v>
      </c>
      <c r="N41" s="441">
        <f ca="1">DFs!O74</f>
        <v>743126.41754900711</v>
      </c>
      <c r="O41" s="441">
        <f ca="1">DFs!P74</f>
        <v>758663.16815164057</v>
      </c>
      <c r="P41" s="441">
        <f ca="1">DFs!Q74</f>
        <v>760130.14535704046</v>
      </c>
      <c r="Q41" s="441">
        <f ca="1">DFs!R74</f>
        <v>795273.04948355805</v>
      </c>
      <c r="R41" s="441">
        <f ca="1">DFs!S74</f>
        <v>815340.22341952438</v>
      </c>
      <c r="S41" s="441">
        <f ca="1">DFs!T74</f>
        <v>837588.17632881342</v>
      </c>
      <c r="T41" s="441">
        <f ca="1">DFs!U74</f>
        <v>856480.5280847745</v>
      </c>
      <c r="U41" s="441">
        <f ca="1">DFs!V74</f>
        <v>838327.61054870416</v>
      </c>
      <c r="V41" s="441">
        <f ca="1">DFs!W74</f>
        <v>894265.23159669712</v>
      </c>
      <c r="W41" s="441">
        <f ca="1">DFs!X74</f>
        <v>894265.23159669712</v>
      </c>
      <c r="X41" s="441">
        <f ca="1">DFs!Y74</f>
        <v>890909.63044336939</v>
      </c>
      <c r="Y41" s="441">
        <f ca="1">DFs!Z74</f>
        <v>894265.23159669712</v>
      </c>
      <c r="Z41" s="441">
        <f ca="1">DFs!AA74</f>
        <v>873484.25589280785</v>
      </c>
      <c r="AA41" s="441">
        <f ca="1">DFs!AB74</f>
        <v>886379.20711003663</v>
      </c>
      <c r="AB41" s="441">
        <f ca="1">DFs!AC74</f>
        <v>894265.23159669712</v>
      </c>
      <c r="AC41" s="441">
        <f ca="1">DFs!AD74</f>
        <v>894265.23159669712</v>
      </c>
      <c r="AD41" s="441">
        <f ca="1">DFs!AE74</f>
        <v>890909.63044336939</v>
      </c>
      <c r="AE41" s="441">
        <f ca="1">DFs!AF74</f>
        <v>873484.25589280785</v>
      </c>
      <c r="AF41" s="441">
        <f ca="1">DFs!AG74</f>
        <v>894265.23159669712</v>
      </c>
      <c r="AG41" s="441">
        <f ca="1">DFs!AH74</f>
        <v>890909.63044336939</v>
      </c>
      <c r="AH41" s="441">
        <f ca="1">DFs!AI74</f>
        <v>894265.23159669712</v>
      </c>
      <c r="AI41" s="441">
        <f ca="1">DFs!AJ74</f>
        <v>894265.23159669712</v>
      </c>
      <c r="AJ41" s="441">
        <f ca="1">DFs!AK74</f>
        <v>857219.96230466536</v>
      </c>
      <c r="AK41" s="441">
        <f ca="1">DFs!AL74</f>
        <v>889734.80826336425</v>
      </c>
      <c r="AL41" s="441">
        <f ca="1">DFs!AM74</f>
        <v>894265.23159669712</v>
      </c>
      <c r="AM41" s="441">
        <f ca="1">DFs!AN74</f>
        <v>890909.63044336927</v>
      </c>
    </row>
    <row r="43" spans="4:39" ht="15" thickBot="1">
      <c r="D43" s="297" t="s">
        <v>212</v>
      </c>
      <c r="E43" s="340">
        <f>I29</f>
        <v>5</v>
      </c>
      <c r="F43" s="340">
        <f>N29</f>
        <v>10</v>
      </c>
      <c r="G43" s="340">
        <f>S29</f>
        <v>15</v>
      </c>
      <c r="H43" s="340">
        <f>X29</f>
        <v>20</v>
      </c>
      <c r="I43" s="340">
        <f>AC29</f>
        <v>25</v>
      </c>
      <c r="J43" s="340">
        <f>AH29</f>
        <v>30</v>
      </c>
      <c r="K43" s="340">
        <f>AM29</f>
        <v>35</v>
      </c>
    </row>
    <row r="44" spans="4:39" ht="15" thickBot="1">
      <c r="D44" s="297" t="str">
        <f>D30</f>
        <v>(=) EBITDA</v>
      </c>
      <c r="E44" s="441">
        <f t="shared" ref="E44:E55" si="9">I30</f>
        <v>1366051.1445580712</v>
      </c>
      <c r="F44" s="441">
        <f t="shared" ref="F44:F55" si="10">N30</f>
        <v>1369230.1351243816</v>
      </c>
      <c r="G44" s="441">
        <f t="shared" ref="G44:G55" si="11">S30</f>
        <v>1369230.1351243816</v>
      </c>
      <c r="H44" s="441">
        <f t="shared" ref="H44:H55" si="12">X30</f>
        <v>1366051.1445580712</v>
      </c>
      <c r="I44" s="441">
        <f t="shared" ref="I44:I55" si="13">AC30</f>
        <v>1369230.1351243816</v>
      </c>
      <c r="J44" s="441">
        <f t="shared" ref="J44:J55" si="14">AH30</f>
        <v>1369230.1351243816</v>
      </c>
      <c r="K44" s="441">
        <f t="shared" ref="K44:K55" si="15">AM30</f>
        <v>1366051.1445580712</v>
      </c>
    </row>
    <row r="45" spans="4:39" ht="15" thickBot="1">
      <c r="D45" s="297" t="str">
        <f t="shared" ref="D45:D54" si="16">D31</f>
        <v>(-) Investimentos</v>
      </c>
      <c r="E45" s="441">
        <f t="shared" si="9"/>
        <v>0</v>
      </c>
      <c r="F45" s="441">
        <f t="shared" si="10"/>
        <v>0</v>
      </c>
      <c r="G45" s="441">
        <f t="shared" si="11"/>
        <v>0</v>
      </c>
      <c r="H45" s="441">
        <f t="shared" si="12"/>
        <v>0</v>
      </c>
      <c r="I45" s="441">
        <f t="shared" si="13"/>
        <v>0</v>
      </c>
      <c r="J45" s="441">
        <f t="shared" si="14"/>
        <v>0</v>
      </c>
      <c r="K45" s="441">
        <f t="shared" si="15"/>
        <v>0</v>
      </c>
    </row>
    <row r="46" spans="4:39">
      <c r="D46" s="535" t="str">
        <f t="shared" si="16"/>
        <v>Capex Infraestrutura (Reforma + Ampliação)</v>
      </c>
      <c r="E46" s="439">
        <f t="shared" si="9"/>
        <v>0</v>
      </c>
      <c r="F46" s="439">
        <f t="shared" si="10"/>
        <v>0</v>
      </c>
      <c r="G46" s="439">
        <f t="shared" si="11"/>
        <v>0</v>
      </c>
      <c r="H46" s="439">
        <f t="shared" si="12"/>
        <v>0</v>
      </c>
      <c r="I46" s="439">
        <f t="shared" si="13"/>
        <v>0</v>
      </c>
      <c r="J46" s="439">
        <f t="shared" si="14"/>
        <v>0</v>
      </c>
      <c r="K46" s="439">
        <f t="shared" si="15"/>
        <v>0</v>
      </c>
    </row>
    <row r="47" spans="4:39">
      <c r="D47" s="536" t="str">
        <f t="shared" si="16"/>
        <v>Capex - Investimento</v>
      </c>
      <c r="E47" s="439">
        <f t="shared" si="9"/>
        <v>0</v>
      </c>
      <c r="F47" s="439">
        <f t="shared" si="10"/>
        <v>0</v>
      </c>
      <c r="G47" s="439">
        <f t="shared" si="11"/>
        <v>0</v>
      </c>
      <c r="H47" s="439">
        <f t="shared" si="12"/>
        <v>0</v>
      </c>
      <c r="I47" s="439">
        <f t="shared" si="13"/>
        <v>0</v>
      </c>
      <c r="J47" s="439">
        <f t="shared" si="14"/>
        <v>0</v>
      </c>
      <c r="K47" s="439">
        <f t="shared" si="15"/>
        <v>0</v>
      </c>
    </row>
    <row r="48" spans="4:39">
      <c r="D48" s="536" t="str">
        <f t="shared" si="16"/>
        <v>Capex Reinvestimento</v>
      </c>
      <c r="E48" s="439">
        <f t="shared" si="9"/>
        <v>0</v>
      </c>
      <c r="F48" s="439">
        <f t="shared" si="10"/>
        <v>0</v>
      </c>
      <c r="G48" s="439">
        <f t="shared" si="11"/>
        <v>0</v>
      </c>
      <c r="H48" s="439">
        <f t="shared" si="12"/>
        <v>0</v>
      </c>
      <c r="I48" s="439">
        <f t="shared" si="13"/>
        <v>0</v>
      </c>
      <c r="J48" s="439">
        <f t="shared" si="14"/>
        <v>0</v>
      </c>
      <c r="K48" s="439">
        <f t="shared" si="15"/>
        <v>0</v>
      </c>
    </row>
    <row r="49" spans="4:11">
      <c r="D49" s="535" t="str">
        <f t="shared" si="16"/>
        <v>Capex aquisição</v>
      </c>
      <c r="E49" s="439">
        <f t="shared" si="9"/>
        <v>0</v>
      </c>
      <c r="F49" s="439">
        <f t="shared" si="10"/>
        <v>0</v>
      </c>
      <c r="G49" s="439">
        <f t="shared" si="11"/>
        <v>0</v>
      </c>
      <c r="H49" s="439">
        <f t="shared" si="12"/>
        <v>0</v>
      </c>
      <c r="I49" s="439">
        <f t="shared" si="13"/>
        <v>0</v>
      </c>
      <c r="J49" s="439">
        <f t="shared" si="14"/>
        <v>0</v>
      </c>
      <c r="K49" s="439">
        <f t="shared" si="15"/>
        <v>0</v>
      </c>
    </row>
    <row r="50" spans="4:11">
      <c r="D50" s="535" t="str">
        <f t="shared" si="16"/>
        <v>Outorga Fixa e Remuneração do estudos</v>
      </c>
      <c r="E50" s="439">
        <f t="shared" si="9"/>
        <v>0</v>
      </c>
      <c r="F50" s="439">
        <f t="shared" si="10"/>
        <v>0</v>
      </c>
      <c r="G50" s="439">
        <f t="shared" si="11"/>
        <v>0</v>
      </c>
      <c r="H50" s="439">
        <f t="shared" si="12"/>
        <v>0</v>
      </c>
      <c r="I50" s="439">
        <f t="shared" si="13"/>
        <v>0</v>
      </c>
      <c r="J50" s="439">
        <f t="shared" si="14"/>
        <v>0</v>
      </c>
      <c r="K50" s="439">
        <f t="shared" si="15"/>
        <v>0</v>
      </c>
    </row>
    <row r="51" spans="4:11">
      <c r="D51" s="535" t="str">
        <f t="shared" si="16"/>
        <v>Subsídio</v>
      </c>
      <c r="E51" s="439">
        <f t="shared" si="9"/>
        <v>0</v>
      </c>
      <c r="F51" s="439">
        <f t="shared" si="10"/>
        <v>0</v>
      </c>
      <c r="G51" s="439">
        <f t="shared" si="11"/>
        <v>0</v>
      </c>
      <c r="H51" s="439">
        <f t="shared" si="12"/>
        <v>0</v>
      </c>
      <c r="I51" s="439">
        <f t="shared" si="13"/>
        <v>0</v>
      </c>
      <c r="J51" s="439">
        <f t="shared" si="14"/>
        <v>0</v>
      </c>
      <c r="K51" s="439">
        <f t="shared" si="15"/>
        <v>0</v>
      </c>
    </row>
    <row r="52" spans="4:11">
      <c r="D52" s="297" t="str">
        <f t="shared" si="16"/>
        <v>(+/-) Δ Kgiro</v>
      </c>
      <c r="E52" s="439">
        <f t="shared" si="9"/>
        <v>250796.95741338399</v>
      </c>
      <c r="F52" s="439">
        <f t="shared" si="10"/>
        <v>250973.5680004012</v>
      </c>
      <c r="G52" s="439">
        <f t="shared" si="11"/>
        <v>250973.5680004012</v>
      </c>
      <c r="H52" s="439">
        <f t="shared" si="12"/>
        <v>250796.95741338399</v>
      </c>
      <c r="I52" s="439">
        <f t="shared" si="13"/>
        <v>250973.5680004012</v>
      </c>
      <c r="J52" s="439">
        <f t="shared" si="14"/>
        <v>250973.5680004012</v>
      </c>
      <c r="K52" s="439">
        <f t="shared" si="15"/>
        <v>250796.95741338399</v>
      </c>
    </row>
    <row r="53" spans="4:11">
      <c r="D53" s="297" t="str">
        <f t="shared" si="16"/>
        <v xml:space="preserve">(+/-) Resultado Financeiro </v>
      </c>
      <c r="E53" s="439">
        <f t="shared" si="9"/>
        <v>0</v>
      </c>
      <c r="F53" s="439">
        <f t="shared" ca="1" si="10"/>
        <v>-151138.81404769013</v>
      </c>
      <c r="G53" s="439">
        <f t="shared" ca="1" si="11"/>
        <v>-56677.055267883828</v>
      </c>
      <c r="H53" s="439">
        <f t="shared" ca="1" si="12"/>
        <v>-6.1553295991150666E-11</v>
      </c>
      <c r="I53" s="439">
        <f t="shared" ca="1" si="13"/>
        <v>-8.8820756951195492E-11</v>
      </c>
      <c r="J53" s="439">
        <f t="shared" ca="1" si="14"/>
        <v>-1.2816741554371902E-10</v>
      </c>
      <c r="K53" s="439">
        <f t="shared" ca="1" si="15"/>
        <v>-1.8494422892818244E-10</v>
      </c>
    </row>
    <row r="54" spans="4:11" ht="15" thickBot="1">
      <c r="D54" s="298" t="str">
        <f t="shared" si="16"/>
        <v xml:space="preserve">(-) IRPJ/CSLL </v>
      </c>
      <c r="E54" s="439">
        <f t="shared" si="9"/>
        <v>-725938.47152808565</v>
      </c>
      <c r="F54" s="439">
        <f t="shared" si="10"/>
        <v>-725938.47152808565</v>
      </c>
      <c r="G54" s="439">
        <f t="shared" si="11"/>
        <v>-725938.47152808565</v>
      </c>
      <c r="H54" s="439">
        <f t="shared" si="12"/>
        <v>-725938.47152808565</v>
      </c>
      <c r="I54" s="439">
        <f t="shared" si="13"/>
        <v>-725938.47152808565</v>
      </c>
      <c r="J54" s="439">
        <f t="shared" si="14"/>
        <v>-725938.47152808565</v>
      </c>
      <c r="K54" s="439">
        <f t="shared" si="15"/>
        <v>-725938.47152808565</v>
      </c>
    </row>
    <row r="55" spans="4:11" ht="15" thickBot="1">
      <c r="D55" s="298" t="str">
        <f>D41</f>
        <v>(=) FCFE real (junho/2025)</v>
      </c>
      <c r="E55" s="441">
        <f t="shared" si="9"/>
        <v>890909.6304433695</v>
      </c>
      <c r="F55" s="441">
        <f t="shared" ca="1" si="10"/>
        <v>743126.41754900711</v>
      </c>
      <c r="G55" s="441">
        <f t="shared" ca="1" si="11"/>
        <v>837588.17632881342</v>
      </c>
      <c r="H55" s="441">
        <f t="shared" ca="1" si="12"/>
        <v>890909.63044336939</v>
      </c>
      <c r="I55" s="441">
        <f t="shared" ca="1" si="13"/>
        <v>894265.23159669712</v>
      </c>
      <c r="J55" s="441">
        <f t="shared" ca="1" si="14"/>
        <v>894265.23159669712</v>
      </c>
      <c r="K55" s="441">
        <f t="shared" ca="1" si="15"/>
        <v>890909.63044336927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0A1FF"/>
  </sheetPr>
  <dimension ref="A1:AL17"/>
  <sheetViews>
    <sheetView showGridLines="0" workbookViewId="0">
      <selection activeCell="E17" sqref="E17"/>
    </sheetView>
  </sheetViews>
  <sheetFormatPr defaultRowHeight="14.45"/>
  <cols>
    <col min="1" max="1" width="8.7109375" style="2" customWidth="1"/>
    <col min="2" max="2" width="6.5703125" customWidth="1"/>
    <col min="3" max="3" width="32.28515625" bestFit="1" customWidth="1"/>
    <col min="4" max="5" width="11.7109375" bestFit="1" customWidth="1"/>
    <col min="6" max="6" width="5.5703125" bestFit="1" customWidth="1"/>
    <col min="7" max="38" width="10.140625" bestFit="1" customWidth="1"/>
  </cols>
  <sheetData>
    <row r="1" spans="2:38" s="2" customFormat="1" ht="16.149999999999999" customHeight="1">
      <c r="D1" s="348"/>
    </row>
    <row r="2" spans="2:38" s="2" customFormat="1" ht="16.149999999999999" customHeight="1">
      <c r="B2" s="348" t="s">
        <v>213</v>
      </c>
      <c r="D2" s="348"/>
    </row>
    <row r="3" spans="2:38" ht="16.149999999999999" customHeight="1" thickBot="1"/>
    <row r="4" spans="2:38" ht="15" thickBot="1">
      <c r="C4" s="347" t="s">
        <v>214</v>
      </c>
      <c r="D4" s="705">
        <f>'INPUTS&amp;OUTPUTS'!D20</f>
        <v>0.12976849964301698</v>
      </c>
    </row>
    <row r="5" spans="2:38" ht="15" thickBot="1">
      <c r="C5" s="347" t="s">
        <v>215</v>
      </c>
    </row>
    <row r="6" spans="2:38">
      <c r="D6" s="706">
        <v>1</v>
      </c>
      <c r="E6" s="706">
        <v>2</v>
      </c>
      <c r="F6" s="706">
        <v>3</v>
      </c>
      <c r="G6" s="706">
        <v>4</v>
      </c>
      <c r="H6" s="706">
        <v>5</v>
      </c>
      <c r="I6" s="706">
        <v>6</v>
      </c>
      <c r="J6" s="706">
        <v>7</v>
      </c>
      <c r="K6" s="706">
        <v>8</v>
      </c>
      <c r="L6" s="706">
        <v>9</v>
      </c>
      <c r="M6" s="706">
        <v>10</v>
      </c>
      <c r="N6" s="706">
        <v>11</v>
      </c>
      <c r="O6" s="706">
        <v>12</v>
      </c>
      <c r="P6" s="706">
        <v>13</v>
      </c>
      <c r="Q6" s="706">
        <v>14</v>
      </c>
      <c r="R6" s="706">
        <v>15</v>
      </c>
      <c r="S6" s="706">
        <v>16</v>
      </c>
      <c r="T6" s="706">
        <v>17</v>
      </c>
      <c r="U6" s="706">
        <v>18</v>
      </c>
      <c r="V6" s="706">
        <v>19</v>
      </c>
      <c r="W6" s="706">
        <v>20</v>
      </c>
      <c r="X6" s="706">
        <v>21</v>
      </c>
      <c r="Y6" s="706">
        <v>22</v>
      </c>
      <c r="Z6" s="706">
        <v>23</v>
      </c>
      <c r="AA6" s="706">
        <v>24</v>
      </c>
      <c r="AB6" s="706">
        <v>25</v>
      </c>
      <c r="AC6" s="706">
        <v>26</v>
      </c>
      <c r="AD6" s="706">
        <v>27</v>
      </c>
      <c r="AE6" s="706">
        <v>28</v>
      </c>
      <c r="AF6" s="706">
        <v>29</v>
      </c>
      <c r="AG6" s="706">
        <v>30</v>
      </c>
      <c r="AH6" s="706">
        <v>31</v>
      </c>
      <c r="AI6" s="706">
        <v>32</v>
      </c>
      <c r="AJ6" s="706">
        <v>33</v>
      </c>
      <c r="AK6" s="706">
        <v>34</v>
      </c>
      <c r="AL6" s="706">
        <v>35</v>
      </c>
    </row>
    <row r="7" spans="2:38">
      <c r="C7" s="707" t="s">
        <v>81</v>
      </c>
      <c r="D7" s="713">
        <f>DFs!F70</f>
        <v>974355.05213632551</v>
      </c>
      <c r="E7" s="713">
        <f>DFs!G70</f>
        <v>974355.05213632551</v>
      </c>
      <c r="F7" s="713">
        <f>DFs!H70</f>
        <v>0</v>
      </c>
      <c r="G7" s="713">
        <f>DFs!I70</f>
        <v>0</v>
      </c>
      <c r="H7" s="713">
        <f>DFs!J70</f>
        <v>0</v>
      </c>
      <c r="I7" s="713">
        <f>DFs!K70</f>
        <v>0</v>
      </c>
      <c r="J7" s="713">
        <f>DFs!L70</f>
        <v>0</v>
      </c>
      <c r="K7" s="713">
        <f>DFs!M70</f>
        <v>0</v>
      </c>
      <c r="L7" s="713">
        <f>DFs!N70</f>
        <v>0</v>
      </c>
      <c r="M7" s="713">
        <f>DFs!O70</f>
        <v>0</v>
      </c>
      <c r="N7" s="713">
        <f>DFs!P70</f>
        <v>0</v>
      </c>
      <c r="O7" s="713">
        <f>DFs!Q70</f>
        <v>0</v>
      </c>
      <c r="P7" s="713">
        <f>DFs!R70</f>
        <v>0</v>
      </c>
      <c r="Q7" s="713">
        <f>DFs!S70</f>
        <v>0</v>
      </c>
      <c r="R7" s="713">
        <f>DFs!T70</f>
        <v>0</v>
      </c>
      <c r="S7" s="713">
        <f>DFs!U70</f>
        <v>0</v>
      </c>
      <c r="T7" s="713">
        <f>DFs!V70</f>
        <v>0</v>
      </c>
      <c r="U7" s="713">
        <f>DFs!W70</f>
        <v>0</v>
      </c>
      <c r="V7" s="713">
        <f>DFs!X70</f>
        <v>0</v>
      </c>
      <c r="W7" s="713">
        <f>DFs!Y70</f>
        <v>0</v>
      </c>
      <c r="X7" s="713">
        <f>DFs!Z70</f>
        <v>0</v>
      </c>
      <c r="Y7" s="713">
        <f>DFs!AA70</f>
        <v>0</v>
      </c>
      <c r="Z7" s="713">
        <f>DFs!AB70</f>
        <v>0</v>
      </c>
      <c r="AA7" s="713">
        <f>DFs!AC70</f>
        <v>0</v>
      </c>
      <c r="AB7" s="713">
        <f>DFs!AD70</f>
        <v>0</v>
      </c>
      <c r="AC7" s="713">
        <f>DFs!AE70</f>
        <v>0</v>
      </c>
      <c r="AD7" s="713">
        <f>DFs!AF70</f>
        <v>0</v>
      </c>
      <c r="AE7" s="713">
        <f>DFs!AG70</f>
        <v>0</v>
      </c>
      <c r="AF7" s="713">
        <f>DFs!AH70</f>
        <v>0</v>
      </c>
      <c r="AG7" s="713">
        <f>DFs!AI70</f>
        <v>0</v>
      </c>
      <c r="AH7" s="713">
        <f>DFs!AJ70</f>
        <v>0</v>
      </c>
      <c r="AI7" s="713">
        <f>DFs!AK70</f>
        <v>0</v>
      </c>
      <c r="AJ7" s="713">
        <f>DFs!AL70</f>
        <v>0</v>
      </c>
      <c r="AK7" s="713">
        <f>DFs!AM70</f>
        <v>0</v>
      </c>
      <c r="AL7" s="713">
        <f>DFs!AN70</f>
        <v>0</v>
      </c>
    </row>
    <row r="8" spans="2:38">
      <c r="C8" s="707" t="s">
        <v>216</v>
      </c>
      <c r="D8" s="713">
        <f>DFs!F24</f>
        <v>0</v>
      </c>
      <c r="E8" s="713">
        <f>DFs!G24</f>
        <v>0</v>
      </c>
      <c r="F8" s="713">
        <f>DFs!H24</f>
        <v>0</v>
      </c>
      <c r="G8" s="713">
        <f>DFs!I24</f>
        <v>103392.25250846769</v>
      </c>
      <c r="H8" s="713">
        <f>DFs!J24</f>
        <v>103392.25250846769</v>
      </c>
      <c r="I8" s="713">
        <f>DFs!K24</f>
        <v>103392.25250846769</v>
      </c>
      <c r="J8" s="713">
        <f>DFs!L24</f>
        <v>103392.25250846769</v>
      </c>
      <c r="K8" s="713">
        <f>DFs!M24</f>
        <v>103392.25250846769</v>
      </c>
      <c r="L8" s="713">
        <f>DFs!N24</f>
        <v>103392.25250846769</v>
      </c>
      <c r="M8" s="713">
        <f>DFs!O24</f>
        <v>103392.25250846769</v>
      </c>
      <c r="N8" s="713">
        <f>DFs!P24</f>
        <v>103392.25250846769</v>
      </c>
      <c r="O8" s="713">
        <f>DFs!Q24</f>
        <v>103392.25250846769</v>
      </c>
      <c r="P8" s="713">
        <f>DFs!R24</f>
        <v>103392.25250846769</v>
      </c>
      <c r="Q8" s="713">
        <f>DFs!S24</f>
        <v>103392.25250846769</v>
      </c>
      <c r="R8" s="713">
        <f>DFs!T24</f>
        <v>103392.25250846769</v>
      </c>
      <c r="S8" s="713">
        <f>DFs!U24</f>
        <v>103392.25250846769</v>
      </c>
      <c r="T8" s="713">
        <f>DFs!V24</f>
        <v>103392.25250846769</v>
      </c>
      <c r="U8" s="713">
        <f>DFs!W24</f>
        <v>103392.25250846769</v>
      </c>
      <c r="V8" s="713">
        <f>DFs!X24</f>
        <v>103392.25250846769</v>
      </c>
      <c r="W8" s="713">
        <f>DFs!Y24</f>
        <v>103392.25250846769</v>
      </c>
      <c r="X8" s="713">
        <f>DFs!Z24</f>
        <v>103392.25250846769</v>
      </c>
      <c r="Y8" s="713">
        <f>DFs!AA24</f>
        <v>103392.25250846769</v>
      </c>
      <c r="Z8" s="713">
        <f>DFs!AB24</f>
        <v>103392.25250846769</v>
      </c>
      <c r="AA8" s="713">
        <f>DFs!AC24</f>
        <v>103392.25250846769</v>
      </c>
      <c r="AB8" s="713">
        <f>DFs!AD24</f>
        <v>103392.25250846769</v>
      </c>
      <c r="AC8" s="713">
        <f>DFs!AE24</f>
        <v>103392.25250846769</v>
      </c>
      <c r="AD8" s="713">
        <f>DFs!AF24</f>
        <v>103392.25250846769</v>
      </c>
      <c r="AE8" s="713">
        <f>DFs!AG24</f>
        <v>103392.25250846769</v>
      </c>
      <c r="AF8" s="713">
        <f>DFs!AH24</f>
        <v>103392.25250846769</v>
      </c>
      <c r="AG8" s="713">
        <f>DFs!AI24</f>
        <v>103392.25250846769</v>
      </c>
      <c r="AH8" s="713">
        <f>DFs!AJ24</f>
        <v>103392.25250846769</v>
      </c>
      <c r="AI8" s="713">
        <f>DFs!AK24</f>
        <v>103392.25250846769</v>
      </c>
      <c r="AJ8" s="713">
        <f>DFs!AL24</f>
        <v>103392.25250846769</v>
      </c>
      <c r="AK8" s="713">
        <f>DFs!AM24</f>
        <v>103392.25250846769</v>
      </c>
      <c r="AL8" s="713">
        <f>DFs!AN24</f>
        <v>103392.25250846769</v>
      </c>
    </row>
    <row r="9" spans="2:38" ht="15" thickBot="1">
      <c r="C9" s="714" t="s">
        <v>217</v>
      </c>
      <c r="D9" s="715">
        <f>DFs!F85</f>
        <v>1</v>
      </c>
      <c r="E9" s="715">
        <f>DFs!G85</f>
        <v>0.88513708809900338</v>
      </c>
      <c r="F9" s="715">
        <f>DFs!H85</f>
        <v>0.78346766472838281</v>
      </c>
      <c r="G9" s="715">
        <f>DFs!I85</f>
        <v>0.69347628737740707</v>
      </c>
      <c r="H9" s="715">
        <f>DFs!J85</f>
        <v>0.6138215816749456</v>
      </c>
      <c r="I9" s="715">
        <f>DFs!K85</f>
        <v>0.54331624741608586</v>
      </c>
      <c r="J9" s="715">
        <f>DFs!L85</f>
        <v>0.48090936115475191</v>
      </c>
      <c r="K9" s="715">
        <f>DFs!M85</f>
        <v>0.42567071157206909</v>
      </c>
      <c r="L9" s="715">
        <f>DFs!N85</f>
        <v>0.37677693412993196</v>
      </c>
      <c r="M9" s="715">
        <f>DFs!O85</f>
        <v>0.33349923833863798</v>
      </c>
      <c r="N9" s="715">
        <f>DFs!P85</f>
        <v>0.29519254470629752</v>
      </c>
      <c r="O9" s="715">
        <f>DFs!Q85</f>
        <v>0.26128586944986709</v>
      </c>
      <c r="P9" s="715">
        <f>DFs!R85</f>
        <v>0.23127381364627164</v>
      </c>
      <c r="Q9" s="715">
        <f>DFs!S85</f>
        <v>0.20470902996441245</v>
      </c>
      <c r="R9" s="715">
        <f>DFs!T85</f>
        <v>0.18119555469027163</v>
      </c>
      <c r="S9" s="715">
        <f>DFs!U85</f>
        <v>0.16038290565503074</v>
      </c>
      <c r="T9" s="715">
        <f>DFs!V85</f>
        <v>0.14196085809235112</v>
      </c>
      <c r="U9" s="715">
        <f>DFs!W85</f>
        <v>0.12565482055589949</v>
      </c>
      <c r="V9" s="715">
        <f>DFs!X85</f>
        <v>0.11122174197245166</v>
      </c>
      <c r="W9" s="715">
        <f>DFs!Y85</f>
        <v>9.8446488822794581E-2</v>
      </c>
      <c r="X9" s="715">
        <f>DFs!Z85</f>
        <v>8.7138638450179468E-2</v>
      </c>
      <c r="Y9" s="715">
        <f>DFs!AA85</f>
        <v>7.7129640698703705E-2</v>
      </c>
      <c r="Z9" s="715">
        <f>DFs!AB85</f>
        <v>6.8270305574172963E-2</v>
      </c>
      <c r="AA9" s="715">
        <f>DFs!AC85</f>
        <v>6.0428579479552616E-2</v>
      </c>
      <c r="AB9" s="715">
        <f>DFs!AD85</f>
        <v>5.34875768784904E-2</v>
      </c>
      <c r="AC9" s="715">
        <f>DFs!AE85</f>
        <v>4.7343838047698567E-2</v>
      </c>
      <c r="AD9" s="715">
        <f>DFs!AF85</f>
        <v>4.1905786948970715E-2</v>
      </c>
      <c r="AE9" s="715">
        <f>DFs!AG85</f>
        <v>3.7092366234509157E-2</v>
      </c>
      <c r="AF9" s="715">
        <f>DFs!AH85</f>
        <v>3.2831829039515224E-2</v>
      </c>
      <c r="AG9" s="715">
        <f>DFs!AI85</f>
        <v>2.9060669553000809E-2</v>
      </c>
      <c r="AH9" s="715">
        <f>DFs!AJ85</f>
        <v>2.5722676426350493E-2</v>
      </c>
      <c r="AI9" s="715">
        <f>DFs!AK85</f>
        <v>2.2768094910132756E-2</v>
      </c>
      <c r="AJ9" s="715">
        <f>DFs!AL85</f>
        <v>2.015288523031665E-2</v>
      </c>
      <c r="AK9" s="715">
        <f>DFs!AM85</f>
        <v>1.7838066149555892E-2</v>
      </c>
      <c r="AL9" s="715">
        <f>DFs!AN85</f>
        <v>1.5789133928935304E-2</v>
      </c>
    </row>
    <row r="10" spans="2:38" ht="15" thickBot="1">
      <c r="C10" s="347" t="s">
        <v>218</v>
      </c>
    </row>
    <row r="11" spans="2:38">
      <c r="C11" s="707" t="str">
        <f>C7</f>
        <v>Subsídio</v>
      </c>
      <c r="D11" s="713">
        <f t="shared" ref="D11:AL11" si="0">D7*D$9</f>
        <v>974355.05213632551</v>
      </c>
      <c r="E11" s="713">
        <f t="shared" si="0"/>
        <v>862437.7936224998</v>
      </c>
      <c r="F11" s="713">
        <f t="shared" si="0"/>
        <v>0</v>
      </c>
      <c r="G11" s="713">
        <f t="shared" si="0"/>
        <v>0</v>
      </c>
      <c r="H11" s="713">
        <f t="shared" si="0"/>
        <v>0</v>
      </c>
      <c r="I11" s="713">
        <f t="shared" si="0"/>
        <v>0</v>
      </c>
      <c r="J11" s="713">
        <f t="shared" si="0"/>
        <v>0</v>
      </c>
      <c r="K11" s="713">
        <f t="shared" si="0"/>
        <v>0</v>
      </c>
      <c r="L11" s="713">
        <f t="shared" si="0"/>
        <v>0</v>
      </c>
      <c r="M11" s="713">
        <f t="shared" si="0"/>
        <v>0</v>
      </c>
      <c r="N11" s="713">
        <f t="shared" si="0"/>
        <v>0</v>
      </c>
      <c r="O11" s="713">
        <f t="shared" si="0"/>
        <v>0</v>
      </c>
      <c r="P11" s="713">
        <f t="shared" si="0"/>
        <v>0</v>
      </c>
      <c r="Q11" s="713">
        <f t="shared" si="0"/>
        <v>0</v>
      </c>
      <c r="R11" s="713">
        <f t="shared" si="0"/>
        <v>0</v>
      </c>
      <c r="S11" s="713">
        <f t="shared" si="0"/>
        <v>0</v>
      </c>
      <c r="T11" s="713">
        <f t="shared" si="0"/>
        <v>0</v>
      </c>
      <c r="U11" s="713">
        <f t="shared" si="0"/>
        <v>0</v>
      </c>
      <c r="V11" s="713">
        <f t="shared" si="0"/>
        <v>0</v>
      </c>
      <c r="W11" s="713">
        <f t="shared" si="0"/>
        <v>0</v>
      </c>
      <c r="X11" s="713">
        <f t="shared" si="0"/>
        <v>0</v>
      </c>
      <c r="Y11" s="713">
        <f t="shared" si="0"/>
        <v>0</v>
      </c>
      <c r="Z11" s="713">
        <f t="shared" si="0"/>
        <v>0</v>
      </c>
      <c r="AA11" s="713">
        <f t="shared" si="0"/>
        <v>0</v>
      </c>
      <c r="AB11" s="713">
        <f t="shared" si="0"/>
        <v>0</v>
      </c>
      <c r="AC11" s="713">
        <f t="shared" si="0"/>
        <v>0</v>
      </c>
      <c r="AD11" s="713">
        <f t="shared" si="0"/>
        <v>0</v>
      </c>
      <c r="AE11" s="713">
        <f t="shared" si="0"/>
        <v>0</v>
      </c>
      <c r="AF11" s="713">
        <f t="shared" si="0"/>
        <v>0</v>
      </c>
      <c r="AG11" s="713">
        <f t="shared" si="0"/>
        <v>0</v>
      </c>
      <c r="AH11" s="713">
        <f t="shared" si="0"/>
        <v>0</v>
      </c>
      <c r="AI11" s="713">
        <f t="shared" si="0"/>
        <v>0</v>
      </c>
      <c r="AJ11" s="713">
        <f t="shared" si="0"/>
        <v>0</v>
      </c>
      <c r="AK11" s="713">
        <f t="shared" si="0"/>
        <v>0</v>
      </c>
      <c r="AL11" s="713">
        <f t="shared" si="0"/>
        <v>0</v>
      </c>
    </row>
    <row r="12" spans="2:38">
      <c r="C12" s="707" t="str">
        <f>C8</f>
        <v>Outorga</v>
      </c>
      <c r="D12" s="713">
        <f t="shared" ref="D12:AL12" si="1">D8*D$9</f>
        <v>0</v>
      </c>
      <c r="E12" s="713">
        <f t="shared" si="1"/>
        <v>0</v>
      </c>
      <c r="F12" s="713">
        <f t="shared" si="1"/>
        <v>0</v>
      </c>
      <c r="G12" s="713">
        <f t="shared" si="1"/>
        <v>71700.075413159575</v>
      </c>
      <c r="H12" s="713">
        <f t="shared" si="1"/>
        <v>63464.395967682998</v>
      </c>
      <c r="I12" s="713">
        <f t="shared" si="1"/>
        <v>56174.690644797054</v>
      </c>
      <c r="J12" s="713">
        <f t="shared" si="1"/>
        <v>49722.302102197995</v>
      </c>
      <c r="K12" s="713">
        <f t="shared" si="1"/>
        <v>44011.053696318486</v>
      </c>
      <c r="L12" s="713">
        <f t="shared" si="1"/>
        <v>38955.815912928221</v>
      </c>
      <c r="M12" s="713">
        <f t="shared" si="1"/>
        <v>34481.237461690107</v>
      </c>
      <c r="N12" s="713">
        <f t="shared" si="1"/>
        <v>30520.62212089065</v>
      </c>
      <c r="O12" s="713">
        <f t="shared" si="1"/>
        <v>27014.934591055182</v>
      </c>
      <c r="P12" s="713">
        <f t="shared" si="1"/>
        <v>23911.920539111619</v>
      </c>
      <c r="Q12" s="713">
        <f t="shared" si="1"/>
        <v>21165.327716844011</v>
      </c>
      <c r="R12" s="713">
        <f t="shared" si="1"/>
        <v>18734.216543948431</v>
      </c>
      <c r="S12" s="713">
        <f t="shared" si="1"/>
        <v>16582.34987952669</v>
      </c>
      <c r="T12" s="713">
        <f t="shared" si="1"/>
        <v>14677.652886203115</v>
      </c>
      <c r="U12" s="713">
        <f t="shared" si="1"/>
        <v>12991.734935821756</v>
      </c>
      <c r="V12" s="713">
        <f t="shared" si="1"/>
        <v>11499.466430447361</v>
      </c>
      <c r="W12" s="713">
        <f t="shared" si="1"/>
        <v>10178.604230938419</v>
      </c>
      <c r="X12" s="713">
        <f t="shared" si="1"/>
        <v>9009.4601098850271</v>
      </c>
      <c r="Y12" s="713">
        <f t="shared" si="1"/>
        <v>7974.6072870077596</v>
      </c>
      <c r="Z12" s="713">
        <f t="shared" si="1"/>
        <v>7058.6206727551398</v>
      </c>
      <c r="AA12" s="713">
        <f t="shared" si="1"/>
        <v>6247.8469482779128</v>
      </c>
      <c r="AB12" s="713">
        <f t="shared" si="1"/>
        <v>5530.2010546869578</v>
      </c>
      <c r="AC12" s="713">
        <f t="shared" si="1"/>
        <v>4894.9860581476505</v>
      </c>
      <c r="AD12" s="713">
        <f t="shared" si="1"/>
        <v>4332.7337057940304</v>
      </c>
      <c r="AE12" s="713">
        <f t="shared" si="1"/>
        <v>3835.0632958549318</v>
      </c>
      <c r="AF12" s="713">
        <f t="shared" si="1"/>
        <v>3394.5567583684001</v>
      </c>
      <c r="AG12" s="713">
        <f t="shared" si="1"/>
        <v>3004.6480844889984</v>
      </c>
      <c r="AH12" s="713">
        <f t="shared" si="1"/>
        <v>2659.5254562668392</v>
      </c>
      <c r="AI12" s="713">
        <f t="shared" si="1"/>
        <v>2354.0446180852041</v>
      </c>
      <c r="AJ12" s="713">
        <f t="shared" si="1"/>
        <v>2083.6521985070681</v>
      </c>
      <c r="AK12" s="713">
        <f t="shared" si="1"/>
        <v>1844.3178395976327</v>
      </c>
      <c r="AL12" s="713">
        <f t="shared" si="1"/>
        <v>1632.4741220704934</v>
      </c>
    </row>
    <row r="14" spans="2:38">
      <c r="C14" s="579" t="s">
        <v>219</v>
      </c>
      <c r="D14" s="708">
        <f>SUM(D11:AL11)</f>
        <v>1836792.8457588253</v>
      </c>
    </row>
    <row r="15" spans="2:38">
      <c r="C15" s="709" t="s">
        <v>220</v>
      </c>
      <c r="D15" s="710">
        <f>SUM(D12:AL12)</f>
        <v>611643.13928335567</v>
      </c>
    </row>
    <row r="16" spans="2:38">
      <c r="C16" s="711" t="s">
        <v>221</v>
      </c>
      <c r="D16" s="705">
        <f>D15/D14</f>
        <v>0.33299516638234211</v>
      </c>
      <c r="M16" s="704"/>
    </row>
    <row r="17" spans="3:5">
      <c r="C17" t="s">
        <v>222</v>
      </c>
      <c r="D17" s="712">
        <f>1-D16</f>
        <v>0.66700483361765794</v>
      </c>
      <c r="E17" s="688">
        <f>D14-D15</f>
        <v>1225149.7064754697</v>
      </c>
    </row>
  </sheetData>
  <phoneticPr fontId="69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2">
    <tabColor theme="5" tint="-0.249977111117893"/>
  </sheetPr>
  <dimension ref="A1:AW64"/>
  <sheetViews>
    <sheetView showGridLines="0" workbookViewId="0"/>
  </sheetViews>
  <sheetFormatPr defaultColWidth="9.140625" defaultRowHeight="13.9"/>
  <cols>
    <col min="1" max="1" width="9.140625" style="2"/>
    <col min="2" max="2" width="5.28515625" style="8" customWidth="1"/>
    <col min="3" max="3" width="31.140625" style="8" customWidth="1"/>
    <col min="4" max="4" width="18.28515625" style="8" customWidth="1"/>
    <col min="5" max="5" width="22.140625" style="8" bestFit="1" customWidth="1"/>
    <col min="6" max="6" width="12.7109375" style="8" bestFit="1" customWidth="1"/>
    <col min="7" max="7" width="22" style="8" customWidth="1"/>
    <col min="8" max="8" width="13" style="8" bestFit="1" customWidth="1"/>
    <col min="9" max="9" width="12.7109375" style="8" bestFit="1" customWidth="1"/>
    <col min="10" max="10" width="14.42578125" style="8" bestFit="1" customWidth="1"/>
    <col min="11" max="49" width="12.7109375" style="8" bestFit="1" customWidth="1"/>
    <col min="50" max="16384" width="9.140625" style="8"/>
  </cols>
  <sheetData>
    <row r="1" spans="1:49" s="2" customFormat="1">
      <c r="B1" s="798" t="s">
        <v>223</v>
      </c>
      <c r="C1" s="798"/>
    </row>
    <row r="2" spans="1:49" s="2" customFormat="1">
      <c r="B2" s="798"/>
      <c r="C2" s="798"/>
    </row>
    <row r="3" spans="1:49" s="17" customFormat="1">
      <c r="A3" s="2"/>
    </row>
    <row r="4" spans="1:49" s="17" customFormat="1" ht="14.45" thickBot="1">
      <c r="A4" s="2"/>
      <c r="C4" s="8"/>
      <c r="D4" s="775" t="s">
        <v>224</v>
      </c>
      <c r="E4" s="775" t="s">
        <v>84</v>
      </c>
      <c r="F4" s="775" t="s">
        <v>86</v>
      </c>
      <c r="G4" s="775" t="s">
        <v>92</v>
      </c>
      <c r="H4" s="775" t="s">
        <v>93</v>
      </c>
      <c r="I4" s="775" t="s">
        <v>94</v>
      </c>
      <c r="J4" s="775" t="s">
        <v>95</v>
      </c>
      <c r="K4" s="775" t="s">
        <v>96</v>
      </c>
      <c r="L4" s="775" t="s">
        <v>97</v>
      </c>
      <c r="M4" s="775" t="s">
        <v>98</v>
      </c>
      <c r="N4" s="775" t="s">
        <v>99</v>
      </c>
      <c r="O4" s="775" t="s">
        <v>100</v>
      </c>
      <c r="P4" s="775" t="s">
        <v>101</v>
      </c>
      <c r="Q4" s="775" t="s">
        <v>102</v>
      </c>
      <c r="R4" s="775" t="s">
        <v>103</v>
      </c>
      <c r="S4" s="775" t="s">
        <v>104</v>
      </c>
      <c r="T4" s="775" t="s">
        <v>105</v>
      </c>
      <c r="U4" s="775" t="s">
        <v>106</v>
      </c>
      <c r="V4" s="775" t="s">
        <v>107</v>
      </c>
      <c r="W4" s="775" t="s">
        <v>108</v>
      </c>
      <c r="X4" s="775" t="s">
        <v>109</v>
      </c>
      <c r="Y4" s="775" t="s">
        <v>110</v>
      </c>
      <c r="Z4" s="775" t="s">
        <v>111</v>
      </c>
      <c r="AA4" s="775" t="s">
        <v>112</v>
      </c>
      <c r="AB4" s="775" t="s">
        <v>113</v>
      </c>
      <c r="AC4" s="775" t="s">
        <v>114</v>
      </c>
      <c r="AD4" s="775" t="s">
        <v>115</v>
      </c>
      <c r="AE4" s="775" t="s">
        <v>116</v>
      </c>
      <c r="AF4" s="775" t="s">
        <v>117</v>
      </c>
      <c r="AG4" s="775" t="s">
        <v>118</v>
      </c>
      <c r="AH4" s="775" t="s">
        <v>119</v>
      </c>
      <c r="AI4" s="775" t="s">
        <v>120</v>
      </c>
      <c r="AJ4" s="775" t="s">
        <v>121</v>
      </c>
      <c r="AK4" s="775" t="s">
        <v>122</v>
      </c>
      <c r="AL4" s="775" t="s">
        <v>123</v>
      </c>
      <c r="AM4" s="775" t="s">
        <v>124</v>
      </c>
      <c r="AN4" s="775" t="s">
        <v>225</v>
      </c>
      <c r="AO4" s="775" t="s">
        <v>226</v>
      </c>
      <c r="AP4" s="775" t="s">
        <v>227</v>
      </c>
      <c r="AQ4" s="775" t="s">
        <v>228</v>
      </c>
      <c r="AR4" s="775" t="s">
        <v>229</v>
      </c>
      <c r="AS4" s="775" t="s">
        <v>230</v>
      </c>
      <c r="AT4" s="775" t="s">
        <v>231</v>
      </c>
      <c r="AU4" s="775" t="s">
        <v>232</v>
      </c>
      <c r="AV4" s="775" t="s">
        <v>233</v>
      </c>
      <c r="AW4" s="775" t="s">
        <v>234</v>
      </c>
    </row>
    <row r="5" spans="1:49" s="17" customFormat="1" ht="14.45" thickBot="1">
      <c r="A5" s="2"/>
      <c r="C5" s="775" t="s">
        <v>235</v>
      </c>
      <c r="D5" s="775">
        <v>2025</v>
      </c>
      <c r="E5" s="775">
        <v>2026</v>
      </c>
      <c r="F5" s="775">
        <v>2027</v>
      </c>
      <c r="G5" s="775">
        <v>2028</v>
      </c>
      <c r="H5" s="775">
        <v>2029</v>
      </c>
      <c r="I5" s="775">
        <v>2030</v>
      </c>
      <c r="J5" s="775">
        <v>2031</v>
      </c>
      <c r="K5" s="775">
        <v>2032</v>
      </c>
      <c r="L5" s="775">
        <v>2033</v>
      </c>
      <c r="M5" s="775">
        <v>2034</v>
      </c>
      <c r="N5" s="775">
        <v>2035</v>
      </c>
      <c r="O5" s="775">
        <v>2036</v>
      </c>
      <c r="P5" s="775">
        <v>2037</v>
      </c>
      <c r="Q5" s="775">
        <v>2038</v>
      </c>
      <c r="R5" s="775">
        <v>2039</v>
      </c>
      <c r="S5" s="775">
        <v>2040</v>
      </c>
      <c r="T5" s="775">
        <v>2041</v>
      </c>
      <c r="U5" s="775">
        <v>2042</v>
      </c>
      <c r="V5" s="775">
        <v>2043</v>
      </c>
      <c r="W5" s="775">
        <v>2044</v>
      </c>
      <c r="X5" s="775">
        <v>2045</v>
      </c>
      <c r="Y5" s="775">
        <v>2046</v>
      </c>
      <c r="Z5" s="775">
        <v>2047</v>
      </c>
      <c r="AA5" s="775">
        <v>2048</v>
      </c>
      <c r="AB5" s="775">
        <v>2049</v>
      </c>
      <c r="AC5" s="775">
        <v>2050</v>
      </c>
      <c r="AD5" s="775">
        <v>2051</v>
      </c>
      <c r="AE5" s="775">
        <v>2052</v>
      </c>
      <c r="AF5" s="775">
        <v>2053</v>
      </c>
      <c r="AG5" s="775">
        <v>2054</v>
      </c>
      <c r="AH5" s="775">
        <v>2055</v>
      </c>
      <c r="AI5" s="775">
        <v>2056</v>
      </c>
      <c r="AJ5" s="775">
        <v>2057</v>
      </c>
      <c r="AK5" s="775">
        <v>2058</v>
      </c>
      <c r="AL5" s="775">
        <v>2059</v>
      </c>
      <c r="AM5" s="775">
        <v>2060</v>
      </c>
      <c r="AN5" s="775">
        <v>2061</v>
      </c>
      <c r="AO5" s="775">
        <v>2062</v>
      </c>
      <c r="AP5" s="775">
        <v>2063</v>
      </c>
      <c r="AQ5" s="775">
        <v>2064</v>
      </c>
      <c r="AR5" s="775">
        <v>2065</v>
      </c>
      <c r="AS5" s="775">
        <v>2066</v>
      </c>
      <c r="AT5" s="775">
        <v>2067</v>
      </c>
      <c r="AU5" s="775">
        <v>2068</v>
      </c>
      <c r="AV5" s="775">
        <v>2069</v>
      </c>
      <c r="AW5" s="775">
        <v>2070</v>
      </c>
    </row>
    <row r="6" spans="1:49" ht="14.45" thickBot="1">
      <c r="C6" s="779" t="s">
        <v>236</v>
      </c>
      <c r="D6" s="28">
        <v>3384547</v>
      </c>
      <c r="E6" s="28">
        <v>3392617</v>
      </c>
      <c r="F6" s="28">
        <v>3399915</v>
      </c>
      <c r="G6" s="28">
        <v>3406484</v>
      </c>
      <c r="H6" s="28">
        <v>3412351</v>
      </c>
      <c r="I6" s="28">
        <v>3417554</v>
      </c>
      <c r="J6" s="28">
        <v>3421999</v>
      </c>
      <c r="K6" s="28">
        <v>3425597</v>
      </c>
      <c r="L6" s="28">
        <v>3428371</v>
      </c>
      <c r="M6" s="28">
        <v>3430332</v>
      </c>
      <c r="N6" s="28">
        <v>3431500</v>
      </c>
      <c r="O6" s="28">
        <v>3431896</v>
      </c>
      <c r="P6" s="28">
        <v>3431512</v>
      </c>
      <c r="Q6" s="28">
        <v>3430344</v>
      </c>
      <c r="R6" s="28">
        <v>3428417</v>
      </c>
      <c r="S6" s="28">
        <v>3425745</v>
      </c>
      <c r="T6" s="28">
        <v>3422293</v>
      </c>
      <c r="U6" s="28">
        <v>3418013</v>
      </c>
      <c r="V6" s="28">
        <v>3412909</v>
      </c>
      <c r="W6" s="28">
        <v>3406996</v>
      </c>
      <c r="X6" s="28">
        <v>3400260</v>
      </c>
      <c r="Y6" s="28">
        <v>3392697</v>
      </c>
      <c r="Z6" s="28">
        <v>3384313</v>
      </c>
      <c r="AA6" s="28">
        <v>3375106</v>
      </c>
      <c r="AB6" s="28">
        <v>3365093</v>
      </c>
      <c r="AC6" s="28">
        <v>3354276</v>
      </c>
      <c r="AD6" s="28">
        <v>3342637</v>
      </c>
      <c r="AE6" s="28">
        <v>3330186</v>
      </c>
      <c r="AF6" s="28">
        <v>3316936</v>
      </c>
      <c r="AG6" s="28">
        <v>3302889</v>
      </c>
      <c r="AH6" s="28">
        <v>3288048</v>
      </c>
      <c r="AI6" s="28">
        <v>3272404</v>
      </c>
      <c r="AJ6" s="28">
        <v>3255978</v>
      </c>
      <c r="AK6" s="28">
        <v>3238784</v>
      </c>
      <c r="AL6" s="28">
        <v>3220816</v>
      </c>
      <c r="AM6" s="28">
        <v>3202092</v>
      </c>
      <c r="AN6" s="28">
        <v>3182626</v>
      </c>
      <c r="AO6" s="28">
        <v>3162435</v>
      </c>
      <c r="AP6" s="28">
        <v>3141533</v>
      </c>
      <c r="AQ6" s="28">
        <v>3119925</v>
      </c>
      <c r="AR6" s="28">
        <v>3097637</v>
      </c>
      <c r="AS6" s="28">
        <v>3074698</v>
      </c>
      <c r="AT6" s="28">
        <v>3051141</v>
      </c>
      <c r="AU6" s="28">
        <v>3026994</v>
      </c>
      <c r="AV6" s="28">
        <v>3002304</v>
      </c>
      <c r="AW6" s="28">
        <v>2977122</v>
      </c>
    </row>
    <row r="7" spans="1:49" ht="14.45" thickBot="1">
      <c r="C7" s="779" t="s">
        <v>237</v>
      </c>
      <c r="D7" s="28">
        <f>Aux.Demanda!AE220</f>
        <v>905692</v>
      </c>
      <c r="E7" s="28">
        <f t="shared" ref="E7:AW7" si="0">D7*E11</f>
        <v>912828.21301026456</v>
      </c>
      <c r="F7" s="28">
        <f t="shared" si="0"/>
        <v>919961.91519357695</v>
      </c>
      <c r="G7" s="28">
        <f t="shared" si="0"/>
        <v>927094.24016944459</v>
      </c>
      <c r="H7" s="28">
        <f t="shared" si="0"/>
        <v>934225.46483297914</v>
      </c>
      <c r="I7" s="28">
        <f t="shared" si="0"/>
        <v>941356.48090681236</v>
      </c>
      <c r="J7" s="28">
        <f t="shared" si="0"/>
        <v>948480.80751694785</v>
      </c>
      <c r="K7" s="28">
        <f t="shared" si="0"/>
        <v>955592.00213897892</v>
      </c>
      <c r="L7" s="28">
        <f t="shared" si="0"/>
        <v>962689.73479613278</v>
      </c>
      <c r="M7" s="28">
        <f t="shared" si="0"/>
        <v>969772.97093319462</v>
      </c>
      <c r="N7" s="28">
        <f t="shared" si="0"/>
        <v>976841.15072037955</v>
      </c>
      <c r="O7" s="28">
        <f t="shared" si="0"/>
        <v>983893.74947868683</v>
      </c>
      <c r="P7" s="28">
        <f t="shared" si="0"/>
        <v>990928.52878234803</v>
      </c>
      <c r="Q7" s="28">
        <f t="shared" si="0"/>
        <v>997943.39725726703</v>
      </c>
      <c r="R7" s="28">
        <f t="shared" si="0"/>
        <v>1004937.9020471474</v>
      </c>
      <c r="S7" s="28">
        <f t="shared" si="0"/>
        <v>1011910.9221335258</v>
      </c>
      <c r="T7" s="28">
        <f t="shared" si="0"/>
        <v>1018858.3461661084</v>
      </c>
      <c r="U7" s="28">
        <f t="shared" si="0"/>
        <v>1025775.1039614104</v>
      </c>
      <c r="V7" s="28">
        <f t="shared" si="0"/>
        <v>1032659.0969990694</v>
      </c>
      <c r="W7" s="28">
        <f t="shared" si="0"/>
        <v>1039508.8274285895</v>
      </c>
      <c r="X7" s="28">
        <f t="shared" si="0"/>
        <v>1046320.9408310503</v>
      </c>
      <c r="Y7" s="28">
        <f t="shared" si="0"/>
        <v>1053092.5756174033</v>
      </c>
      <c r="Z7" s="28">
        <f t="shared" si="0"/>
        <v>1059821.392937032</v>
      </c>
      <c r="AA7" s="28">
        <f t="shared" si="0"/>
        <v>1066504.4570516748</v>
      </c>
      <c r="AB7" s="28">
        <f t="shared" si="0"/>
        <v>1073139.9470916737</v>
      </c>
      <c r="AC7" s="28">
        <f t="shared" si="0"/>
        <v>1079725.0091219032</v>
      </c>
      <c r="AD7" s="28">
        <f t="shared" si="0"/>
        <v>1086255.3663967007</v>
      </c>
      <c r="AE7" s="28">
        <f t="shared" si="0"/>
        <v>1092728.4258842978</v>
      </c>
      <c r="AF7" s="28">
        <f t="shared" si="0"/>
        <v>1099141.7081448494</v>
      </c>
      <c r="AG7" s="28">
        <f t="shared" si="0"/>
        <v>1105491.9079360731</v>
      </c>
      <c r="AH7" s="28">
        <f t="shared" si="0"/>
        <v>1111775.6665560296</v>
      </c>
      <c r="AI7" s="28">
        <f t="shared" si="0"/>
        <v>1117988.670862478</v>
      </c>
      <c r="AJ7" s="28">
        <f t="shared" si="0"/>
        <v>1124128.5342051289</v>
      </c>
      <c r="AK7" s="28">
        <f t="shared" si="0"/>
        <v>1130192.3127262408</v>
      </c>
      <c r="AL7" s="28">
        <f t="shared" si="0"/>
        <v>1136175.5402436105</v>
      </c>
      <c r="AM7" s="28">
        <f t="shared" si="0"/>
        <v>1142075.3104561118</v>
      </c>
      <c r="AN7" s="28">
        <f t="shared" si="0"/>
        <v>1147888.3432507161</v>
      </c>
      <c r="AO7" s="28">
        <f t="shared" si="0"/>
        <v>1153611.4809541018</v>
      </c>
      <c r="AP7" s="28">
        <f t="shared" si="0"/>
        <v>1159241.2528248131</v>
      </c>
      <c r="AQ7" s="28">
        <f t="shared" si="0"/>
        <v>1164773.4017825739</v>
      </c>
      <c r="AR7" s="28">
        <f t="shared" si="0"/>
        <v>1170205.1329385573</v>
      </c>
      <c r="AS7" s="28">
        <f t="shared" si="0"/>
        <v>1175533.8335591168</v>
      </c>
      <c r="AT7" s="28">
        <f t="shared" si="0"/>
        <v>1180757.171796222</v>
      </c>
      <c r="AU7" s="28">
        <f t="shared" si="0"/>
        <v>1185872.407777467</v>
      </c>
      <c r="AV7" s="28">
        <f t="shared" si="0"/>
        <v>1190878.3028153216</v>
      </c>
      <c r="AW7" s="28">
        <f t="shared" si="0"/>
        <v>1195774.0212239039</v>
      </c>
    </row>
    <row r="8" spans="1:49" s="17" customFormat="1" ht="14.45" thickBot="1">
      <c r="A8" s="2"/>
      <c r="C8" s="779" t="s">
        <v>238</v>
      </c>
      <c r="D8" s="59"/>
      <c r="E8" s="59">
        <f>(E7-D7)/D7</f>
        <v>7.8792934135054303E-3</v>
      </c>
      <c r="F8" s="59">
        <f t="shared" ref="F8:AW8" si="1">(F7-E7)/E7</f>
        <v>7.8149448950392709E-3</v>
      </c>
      <c r="G8" s="59">
        <f t="shared" si="1"/>
        <v>7.7528480886807872E-3</v>
      </c>
      <c r="H8" s="59">
        <f t="shared" si="1"/>
        <v>7.6920170081427536E-3</v>
      </c>
      <c r="I8" s="59">
        <f t="shared" si="1"/>
        <v>7.6330782474529346E-3</v>
      </c>
      <c r="J8" s="59">
        <f t="shared" si="1"/>
        <v>7.5681495316977107E-3</v>
      </c>
      <c r="K8" s="59">
        <f t="shared" si="1"/>
        <v>7.4974575823496545E-3</v>
      </c>
      <c r="L8" s="59">
        <f t="shared" si="1"/>
        <v>7.4275764565488499E-3</v>
      </c>
      <c r="M8" s="59">
        <f t="shared" si="1"/>
        <v>7.3577559633601483E-3</v>
      </c>
      <c r="N8" s="59">
        <f t="shared" si="1"/>
        <v>7.2884891609046884E-3</v>
      </c>
      <c r="O8" s="59">
        <f t="shared" si="1"/>
        <v>7.2198010424789011E-3</v>
      </c>
      <c r="P8" s="59">
        <f t="shared" si="1"/>
        <v>7.1499379962405036E-3</v>
      </c>
      <c r="Q8" s="59">
        <f t="shared" si="1"/>
        <v>7.0790862016444946E-3</v>
      </c>
      <c r="R8" s="59">
        <f t="shared" si="1"/>
        <v>7.0089193526446034E-3</v>
      </c>
      <c r="S8" s="59">
        <f t="shared" si="1"/>
        <v>6.9387571830794546E-3</v>
      </c>
      <c r="T8" s="59">
        <f t="shared" si="1"/>
        <v>6.8656478358139622E-3</v>
      </c>
      <c r="U8" s="59">
        <f t="shared" si="1"/>
        <v>6.7887335087642295E-3</v>
      </c>
      <c r="V8" s="59">
        <f t="shared" si="1"/>
        <v>6.7110159050205107E-3</v>
      </c>
      <c r="W8" s="59">
        <f t="shared" si="1"/>
        <v>6.6330993930383084E-3</v>
      </c>
      <c r="X8" s="59">
        <f t="shared" si="1"/>
        <v>6.5532039966527227E-3</v>
      </c>
      <c r="Y8" s="59">
        <f t="shared" si="1"/>
        <v>6.4718524900921372E-3</v>
      </c>
      <c r="Z8" s="59">
        <f t="shared" si="1"/>
        <v>6.3895781581062199E-3</v>
      </c>
      <c r="AA8" s="59">
        <f t="shared" si="1"/>
        <v>6.3058399832091909E-3</v>
      </c>
      <c r="AB8" s="59">
        <f t="shared" si="1"/>
        <v>6.2217180585841586E-3</v>
      </c>
      <c r="AC8" s="59">
        <f t="shared" si="1"/>
        <v>6.1362565507655552E-3</v>
      </c>
      <c r="AD8" s="59">
        <f t="shared" si="1"/>
        <v>6.0481670977579633E-3</v>
      </c>
      <c r="AE8" s="59">
        <f t="shared" si="1"/>
        <v>5.9590586963628612E-3</v>
      </c>
      <c r="AF8" s="59">
        <f t="shared" si="1"/>
        <v>5.8690541113740969E-3</v>
      </c>
      <c r="AG8" s="59">
        <f t="shared" si="1"/>
        <v>5.7774168191121779E-3</v>
      </c>
      <c r="AH8" s="59">
        <f t="shared" si="1"/>
        <v>5.6841290061435783E-3</v>
      </c>
      <c r="AI8" s="59">
        <f t="shared" si="1"/>
        <v>5.5883614773603943E-3</v>
      </c>
      <c r="AJ8" s="59">
        <f t="shared" si="1"/>
        <v>5.4918833282221946E-3</v>
      </c>
      <c r="AK8" s="59">
        <f t="shared" si="1"/>
        <v>5.3942038980441236E-3</v>
      </c>
      <c r="AL8" s="59">
        <f t="shared" si="1"/>
        <v>5.2939906332728241E-3</v>
      </c>
      <c r="AM8" s="59">
        <f t="shared" si="1"/>
        <v>5.1926572994489056E-3</v>
      </c>
      <c r="AN8" s="59">
        <f t="shared" si="1"/>
        <v>5.0898857031440019E-3</v>
      </c>
      <c r="AO8" s="59">
        <f t="shared" si="1"/>
        <v>4.9857965167398261E-3</v>
      </c>
      <c r="AP8" s="59">
        <f t="shared" si="1"/>
        <v>4.8801281572329828E-3</v>
      </c>
      <c r="AQ8" s="59">
        <f t="shared" si="1"/>
        <v>4.7722153988914344E-3</v>
      </c>
      <c r="AR8" s="59">
        <f t="shared" si="1"/>
        <v>4.663337218784926E-3</v>
      </c>
      <c r="AS8" s="59">
        <f t="shared" si="1"/>
        <v>4.5536465962838146E-3</v>
      </c>
      <c r="AT8" s="59">
        <f t="shared" si="1"/>
        <v>4.4433755014015022E-3</v>
      </c>
      <c r="AU8" s="59">
        <f t="shared" si="1"/>
        <v>4.3321659215192635E-3</v>
      </c>
      <c r="AV8" s="59">
        <f t="shared" si="1"/>
        <v>4.2212762562175484E-3</v>
      </c>
      <c r="AW8" s="59">
        <f t="shared" si="1"/>
        <v>4.1110148677731698E-3</v>
      </c>
    </row>
    <row r="9" spans="1:49" s="17" customFormat="1">
      <c r="A9" s="2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</row>
    <row r="10" spans="1:49" s="17" customFormat="1" ht="14.45" thickBot="1">
      <c r="A10" s="2"/>
      <c r="C10" s="775" t="s">
        <v>239</v>
      </c>
      <c r="D10" s="53">
        <f>D6/D6</f>
        <v>1</v>
      </c>
      <c r="E10" s="53">
        <f>E6/D6</f>
        <v>1.0023843663568566</v>
      </c>
      <c r="F10" s="53">
        <f t="shared" ref="F10:AW10" si="2">F6/E6</f>
        <v>1.0021511417292315</v>
      </c>
      <c r="G10" s="53">
        <f t="shared" si="2"/>
        <v>1.0019321071262075</v>
      </c>
      <c r="H10" s="53">
        <f t="shared" si="2"/>
        <v>1.0017223037008247</v>
      </c>
      <c r="I10" s="53">
        <f t="shared" si="2"/>
        <v>1.0015247552200814</v>
      </c>
      <c r="J10" s="53">
        <f t="shared" si="2"/>
        <v>1.0013006378245961</v>
      </c>
      <c r="K10" s="53">
        <f t="shared" si="2"/>
        <v>1.0010514322184196</v>
      </c>
      <c r="L10" s="53">
        <f t="shared" si="2"/>
        <v>1.0008097858563048</v>
      </c>
      <c r="M10" s="53">
        <f t="shared" si="2"/>
        <v>1.000571991771019</v>
      </c>
      <c r="N10" s="53">
        <f t="shared" si="2"/>
        <v>1.000340491824115</v>
      </c>
      <c r="O10" s="53">
        <f t="shared" si="2"/>
        <v>1.000115401427947</v>
      </c>
      <c r="P10" s="53">
        <f t="shared" si="2"/>
        <v>0.99988810849746035</v>
      </c>
      <c r="Q10" s="53">
        <f t="shared" si="2"/>
        <v>0.99965962526140084</v>
      </c>
      <c r="R10" s="53">
        <f t="shared" si="2"/>
        <v>0.99943824875872511</v>
      </c>
      <c r="S10" s="53">
        <f t="shared" si="2"/>
        <v>0.99922063156261332</v>
      </c>
      <c r="T10" s="53">
        <f t="shared" si="2"/>
        <v>0.9989923359736349</v>
      </c>
      <c r="U10" s="53">
        <f t="shared" si="2"/>
        <v>0.99874937651451823</v>
      </c>
      <c r="V10" s="53">
        <f t="shared" si="2"/>
        <v>0.99850673476080987</v>
      </c>
      <c r="W10" s="53">
        <f t="shared" si="2"/>
        <v>0.99826746039815306</v>
      </c>
      <c r="X10" s="53">
        <f t="shared" si="2"/>
        <v>0.99802289172044811</v>
      </c>
      <c r="Y10" s="53">
        <f t="shared" si="2"/>
        <v>0.99777575832436338</v>
      </c>
      <c r="Z10" s="53">
        <f t="shared" si="2"/>
        <v>0.9975288096756062</v>
      </c>
      <c r="AA10" s="53">
        <f t="shared" si="2"/>
        <v>0.99727950694867762</v>
      </c>
      <c r="AB10" s="53">
        <f t="shared" si="2"/>
        <v>0.99703327836222033</v>
      </c>
      <c r="AC10" s="53">
        <f t="shared" si="2"/>
        <v>0.99678552717562341</v>
      </c>
      <c r="AD10" s="53">
        <f t="shared" si="2"/>
        <v>0.99653010068342618</v>
      </c>
      <c r="AE10" s="53">
        <f t="shared" si="2"/>
        <v>0.99627509657794133</v>
      </c>
      <c r="AF10" s="53">
        <f t="shared" si="2"/>
        <v>0.9960212432578841</v>
      </c>
      <c r="AG10" s="53">
        <f t="shared" si="2"/>
        <v>0.99576506752014515</v>
      </c>
      <c r="AH10" s="53">
        <f t="shared" si="2"/>
        <v>0.99550666098679064</v>
      </c>
      <c r="AI10" s="53">
        <f t="shared" si="2"/>
        <v>0.99524216191491122</v>
      </c>
      <c r="AJ10" s="53">
        <f t="shared" si="2"/>
        <v>0.99498044862431412</v>
      </c>
      <c r="AK10" s="53">
        <f t="shared" si="2"/>
        <v>0.99471925178855636</v>
      </c>
      <c r="AL10" s="53">
        <f t="shared" si="2"/>
        <v>0.99445223886495671</v>
      </c>
      <c r="AM10" s="53">
        <f t="shared" si="2"/>
        <v>0.99418656638566127</v>
      </c>
      <c r="AN10" s="53">
        <f t="shared" si="2"/>
        <v>0.99392084924480617</v>
      </c>
      <c r="AO10" s="53">
        <f t="shared" si="2"/>
        <v>0.99365586782738535</v>
      </c>
      <c r="AP10" s="53">
        <f t="shared" si="2"/>
        <v>0.99339053609006989</v>
      </c>
      <c r="AQ10" s="53">
        <f t="shared" si="2"/>
        <v>0.99312182937438509</v>
      </c>
      <c r="AR10" s="53">
        <f t="shared" si="2"/>
        <v>0.99285623853137495</v>
      </c>
      <c r="AS10" s="53">
        <f t="shared" si="2"/>
        <v>0.99259467781408861</v>
      </c>
      <c r="AT10" s="53">
        <f t="shared" si="2"/>
        <v>0.99233843453893689</v>
      </c>
      <c r="AU10" s="53">
        <f t="shared" si="2"/>
        <v>0.99208591146721836</v>
      </c>
      <c r="AV10" s="53">
        <f t="shared" si="2"/>
        <v>0.99184339314845027</v>
      </c>
      <c r="AW10" s="53">
        <f t="shared" si="2"/>
        <v>0.99161244164481677</v>
      </c>
    </row>
    <row r="11" spans="1:49" s="17" customFormat="1">
      <c r="A11" s="2"/>
      <c r="C11" s="779" t="s">
        <v>240</v>
      </c>
      <c r="D11" s="53">
        <v>1</v>
      </c>
      <c r="E11" s="53">
        <f>(Aux.Demanda!$AF$220^(1-Aux.Demanda!AF236))*(E10^0.2)</f>
        <v>1.0078792934135055</v>
      </c>
      <c r="F11" s="53">
        <f>(Aux.Demanda!$AF$220^(1-Aux.Demanda!AG236))*(F10^0.2)</f>
        <v>1.0078149448950393</v>
      </c>
      <c r="G11" s="53">
        <f>(Aux.Demanda!$AF$220^(1-Aux.Demanda!AH236))*(G10^0.2)</f>
        <v>1.0077528480886808</v>
      </c>
      <c r="H11" s="53">
        <f>(Aux.Demanda!$AF$220^(1-Aux.Demanda!AI236))*(H10^0.2)</f>
        <v>1.0076920170081427</v>
      </c>
      <c r="I11" s="53">
        <f>(Aux.Demanda!$AF$220^(1-Aux.Demanda!AJ236))*(I10^0.2)</f>
        <v>1.007633078247453</v>
      </c>
      <c r="J11" s="53">
        <f>(Aux.Demanda!$AF$220^(1-Aux.Demanda!AK236))*(J10^0.2)</f>
        <v>1.0075681495316977</v>
      </c>
      <c r="K11" s="53">
        <f>(Aux.Demanda!$AF$220^(1-Aux.Demanda!AL236))*(K10^0.2)</f>
        <v>1.0074974575823497</v>
      </c>
      <c r="L11" s="53">
        <f>(Aux.Demanda!$AF$220^(1-Aux.Demanda!AM236))*(L10^0.2)</f>
        <v>1.0074275764565488</v>
      </c>
      <c r="M11" s="53">
        <f>(Aux.Demanda!$AF$220^(1-Aux.Demanda!AN236))*(M10^0.2)</f>
        <v>1.0073577559633602</v>
      </c>
      <c r="N11" s="53">
        <f>(Aux.Demanda!$AF$220^(1-Aux.Demanda!AO236))*(N10^0.2)</f>
        <v>1.0072884891609046</v>
      </c>
      <c r="O11" s="53">
        <f>(Aux.Demanda!$AF$220^(1-Aux.Demanda!AP236))*(O10^0.2)</f>
        <v>1.0072198010424789</v>
      </c>
      <c r="P11" s="53">
        <f>(Aux.Demanda!$AF$220^(1-Aux.Demanda!AQ236))*(P10^0.2)</f>
        <v>1.0071499379962405</v>
      </c>
      <c r="Q11" s="53">
        <f>(Aux.Demanda!$AF$220^(1-Aux.Demanda!AR236))*(Q10^0.2)</f>
        <v>1.0070790862016445</v>
      </c>
      <c r="R11" s="53">
        <f>(Aux.Demanda!$AF$220^(1-Aux.Demanda!AS236))*(R10^0.2)</f>
        <v>1.0070089193526446</v>
      </c>
      <c r="S11" s="53">
        <f>(Aux.Demanda!$AF$220^(1-Aux.Demanda!AT236))*(S10^0.2)</f>
        <v>1.0069387571830795</v>
      </c>
      <c r="T11" s="53">
        <f>(Aux.Demanda!$AF$220^(1-Aux.Demanda!AU236))*(T10^0.2)</f>
        <v>1.006865647835814</v>
      </c>
      <c r="U11" s="53">
        <f>(Aux.Demanda!$AF$220^(1-Aux.Demanda!AV236))*(U10^0.2)</f>
        <v>1.0067887335087642</v>
      </c>
      <c r="V11" s="53">
        <f>(Aux.Demanda!$AF$220^(1-Aux.Demanda!AW236))*(V10^0.2)</f>
        <v>1.0067110159050205</v>
      </c>
      <c r="W11" s="53">
        <f>(Aux.Demanda!$AF$220^(1-Aux.Demanda!AX236))*(W10^0.2)</f>
        <v>1.0066330993930384</v>
      </c>
      <c r="X11" s="53">
        <f>(Aux.Demanda!$AF$220^(1-Aux.Demanda!AY236))*(X10^0.2)</f>
        <v>1.0065532039966527</v>
      </c>
      <c r="Y11" s="53">
        <f>(Aux.Demanda!$AF$220^(1-Aux.Demanda!AZ236))*(Y10^0.2)</f>
        <v>1.0064718524900922</v>
      </c>
      <c r="Z11" s="53">
        <f>(Aux.Demanda!$AF$220^(1-Aux.Demanda!BA236))*(Z10^0.2)</f>
        <v>1.0063895781581063</v>
      </c>
      <c r="AA11" s="53">
        <f>(Aux.Demanda!$AF$220^(1-Aux.Demanda!BB236))*(AA10^0.2)</f>
        <v>1.0063058399832092</v>
      </c>
      <c r="AB11" s="53">
        <f>(Aux.Demanda!$AF$220^(1-Aux.Demanda!BC236))*(AB10^0.2)</f>
        <v>1.0062217180585842</v>
      </c>
      <c r="AC11" s="53">
        <f>(Aux.Demanda!$AF$220^(1-Aux.Demanda!BD236))*(AC10^0.2)</f>
        <v>1.0061362565507657</v>
      </c>
      <c r="AD11" s="53">
        <f>(Aux.Demanda!$AF$220^(1-Aux.Demanda!BE236))*(AD10^0.2)</f>
        <v>1.0060481670977579</v>
      </c>
      <c r="AE11" s="53">
        <f>(Aux.Demanda!$AF$220^(1-Aux.Demanda!BF236))*(AE10^0.2)</f>
        <v>1.0059590586963629</v>
      </c>
      <c r="AF11" s="53">
        <f>(Aux.Demanda!$AF$220^(1-Aux.Demanda!BG236))*(AF10^0.2)</f>
        <v>1.0058690541113742</v>
      </c>
      <c r="AG11" s="53">
        <f>(Aux.Demanda!$AF$220^(1-Aux.Demanda!BH236))*(AG10^0.2)</f>
        <v>1.0057774168191123</v>
      </c>
      <c r="AH11" s="53">
        <f>(Aux.Demanda!$AF$220^(1-Aux.Demanda!BI236))*(AH10^0.2)</f>
        <v>1.0056841290061436</v>
      </c>
      <c r="AI11" s="53">
        <f>(Aux.Demanda!$AF$220^(1-Aux.Demanda!BJ236))*(AI10^0.2)</f>
        <v>1.0055883614773604</v>
      </c>
      <c r="AJ11" s="53">
        <f>(Aux.Demanda!$AF$220^(1-Aux.Demanda!BK236))*(AJ10^0.2)</f>
        <v>1.0054918833282223</v>
      </c>
      <c r="AK11" s="53">
        <f>(Aux.Demanda!$AF$220^(1-Aux.Demanda!BL236))*(AK10^0.2)</f>
        <v>1.0053942038980441</v>
      </c>
      <c r="AL11" s="53">
        <f>(Aux.Demanda!$AF$220^(1-Aux.Demanda!BM236))*(AL10^0.2)</f>
        <v>1.0052939906332727</v>
      </c>
      <c r="AM11" s="53">
        <f>(Aux.Demanda!$AF$220^(1-Aux.Demanda!BN236))*(AM10^0.2)</f>
        <v>1.005192657299449</v>
      </c>
      <c r="AN11" s="53">
        <f>(Aux.Demanda!$AF$220^(1-Aux.Demanda!BO236))*(AN10^0.2)</f>
        <v>1.0050898857031441</v>
      </c>
      <c r="AO11" s="53">
        <f>(Aux.Demanda!$AF$220^(1-Aux.Demanda!BP236))*(AO10^0.2)</f>
        <v>1.0049857965167399</v>
      </c>
      <c r="AP11" s="53">
        <f>(Aux.Demanda!$AF$220^(1-Aux.Demanda!BQ236))*(AP10^0.2)</f>
        <v>1.004880128157233</v>
      </c>
      <c r="AQ11" s="53">
        <f>(Aux.Demanda!$AF$220^(1-Aux.Demanda!BR236))*(AQ10^0.2)</f>
        <v>1.0047722153988914</v>
      </c>
      <c r="AR11" s="53">
        <f>(Aux.Demanda!$AF$220^(1-Aux.Demanda!BS236))*(AR10^0.2)</f>
        <v>1.004663337218785</v>
      </c>
      <c r="AS11" s="53">
        <f>(Aux.Demanda!$AF$220^(1-Aux.Demanda!BT236))*(AS10^0.2)</f>
        <v>1.0045536465962839</v>
      </c>
      <c r="AT11" s="53">
        <f>(Aux.Demanda!$AF$220^(1-Aux.Demanda!BU236))*(AT10^0.2)</f>
        <v>1.0044433755014015</v>
      </c>
      <c r="AU11" s="53">
        <f>(Aux.Demanda!$AF$220^(1-Aux.Demanda!BV236))*(AU10^0.2)</f>
        <v>1.0043321659215192</v>
      </c>
      <c r="AV11" s="53">
        <f>(Aux.Demanda!$AF$220^(1-Aux.Demanda!BW236))*(AV10^0.2)</f>
        <v>1.0042212762562175</v>
      </c>
      <c r="AW11" s="53">
        <f>(Aux.Demanda!$AF$220^(1-Aux.Demanda!BX236))*(AW10^0.2)</f>
        <v>1.0041110148677732</v>
      </c>
    </row>
    <row r="12" spans="1:49" s="17" customFormat="1" ht="14.45" thickBot="1">
      <c r="A12" s="2"/>
      <c r="C12" s="779" t="s">
        <v>241</v>
      </c>
      <c r="D12" s="53">
        <v>1</v>
      </c>
      <c r="E12" s="53">
        <f t="shared" ref="E12:AW12" si="3">(E7/D7-1)*100</f>
        <v>0.78792934135054615</v>
      </c>
      <c r="F12" s="53">
        <f t="shared" si="3"/>
        <v>0.78149448950393108</v>
      </c>
      <c r="G12" s="53">
        <f t="shared" si="3"/>
        <v>0.77528480886808193</v>
      </c>
      <c r="H12" s="53">
        <f t="shared" si="3"/>
        <v>0.76920170081427042</v>
      </c>
      <c r="I12" s="53">
        <f t="shared" si="3"/>
        <v>0.76330782474529624</v>
      </c>
      <c r="J12" s="53">
        <f t="shared" si="3"/>
        <v>0.75681495316977099</v>
      </c>
      <c r="K12" s="53">
        <f t="shared" si="3"/>
        <v>0.74974575823496536</v>
      </c>
      <c r="L12" s="53">
        <f t="shared" si="3"/>
        <v>0.74275764565487901</v>
      </c>
      <c r="M12" s="53">
        <f t="shared" si="3"/>
        <v>0.73577559633601908</v>
      </c>
      <c r="N12" s="53">
        <f t="shared" si="3"/>
        <v>0.72884891609046321</v>
      </c>
      <c r="O12" s="53">
        <f t="shared" si="3"/>
        <v>0.72198010424788794</v>
      </c>
      <c r="P12" s="53">
        <f t="shared" si="3"/>
        <v>0.71499379962405296</v>
      </c>
      <c r="Q12" s="53">
        <f t="shared" si="3"/>
        <v>0.70790862016445466</v>
      </c>
      <c r="R12" s="53">
        <f t="shared" si="3"/>
        <v>0.70089193526445825</v>
      </c>
      <c r="S12" s="53">
        <f t="shared" si="3"/>
        <v>0.69387571830794581</v>
      </c>
      <c r="T12" s="53">
        <f t="shared" si="3"/>
        <v>0.68656478358140038</v>
      </c>
      <c r="U12" s="53">
        <f t="shared" si="3"/>
        <v>0.67887335087641887</v>
      </c>
      <c r="V12" s="53">
        <f t="shared" si="3"/>
        <v>0.67110159050205453</v>
      </c>
      <c r="W12" s="53">
        <f t="shared" si="3"/>
        <v>0.66330993930383553</v>
      </c>
      <c r="X12" s="53">
        <f t="shared" si="3"/>
        <v>0.65532039966527122</v>
      </c>
      <c r="Y12" s="53">
        <f t="shared" si="3"/>
        <v>0.64718524900921892</v>
      </c>
      <c r="Z12" s="53">
        <f t="shared" si="3"/>
        <v>0.63895781581062572</v>
      </c>
      <c r="AA12" s="53">
        <f t="shared" si="3"/>
        <v>0.6305839983209216</v>
      </c>
      <c r="AB12" s="53">
        <f t="shared" si="3"/>
        <v>0.62217180585841803</v>
      </c>
      <c r="AC12" s="53">
        <f t="shared" si="3"/>
        <v>0.61362565507656619</v>
      </c>
      <c r="AD12" s="53">
        <f t="shared" si="3"/>
        <v>0.60481670977579061</v>
      </c>
      <c r="AE12" s="53">
        <f t="shared" si="3"/>
        <v>0.59590586963629288</v>
      </c>
      <c r="AF12" s="53">
        <f t="shared" si="3"/>
        <v>0.58690541113741723</v>
      </c>
      <c r="AG12" s="53">
        <f t="shared" si="3"/>
        <v>0.57774168191122577</v>
      </c>
      <c r="AH12" s="53">
        <f t="shared" si="3"/>
        <v>0.56841290061435679</v>
      </c>
      <c r="AI12" s="53">
        <f t="shared" si="3"/>
        <v>0.55883614773604151</v>
      </c>
      <c r="AJ12" s="53">
        <f t="shared" si="3"/>
        <v>0.54918833282222579</v>
      </c>
      <c r="AK12" s="53">
        <f t="shared" si="3"/>
        <v>0.53942038980441254</v>
      </c>
      <c r="AL12" s="53">
        <f t="shared" si="3"/>
        <v>0.52939906332727382</v>
      </c>
      <c r="AM12" s="53">
        <f t="shared" si="3"/>
        <v>0.5192657299448955</v>
      </c>
      <c r="AN12" s="53">
        <f t="shared" si="3"/>
        <v>0.50898857031440592</v>
      </c>
      <c r="AO12" s="53">
        <f t="shared" si="3"/>
        <v>0.49857965167399154</v>
      </c>
      <c r="AP12" s="53">
        <f t="shared" si="3"/>
        <v>0.48801281572330435</v>
      </c>
      <c r="AQ12" s="53">
        <f t="shared" si="3"/>
        <v>0.47722153988913885</v>
      </c>
      <c r="AR12" s="53">
        <f t="shared" si="3"/>
        <v>0.46633372187849798</v>
      </c>
      <c r="AS12" s="53">
        <f t="shared" si="3"/>
        <v>0.45536465962838779</v>
      </c>
      <c r="AT12" s="53">
        <f t="shared" si="3"/>
        <v>0.44433755014015031</v>
      </c>
      <c r="AU12" s="53">
        <f t="shared" si="3"/>
        <v>0.43321659215191932</v>
      </c>
      <c r="AV12" s="53">
        <f t="shared" si="3"/>
        <v>0.42212762562174877</v>
      </c>
      <c r="AW12" s="53">
        <f t="shared" si="3"/>
        <v>0.41110148677732106</v>
      </c>
    </row>
    <row r="13" spans="1:49">
      <c r="D13" s="18"/>
      <c r="E13" s="56"/>
      <c r="F13" s="56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</row>
    <row r="14" spans="1:49">
      <c r="D14" s="18"/>
      <c r="E14" s="56"/>
      <c r="F14" s="56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</row>
    <row r="15" spans="1:49">
      <c r="G15" s="455"/>
      <c r="H15" s="455"/>
      <c r="I15" s="455"/>
      <c r="J15" s="455"/>
      <c r="K15" s="455"/>
      <c r="L15" s="455"/>
    </row>
    <row r="16" spans="1:49">
      <c r="C16" s="57" t="s">
        <v>242</v>
      </c>
    </row>
    <row r="17" spans="3:49" ht="15" customHeight="1">
      <c r="C17" s="703">
        <f>SUM(C18:C19)</f>
        <v>0.12</v>
      </c>
      <c r="D17" s="676" t="s">
        <v>243</v>
      </c>
      <c r="E17" s="153"/>
      <c r="F17" s="153"/>
      <c r="G17" s="153"/>
      <c r="H17" s="153"/>
    </row>
    <row r="18" spans="3:49" ht="15.6">
      <c r="C18" s="702">
        <v>0.12</v>
      </c>
      <c r="D18" s="456" t="s">
        <v>244</v>
      </c>
    </row>
    <row r="19" spans="3:49" ht="15.6">
      <c r="C19" s="702">
        <v>0</v>
      </c>
      <c r="D19" s="456" t="s">
        <v>245</v>
      </c>
    </row>
    <row r="20" spans="3:49" ht="12.75" customHeight="1"/>
    <row r="21" spans="3:49" ht="12.75" customHeight="1"/>
    <row r="22" spans="3:49" ht="15" customHeight="1" thickBot="1">
      <c r="C22" s="377" t="s">
        <v>246</v>
      </c>
      <c r="D22" s="775" t="s">
        <v>224</v>
      </c>
      <c r="E22" s="775" t="s">
        <v>84</v>
      </c>
      <c r="F22" s="775" t="s">
        <v>86</v>
      </c>
      <c r="G22" s="775" t="s">
        <v>92</v>
      </c>
      <c r="H22" s="775" t="s">
        <v>93</v>
      </c>
      <c r="I22" s="775" t="s">
        <v>94</v>
      </c>
      <c r="J22" s="775" t="s">
        <v>95</v>
      </c>
      <c r="K22" s="775" t="s">
        <v>96</v>
      </c>
      <c r="L22" s="775" t="s">
        <v>97</v>
      </c>
      <c r="M22" s="775" t="s">
        <v>98</v>
      </c>
      <c r="N22" s="775" t="s">
        <v>99</v>
      </c>
      <c r="O22" s="775" t="s">
        <v>100</v>
      </c>
      <c r="P22" s="775" t="s">
        <v>101</v>
      </c>
      <c r="Q22" s="775" t="s">
        <v>102</v>
      </c>
      <c r="R22" s="775" t="s">
        <v>103</v>
      </c>
      <c r="S22" s="775" t="s">
        <v>104</v>
      </c>
      <c r="T22" s="775" t="s">
        <v>105</v>
      </c>
      <c r="U22" s="775" t="s">
        <v>106</v>
      </c>
      <c r="V22" s="775" t="s">
        <v>107</v>
      </c>
      <c r="W22" s="775" t="s">
        <v>108</v>
      </c>
      <c r="X22" s="775" t="s">
        <v>109</v>
      </c>
      <c r="Y22" s="775" t="s">
        <v>110</v>
      </c>
      <c r="Z22" s="775" t="s">
        <v>111</v>
      </c>
      <c r="AA22" s="775" t="s">
        <v>112</v>
      </c>
      <c r="AB22" s="775" t="s">
        <v>113</v>
      </c>
      <c r="AC22" s="775" t="s">
        <v>114</v>
      </c>
      <c r="AD22" s="775" t="s">
        <v>115</v>
      </c>
      <c r="AE22" s="775" t="s">
        <v>116</v>
      </c>
      <c r="AF22" s="775" t="s">
        <v>117</v>
      </c>
      <c r="AG22" s="775" t="s">
        <v>118</v>
      </c>
      <c r="AH22" s="775" t="s">
        <v>119</v>
      </c>
      <c r="AI22" s="775" t="s">
        <v>120</v>
      </c>
      <c r="AJ22" s="775" t="s">
        <v>121</v>
      </c>
      <c r="AK22" s="775" t="s">
        <v>122</v>
      </c>
      <c r="AL22" s="775" t="s">
        <v>123</v>
      </c>
      <c r="AM22" s="775" t="s">
        <v>124</v>
      </c>
      <c r="AN22" s="775" t="s">
        <v>225</v>
      </c>
      <c r="AO22" s="775" t="s">
        <v>226</v>
      </c>
      <c r="AP22" s="775" t="s">
        <v>227</v>
      </c>
      <c r="AQ22" s="775" t="s">
        <v>228</v>
      </c>
      <c r="AR22" s="775" t="s">
        <v>229</v>
      </c>
      <c r="AS22" s="775" t="s">
        <v>230</v>
      </c>
      <c r="AT22" s="775" t="s">
        <v>231</v>
      </c>
      <c r="AU22" s="775" t="s">
        <v>232</v>
      </c>
      <c r="AV22" s="775" t="s">
        <v>233</v>
      </c>
      <c r="AW22" s="775" t="s">
        <v>234</v>
      </c>
    </row>
    <row r="23" spans="3:49" ht="15" customHeight="1" thickBot="1">
      <c r="C23" s="378"/>
      <c r="D23" s="775">
        <v>2025</v>
      </c>
      <c r="E23" s="775">
        <v>2026</v>
      </c>
      <c r="F23" s="775">
        <v>2027</v>
      </c>
      <c r="G23" s="775">
        <v>2028</v>
      </c>
      <c r="H23" s="775">
        <v>2029</v>
      </c>
      <c r="I23" s="775">
        <v>2030</v>
      </c>
      <c r="J23" s="775">
        <v>2031</v>
      </c>
      <c r="K23" s="775">
        <v>2032</v>
      </c>
      <c r="L23" s="775">
        <v>2033</v>
      </c>
      <c r="M23" s="775">
        <v>2034</v>
      </c>
      <c r="N23" s="775">
        <v>2035</v>
      </c>
      <c r="O23" s="775">
        <v>2036</v>
      </c>
      <c r="P23" s="775">
        <v>2037</v>
      </c>
      <c r="Q23" s="775">
        <v>2038</v>
      </c>
      <c r="R23" s="775">
        <v>2039</v>
      </c>
      <c r="S23" s="775">
        <v>2040</v>
      </c>
      <c r="T23" s="775">
        <v>2041</v>
      </c>
      <c r="U23" s="775">
        <v>2042</v>
      </c>
      <c r="V23" s="775">
        <v>2043</v>
      </c>
      <c r="W23" s="775">
        <v>2044</v>
      </c>
      <c r="X23" s="775">
        <v>2045</v>
      </c>
      <c r="Y23" s="775">
        <v>2046</v>
      </c>
      <c r="Z23" s="775">
        <v>2047</v>
      </c>
      <c r="AA23" s="775">
        <v>2048</v>
      </c>
      <c r="AB23" s="775">
        <v>2049</v>
      </c>
      <c r="AC23" s="775">
        <v>2050</v>
      </c>
      <c r="AD23" s="775">
        <v>2051</v>
      </c>
      <c r="AE23" s="775">
        <v>2052</v>
      </c>
      <c r="AF23" s="775">
        <v>2053</v>
      </c>
      <c r="AG23" s="775">
        <v>2054</v>
      </c>
      <c r="AH23" s="775">
        <v>2055</v>
      </c>
      <c r="AI23" s="775">
        <v>2056</v>
      </c>
      <c r="AJ23" s="775">
        <v>2057</v>
      </c>
      <c r="AK23" s="775">
        <v>2058</v>
      </c>
      <c r="AL23" s="775">
        <v>2059</v>
      </c>
      <c r="AM23" s="775">
        <v>2060</v>
      </c>
      <c r="AN23" s="775">
        <v>2061</v>
      </c>
      <c r="AO23" s="775">
        <v>2062</v>
      </c>
      <c r="AP23" s="775">
        <v>2063</v>
      </c>
      <c r="AQ23" s="775">
        <v>2064</v>
      </c>
      <c r="AR23" s="775">
        <v>2065</v>
      </c>
      <c r="AS23" s="775">
        <v>2066</v>
      </c>
      <c r="AT23" s="775">
        <v>2067</v>
      </c>
      <c r="AU23" s="775">
        <v>2068</v>
      </c>
      <c r="AV23" s="775">
        <v>2069</v>
      </c>
      <c r="AW23" s="775">
        <v>2070</v>
      </c>
    </row>
    <row r="24" spans="3:49">
      <c r="C24" s="157" t="s">
        <v>57</v>
      </c>
      <c r="D24" s="417">
        <f>D7*$C$17</f>
        <v>108683.04</v>
      </c>
      <c r="E24" s="58">
        <f>E7*$C$17</f>
        <v>109539.38556123174</v>
      </c>
      <c r="F24" s="58">
        <f>F7*$C$17</f>
        <v>110395.42982322923</v>
      </c>
      <c r="G24" s="58">
        <f t="shared" ref="G24:AW24" si="4">G7*$C$17</f>
        <v>111251.30882033335</v>
      </c>
      <c r="H24" s="58">
        <f t="shared" si="4"/>
        <v>112107.05577995749</v>
      </c>
      <c r="I24" s="58">
        <f t="shared" si="4"/>
        <v>112962.77770881748</v>
      </c>
      <c r="J24" s="58">
        <f t="shared" si="4"/>
        <v>113817.69690203374</v>
      </c>
      <c r="K24" s="58">
        <f t="shared" si="4"/>
        <v>114671.04025667747</v>
      </c>
      <c r="L24" s="58">
        <f t="shared" si="4"/>
        <v>115522.76817553592</v>
      </c>
      <c r="M24" s="58">
        <f t="shared" si="4"/>
        <v>116372.75651198335</v>
      </c>
      <c r="N24" s="58">
        <f t="shared" si="4"/>
        <v>117220.93808644555</v>
      </c>
      <c r="O24" s="58">
        <f t="shared" si="4"/>
        <v>118067.24993744242</v>
      </c>
      <c r="P24" s="58">
        <f t="shared" si="4"/>
        <v>118911.42345388175</v>
      </c>
      <c r="Q24" s="58">
        <f t="shared" si="4"/>
        <v>119753.20767087204</v>
      </c>
      <c r="R24" s="58">
        <f t="shared" si="4"/>
        <v>120592.54824565769</v>
      </c>
      <c r="S24" s="58">
        <f t="shared" si="4"/>
        <v>121429.3106560231</v>
      </c>
      <c r="T24" s="58">
        <f t="shared" si="4"/>
        <v>122263.001539933</v>
      </c>
      <c r="U24" s="58">
        <f t="shared" si="4"/>
        <v>123093.01247536924</v>
      </c>
      <c r="V24" s="58">
        <f t="shared" si="4"/>
        <v>123919.09163988833</v>
      </c>
      <c r="W24" s="58">
        <f t="shared" si="4"/>
        <v>124741.05929143073</v>
      </c>
      <c r="X24" s="58">
        <f t="shared" si="4"/>
        <v>125558.51289972603</v>
      </c>
      <c r="Y24" s="58">
        <f t="shared" si="4"/>
        <v>126371.10907408838</v>
      </c>
      <c r="Z24" s="58">
        <f t="shared" si="4"/>
        <v>127178.56715244384</v>
      </c>
      <c r="AA24" s="58">
        <f t="shared" si="4"/>
        <v>127980.53484620097</v>
      </c>
      <c r="AB24" s="58">
        <f t="shared" si="4"/>
        <v>128776.79365100084</v>
      </c>
      <c r="AC24" s="58">
        <f t="shared" si="4"/>
        <v>129567.00109462839</v>
      </c>
      <c r="AD24" s="58">
        <f t="shared" si="4"/>
        <v>130350.64396760409</v>
      </c>
      <c r="AE24" s="58">
        <f t="shared" si="4"/>
        <v>131127.41110611573</v>
      </c>
      <c r="AF24" s="58">
        <f t="shared" si="4"/>
        <v>131897.00497738193</v>
      </c>
      <c r="AG24" s="58">
        <f t="shared" si="4"/>
        <v>132659.02895232878</v>
      </c>
      <c r="AH24" s="58">
        <f t="shared" si="4"/>
        <v>133413.07998672355</v>
      </c>
      <c r="AI24" s="58">
        <f t="shared" si="4"/>
        <v>134158.64050349736</v>
      </c>
      <c r="AJ24" s="58">
        <f t="shared" si="4"/>
        <v>134895.42410461546</v>
      </c>
      <c r="AK24" s="58">
        <f t="shared" si="4"/>
        <v>135623.07752714888</v>
      </c>
      <c r="AL24" s="58">
        <f t="shared" si="4"/>
        <v>136341.06482923325</v>
      </c>
      <c r="AM24" s="58">
        <f t="shared" si="4"/>
        <v>137049.03725473341</v>
      </c>
      <c r="AN24" s="58">
        <f t="shared" si="4"/>
        <v>137746.60119008593</v>
      </c>
      <c r="AO24" s="58">
        <f t="shared" si="4"/>
        <v>138433.37771449221</v>
      </c>
      <c r="AP24" s="58">
        <f t="shared" si="4"/>
        <v>139108.95033897756</v>
      </c>
      <c r="AQ24" s="58">
        <f t="shared" si="4"/>
        <v>139772.80821390887</v>
      </c>
      <c r="AR24" s="58">
        <f t="shared" si="4"/>
        <v>140424.61595262686</v>
      </c>
      <c r="AS24" s="58">
        <f t="shared" si="4"/>
        <v>141064.060027094</v>
      </c>
      <c r="AT24" s="58">
        <f t="shared" si="4"/>
        <v>141690.86061554664</v>
      </c>
      <c r="AU24" s="58">
        <f t="shared" si="4"/>
        <v>142304.68893329604</v>
      </c>
      <c r="AV24" s="58">
        <f t="shared" si="4"/>
        <v>142905.39633783858</v>
      </c>
      <c r="AW24" s="58">
        <f t="shared" si="4"/>
        <v>143492.88254686847</v>
      </c>
    </row>
    <row r="25" spans="3:49" ht="14.45" thickBot="1">
      <c r="C25" s="157" t="s">
        <v>60</v>
      </c>
      <c r="D25" s="416">
        <f>D24/12</f>
        <v>9056.92</v>
      </c>
      <c r="E25" s="58">
        <f t="shared" ref="E25:AW25" si="5">E24/12</f>
        <v>9128.2821301026452</v>
      </c>
      <c r="F25" s="58">
        <f t="shared" si="5"/>
        <v>9199.619151935769</v>
      </c>
      <c r="G25" s="58">
        <f t="shared" si="5"/>
        <v>9270.9424016944449</v>
      </c>
      <c r="H25" s="58">
        <f t="shared" si="5"/>
        <v>9342.2546483297901</v>
      </c>
      <c r="I25" s="58">
        <f t="shared" si="5"/>
        <v>9413.5648090681225</v>
      </c>
      <c r="J25" s="58">
        <f t="shared" si="5"/>
        <v>9484.8080751694779</v>
      </c>
      <c r="K25" s="58">
        <f t="shared" si="5"/>
        <v>9555.9200213897893</v>
      </c>
      <c r="L25" s="58">
        <f t="shared" si="5"/>
        <v>9626.8973479613269</v>
      </c>
      <c r="M25" s="58">
        <f t="shared" si="5"/>
        <v>9697.7297093319448</v>
      </c>
      <c r="N25" s="58">
        <f t="shared" si="5"/>
        <v>9768.4115072037948</v>
      </c>
      <c r="O25" s="58">
        <f t="shared" si="5"/>
        <v>9838.9374947868691</v>
      </c>
      <c r="P25" s="58">
        <f t="shared" si="5"/>
        <v>9909.2852878234789</v>
      </c>
      <c r="Q25" s="58">
        <f t="shared" si="5"/>
        <v>9979.4339725726695</v>
      </c>
      <c r="R25" s="58">
        <f t="shared" si="5"/>
        <v>10049.379020471473</v>
      </c>
      <c r="S25" s="58">
        <f t="shared" si="5"/>
        <v>10119.109221335259</v>
      </c>
      <c r="T25" s="58">
        <f t="shared" si="5"/>
        <v>10188.583461661083</v>
      </c>
      <c r="U25" s="58">
        <f t="shared" si="5"/>
        <v>10257.751039614102</v>
      </c>
      <c r="V25" s="58">
        <f t="shared" si="5"/>
        <v>10326.590969990693</v>
      </c>
      <c r="W25" s="58">
        <f t="shared" si="5"/>
        <v>10395.088274285894</v>
      </c>
      <c r="X25" s="58">
        <f t="shared" si="5"/>
        <v>10463.209408310502</v>
      </c>
      <c r="Y25" s="58">
        <f t="shared" si="5"/>
        <v>10530.925756174032</v>
      </c>
      <c r="Z25" s="58">
        <f t="shared" si="5"/>
        <v>10598.21392937032</v>
      </c>
      <c r="AA25" s="58">
        <f t="shared" si="5"/>
        <v>10665.044570516748</v>
      </c>
      <c r="AB25" s="58">
        <f t="shared" si="5"/>
        <v>10731.399470916736</v>
      </c>
      <c r="AC25" s="58">
        <f t="shared" si="5"/>
        <v>10797.250091219032</v>
      </c>
      <c r="AD25" s="58">
        <f t="shared" si="5"/>
        <v>10862.553663967008</v>
      </c>
      <c r="AE25" s="58">
        <f t="shared" si="5"/>
        <v>10927.284258842978</v>
      </c>
      <c r="AF25" s="58">
        <f t="shared" si="5"/>
        <v>10991.417081448495</v>
      </c>
      <c r="AG25" s="58">
        <f t="shared" si="5"/>
        <v>11054.919079360732</v>
      </c>
      <c r="AH25" s="58">
        <f t="shared" si="5"/>
        <v>11117.756665560295</v>
      </c>
      <c r="AI25" s="58">
        <f t="shared" si="5"/>
        <v>11179.886708624779</v>
      </c>
      <c r="AJ25" s="58">
        <f t="shared" si="5"/>
        <v>11241.285342051289</v>
      </c>
      <c r="AK25" s="58">
        <f t="shared" si="5"/>
        <v>11301.923127262407</v>
      </c>
      <c r="AL25" s="58">
        <f t="shared" si="5"/>
        <v>11361.755402436103</v>
      </c>
      <c r="AM25" s="58">
        <f t="shared" si="5"/>
        <v>11420.753104561118</v>
      </c>
      <c r="AN25" s="58">
        <f t="shared" si="5"/>
        <v>11478.88343250716</v>
      </c>
      <c r="AO25" s="58">
        <f t="shared" si="5"/>
        <v>11536.114809541017</v>
      </c>
      <c r="AP25" s="58">
        <f t="shared" si="5"/>
        <v>11592.412528248131</v>
      </c>
      <c r="AQ25" s="58">
        <f t="shared" si="5"/>
        <v>11647.734017825738</v>
      </c>
      <c r="AR25" s="58">
        <f t="shared" si="5"/>
        <v>11702.051329385571</v>
      </c>
      <c r="AS25" s="58">
        <f t="shared" si="5"/>
        <v>11755.338335591166</v>
      </c>
      <c r="AT25" s="58">
        <f t="shared" si="5"/>
        <v>11807.571717962221</v>
      </c>
      <c r="AU25" s="58">
        <f t="shared" si="5"/>
        <v>11858.72407777467</v>
      </c>
      <c r="AV25" s="58">
        <f t="shared" si="5"/>
        <v>11908.783028153215</v>
      </c>
      <c r="AW25" s="58">
        <f t="shared" si="5"/>
        <v>11957.740212239039</v>
      </c>
    </row>
    <row r="26" spans="3:49" ht="14.45" thickBot="1">
      <c r="C26" s="157" t="s">
        <v>247</v>
      </c>
      <c r="D26" s="416">
        <f>D25/30</f>
        <v>301.89733333333334</v>
      </c>
      <c r="E26" s="58">
        <f>E25/30</f>
        <v>304.27607100342152</v>
      </c>
      <c r="F26" s="58">
        <f t="shared" ref="F26:AW26" si="6">F25/30</f>
        <v>306.65397173119231</v>
      </c>
      <c r="G26" s="58">
        <f t="shared" si="6"/>
        <v>309.03141338981482</v>
      </c>
      <c r="H26" s="58">
        <f t="shared" si="6"/>
        <v>311.40848827765967</v>
      </c>
      <c r="I26" s="58">
        <f t="shared" si="6"/>
        <v>313.7854936356041</v>
      </c>
      <c r="J26" s="58">
        <f t="shared" si="6"/>
        <v>316.16026917231591</v>
      </c>
      <c r="K26" s="58">
        <f t="shared" si="6"/>
        <v>318.53066737965963</v>
      </c>
      <c r="L26" s="58">
        <f t="shared" si="6"/>
        <v>320.89657826537757</v>
      </c>
      <c r="M26" s="58">
        <f t="shared" si="6"/>
        <v>323.25765697773147</v>
      </c>
      <c r="N26" s="58">
        <f t="shared" si="6"/>
        <v>325.61371690679317</v>
      </c>
      <c r="O26" s="58">
        <f t="shared" si="6"/>
        <v>327.96458315956232</v>
      </c>
      <c r="P26" s="58">
        <f t="shared" si="6"/>
        <v>330.30950959411598</v>
      </c>
      <c r="Q26" s="58">
        <f t="shared" si="6"/>
        <v>332.64779908575565</v>
      </c>
      <c r="R26" s="58">
        <f t="shared" si="6"/>
        <v>334.97930068238242</v>
      </c>
      <c r="S26" s="58">
        <f t="shared" si="6"/>
        <v>337.30364071117526</v>
      </c>
      <c r="T26" s="58">
        <f t="shared" si="6"/>
        <v>339.61944872203611</v>
      </c>
      <c r="U26" s="58">
        <f t="shared" si="6"/>
        <v>341.92503465380344</v>
      </c>
      <c r="V26" s="58">
        <f t="shared" si="6"/>
        <v>344.2196989996898</v>
      </c>
      <c r="W26" s="58">
        <f t="shared" si="6"/>
        <v>346.50294247619644</v>
      </c>
      <c r="X26" s="58">
        <f t="shared" si="6"/>
        <v>348.77364694368339</v>
      </c>
      <c r="Y26" s="58">
        <f t="shared" si="6"/>
        <v>351.03085853913439</v>
      </c>
      <c r="Z26" s="58">
        <f t="shared" si="6"/>
        <v>353.27379764567735</v>
      </c>
      <c r="AA26" s="58">
        <f t="shared" si="6"/>
        <v>355.50148568389159</v>
      </c>
      <c r="AB26" s="58">
        <f t="shared" si="6"/>
        <v>357.71331569722457</v>
      </c>
      <c r="AC26" s="58">
        <f t="shared" si="6"/>
        <v>359.9083363739677</v>
      </c>
      <c r="AD26" s="58">
        <f t="shared" si="6"/>
        <v>362.08512213223361</v>
      </c>
      <c r="AE26" s="58">
        <f t="shared" si="6"/>
        <v>364.24280862809923</v>
      </c>
      <c r="AF26" s="58">
        <f t="shared" si="6"/>
        <v>366.38056938161651</v>
      </c>
      <c r="AG26" s="58">
        <f t="shared" si="6"/>
        <v>368.49730264535776</v>
      </c>
      <c r="AH26" s="58">
        <f t="shared" si="6"/>
        <v>370.59188885200984</v>
      </c>
      <c r="AI26" s="58">
        <f t="shared" si="6"/>
        <v>372.66289028749264</v>
      </c>
      <c r="AJ26" s="58">
        <f t="shared" si="6"/>
        <v>374.70951140170962</v>
      </c>
      <c r="AK26" s="58">
        <f t="shared" si="6"/>
        <v>376.73077090874693</v>
      </c>
      <c r="AL26" s="58">
        <f t="shared" si="6"/>
        <v>378.72518008120346</v>
      </c>
      <c r="AM26" s="58">
        <f t="shared" si="6"/>
        <v>380.69177015203724</v>
      </c>
      <c r="AN26" s="58">
        <f t="shared" si="6"/>
        <v>382.62944775023868</v>
      </c>
      <c r="AO26" s="58">
        <f t="shared" si="6"/>
        <v>384.5371603180339</v>
      </c>
      <c r="AP26" s="58">
        <f t="shared" si="6"/>
        <v>386.41375094160435</v>
      </c>
      <c r="AQ26" s="58">
        <f t="shared" si="6"/>
        <v>388.25780059419128</v>
      </c>
      <c r="AR26" s="58">
        <f t="shared" si="6"/>
        <v>390.0683776461857</v>
      </c>
      <c r="AS26" s="58">
        <f t="shared" si="6"/>
        <v>391.84461118637222</v>
      </c>
      <c r="AT26" s="58">
        <f t="shared" si="6"/>
        <v>393.58572393207402</v>
      </c>
      <c r="AU26" s="58">
        <f t="shared" si="6"/>
        <v>395.290802592489</v>
      </c>
      <c r="AV26" s="58">
        <f t="shared" si="6"/>
        <v>396.95943427177383</v>
      </c>
      <c r="AW26" s="58">
        <f t="shared" si="6"/>
        <v>398.591340407968</v>
      </c>
    </row>
    <row r="27" spans="3:49">
      <c r="E27" s="20"/>
    </row>
    <row r="28" spans="3:49">
      <c r="F28" s="20"/>
      <c r="H28" s="1"/>
      <c r="J28" s="29"/>
    </row>
    <row r="29" spans="3:49">
      <c r="H29" s="1"/>
      <c r="J29" s="29"/>
    </row>
    <row r="30" spans="3:49">
      <c r="E30" s="415"/>
      <c r="G30" s="431"/>
    </row>
    <row r="31" spans="3:49">
      <c r="E31" s="20"/>
      <c r="F31" s="20"/>
      <c r="G31" s="432"/>
      <c r="H31" s="431"/>
      <c r="I31" s="431"/>
    </row>
    <row r="32" spans="3:49">
      <c r="F32" s="414"/>
      <c r="H32" s="20"/>
      <c r="I32" s="20"/>
    </row>
    <row r="33" spans="3:13">
      <c r="C33" s="1"/>
    </row>
    <row r="40" spans="3:13">
      <c r="D40" s="381"/>
      <c r="E40" s="381"/>
      <c r="F40" s="381"/>
      <c r="G40" s="381"/>
      <c r="H40" s="381"/>
      <c r="I40" s="381"/>
      <c r="J40" s="381"/>
      <c r="K40" s="381"/>
      <c r="L40" s="381"/>
      <c r="M40" s="381"/>
    </row>
    <row r="41" spans="3:13">
      <c r="D41" s="381"/>
      <c r="E41" s="381"/>
      <c r="F41" s="381"/>
      <c r="G41" s="381"/>
      <c r="H41" s="381"/>
      <c r="I41" s="381"/>
      <c r="J41" s="381"/>
      <c r="K41" s="381"/>
      <c r="L41" s="381"/>
      <c r="M41" s="381"/>
    </row>
    <row r="42" spans="3:13">
      <c r="D42" s="381" t="s">
        <v>248</v>
      </c>
      <c r="E42" s="381">
        <v>2026</v>
      </c>
      <c r="F42" s="381">
        <v>2031</v>
      </c>
      <c r="G42" s="381">
        <v>2036</v>
      </c>
      <c r="H42" s="381">
        <v>2041</v>
      </c>
      <c r="I42" s="381">
        <v>2047</v>
      </c>
      <c r="J42" s="381">
        <v>2052</v>
      </c>
      <c r="K42" s="381">
        <v>2057</v>
      </c>
      <c r="L42" s="381">
        <v>2060</v>
      </c>
      <c r="M42" s="381"/>
    </row>
    <row r="43" spans="3:13">
      <c r="D43" s="381" t="s">
        <v>57</v>
      </c>
      <c r="E43" s="381">
        <f>E24</f>
        <v>109539.38556123174</v>
      </c>
      <c r="F43" s="381">
        <f>J24</f>
        <v>113817.69690203374</v>
      </c>
      <c r="G43" s="381">
        <f>O24</f>
        <v>118067.24993744242</v>
      </c>
      <c r="H43" s="381">
        <f>T24</f>
        <v>122263.001539933</v>
      </c>
      <c r="I43" s="381">
        <f>Z24</f>
        <v>127178.56715244384</v>
      </c>
      <c r="J43" s="381">
        <f>AE24</f>
        <v>131127.41110611573</v>
      </c>
      <c r="K43" s="381">
        <f>AJ24</f>
        <v>134895.42410461546</v>
      </c>
      <c r="L43" s="381">
        <f>AM24</f>
        <v>137049.03725473341</v>
      </c>
      <c r="M43" s="381"/>
    </row>
    <row r="44" spans="3:13">
      <c r="D44" s="381" t="s">
        <v>60</v>
      </c>
      <c r="E44" s="381">
        <f>E25</f>
        <v>9128.2821301026452</v>
      </c>
      <c r="F44" s="381">
        <v>9615.4969612076657</v>
      </c>
      <c r="G44" s="381">
        <v>10094.511125454113</v>
      </c>
      <c r="H44" s="381">
        <v>10585.337590777634</v>
      </c>
      <c r="I44" s="381">
        <v>11188.471030461495</v>
      </c>
      <c r="J44" s="381">
        <v>11701.274886420231</v>
      </c>
      <c r="K44" s="381">
        <v>12221.89445919908</v>
      </c>
      <c r="L44" s="381">
        <v>12537.376706451367</v>
      </c>
      <c r="M44" s="381"/>
    </row>
    <row r="45" spans="3:13">
      <c r="D45" s="381" t="s">
        <v>247</v>
      </c>
      <c r="E45" s="381">
        <f>E26</f>
        <v>304.27607100342152</v>
      </c>
      <c r="F45" s="381">
        <v>320.51656537358883</v>
      </c>
      <c r="G45" s="381">
        <v>336.48370418180377</v>
      </c>
      <c r="H45" s="381">
        <v>352.84458635925444</v>
      </c>
      <c r="I45" s="381">
        <v>372.94903434871651</v>
      </c>
      <c r="J45" s="381">
        <v>390.04249621400771</v>
      </c>
      <c r="K45" s="381">
        <v>407.39648197330268</v>
      </c>
      <c r="L45" s="381">
        <v>417.91255688171225</v>
      </c>
      <c r="M45" s="381"/>
    </row>
    <row r="46" spans="3:13">
      <c r="D46" s="381"/>
      <c r="E46" s="381"/>
      <c r="F46" s="381"/>
      <c r="G46" s="381"/>
      <c r="H46" s="381"/>
      <c r="I46" s="381"/>
      <c r="J46" s="381"/>
      <c r="K46" s="381"/>
      <c r="L46" s="381"/>
      <c r="M46" s="381"/>
    </row>
    <row r="47" spans="3:13">
      <c r="D47" s="381"/>
      <c r="E47" s="381"/>
      <c r="F47" s="381"/>
      <c r="G47" s="381"/>
      <c r="H47" s="381"/>
      <c r="I47" s="381"/>
      <c r="J47" s="381"/>
      <c r="K47" s="381"/>
      <c r="L47" s="381"/>
      <c r="M47" s="381"/>
    </row>
    <row r="48" spans="3:13">
      <c r="D48" s="381"/>
      <c r="E48" s="381"/>
      <c r="F48" s="381"/>
      <c r="G48" s="381"/>
      <c r="H48" s="381"/>
      <c r="I48" s="381"/>
      <c r="J48" s="381"/>
      <c r="K48" s="381"/>
      <c r="L48" s="381"/>
      <c r="M48" s="381"/>
    </row>
    <row r="49" spans="4:13">
      <c r="D49" s="381"/>
      <c r="E49" s="381"/>
      <c r="F49" s="381"/>
      <c r="G49" s="381"/>
      <c r="H49" s="381"/>
      <c r="I49" s="381"/>
      <c r="J49" s="381"/>
      <c r="K49" s="381"/>
      <c r="L49" s="381"/>
      <c r="M49" s="381"/>
    </row>
    <row r="62" spans="4:13" ht="14.45">
      <c r="D62" s="117"/>
    </row>
    <row r="63" spans="4:13" ht="14.45">
      <c r="D63" s="117"/>
    </row>
    <row r="64" spans="4:13" ht="14.45">
      <c r="D64" s="117"/>
    </row>
  </sheetData>
  <mergeCells count="1">
    <mergeCell ref="B1:C2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1"/>
  <dimension ref="A1:BX236"/>
  <sheetViews>
    <sheetView showGridLines="0" topLeftCell="A3" workbookViewId="0">
      <selection activeCell="H25" sqref="H25"/>
    </sheetView>
  </sheetViews>
  <sheetFormatPr defaultColWidth="9.140625" defaultRowHeight="14.45"/>
  <cols>
    <col min="1" max="1" width="8.7109375" style="2" customWidth="1"/>
    <col min="2" max="2" width="9.140625" style="15"/>
    <col min="3" max="3" width="9.7109375" style="15" customWidth="1"/>
    <col min="4" max="4" width="8.140625" style="15" bestFit="1" customWidth="1"/>
    <col min="5" max="5" width="23.85546875" style="15" customWidth="1"/>
    <col min="6" max="6" width="13.7109375" style="15" bestFit="1" customWidth="1"/>
    <col min="7" max="31" width="13.28515625" style="15" bestFit="1" customWidth="1"/>
    <col min="32" max="32" width="35" style="15" bestFit="1" customWidth="1"/>
    <col min="33" max="76" width="14.5703125" style="15" bestFit="1" customWidth="1"/>
    <col min="77" max="16384" width="9.140625" style="15"/>
  </cols>
  <sheetData>
    <row r="1" spans="2:32" s="2" customFormat="1" ht="13.9" customHeight="1">
      <c r="C1" s="348"/>
    </row>
    <row r="2" spans="2:32" s="2" customFormat="1" ht="13.9" customHeight="1">
      <c r="B2" s="348" t="s">
        <v>249</v>
      </c>
      <c r="C2" s="348"/>
    </row>
    <row r="4" spans="2:32">
      <c r="C4" s="772" t="s">
        <v>250</v>
      </c>
      <c r="D4" s="772" t="s">
        <v>251</v>
      </c>
      <c r="E4" s="772" t="s">
        <v>252</v>
      </c>
      <c r="F4" s="772">
        <v>2000</v>
      </c>
      <c r="G4" s="772">
        <v>2001</v>
      </c>
      <c r="H4" s="772">
        <v>2002</v>
      </c>
      <c r="I4" s="772">
        <v>2003</v>
      </c>
      <c r="J4" s="772">
        <v>2004</v>
      </c>
      <c r="K4" s="772">
        <v>2005</v>
      </c>
      <c r="L4" s="772">
        <v>2006</v>
      </c>
      <c r="M4" s="772">
        <v>2008</v>
      </c>
      <c r="N4" s="772">
        <v>2007</v>
      </c>
      <c r="O4" s="772">
        <v>2009</v>
      </c>
      <c r="P4" s="772">
        <v>2010</v>
      </c>
      <c r="Q4" s="772">
        <v>2011</v>
      </c>
      <c r="R4" s="772">
        <v>2012</v>
      </c>
      <c r="S4" s="772">
        <v>2013</v>
      </c>
      <c r="T4" s="772">
        <v>2014</v>
      </c>
      <c r="U4" s="772">
        <v>2015</v>
      </c>
      <c r="V4" s="772">
        <v>2016</v>
      </c>
      <c r="W4" s="772">
        <v>2017</v>
      </c>
      <c r="X4" s="772">
        <v>2018</v>
      </c>
      <c r="Y4" s="772">
        <v>2019</v>
      </c>
      <c r="Z4" s="772">
        <v>2020</v>
      </c>
      <c r="AA4" s="772">
        <v>2021</v>
      </c>
      <c r="AB4" s="772">
        <v>2022</v>
      </c>
      <c r="AC4" s="772">
        <v>2023</v>
      </c>
      <c r="AD4" s="772">
        <v>2024</v>
      </c>
      <c r="AE4" s="772">
        <v>2025</v>
      </c>
      <c r="AF4" s="772" t="s">
        <v>253</v>
      </c>
    </row>
    <row r="5" spans="2:32">
      <c r="C5" s="549" t="s">
        <v>254</v>
      </c>
      <c r="D5" s="549">
        <v>2200053</v>
      </c>
      <c r="E5" s="549" t="s">
        <v>255</v>
      </c>
      <c r="F5" s="550">
        <v>4596</v>
      </c>
      <c r="G5" s="550">
        <v>5246</v>
      </c>
      <c r="H5" s="550">
        <v>5330</v>
      </c>
      <c r="I5" s="550">
        <v>5416</v>
      </c>
      <c r="J5" s="550">
        <v>5594</v>
      </c>
      <c r="K5" s="550">
        <v>5693</v>
      </c>
      <c r="L5" s="550">
        <v>5792</v>
      </c>
      <c r="M5" s="550">
        <v>7282</v>
      </c>
      <c r="N5" s="550">
        <v>6300</v>
      </c>
      <c r="O5" s="550">
        <v>7354</v>
      </c>
      <c r="P5" s="550">
        <v>6749</v>
      </c>
      <c r="Q5" s="550">
        <v>6795</v>
      </c>
      <c r="R5" s="550">
        <v>6840</v>
      </c>
      <c r="S5" s="550">
        <v>6890</v>
      </c>
      <c r="T5" s="550">
        <v>6913</v>
      </c>
      <c r="U5" s="550">
        <v>6933</v>
      </c>
      <c r="V5" s="550">
        <v>6951</v>
      </c>
      <c r="W5" s="550">
        <v>6966</v>
      </c>
      <c r="X5" s="550">
        <v>7065</v>
      </c>
      <c r="Y5" s="550">
        <v>7084</v>
      </c>
      <c r="Z5" s="550">
        <v>7102</v>
      </c>
      <c r="AA5" s="550">
        <v>7119</v>
      </c>
      <c r="AB5" s="550">
        <v>6420</v>
      </c>
      <c r="AC5" s="550"/>
      <c r="AD5" s="550">
        <v>6515</v>
      </c>
      <c r="AE5" s="550">
        <v>6323</v>
      </c>
      <c r="AF5" s="778">
        <f>(AE5/F5)^(1/($AE$4-$F$4))</f>
        <v>1.0128420567407621</v>
      </c>
    </row>
    <row r="6" spans="2:32">
      <c r="C6" s="549" t="s">
        <v>254</v>
      </c>
      <c r="D6" s="549">
        <v>2200103</v>
      </c>
      <c r="E6" s="549" t="s">
        <v>256</v>
      </c>
      <c r="F6" s="550">
        <v>5568</v>
      </c>
      <c r="G6" s="550">
        <v>5319</v>
      </c>
      <c r="H6" s="550">
        <v>5306</v>
      </c>
      <c r="I6" s="550">
        <v>5290</v>
      </c>
      <c r="J6" s="550">
        <v>5257</v>
      </c>
      <c r="K6" s="550">
        <v>5239</v>
      </c>
      <c r="L6" s="550">
        <v>5221</v>
      </c>
      <c r="M6" s="550">
        <v>5121</v>
      </c>
      <c r="N6" s="550">
        <v>4980</v>
      </c>
      <c r="O6" s="550">
        <v>5094</v>
      </c>
      <c r="P6" s="550">
        <v>5098</v>
      </c>
      <c r="Q6" s="550">
        <v>5080</v>
      </c>
      <c r="R6" s="550">
        <v>5062</v>
      </c>
      <c r="S6" s="550">
        <v>5097</v>
      </c>
      <c r="T6" s="550">
        <v>5087</v>
      </c>
      <c r="U6" s="550">
        <v>5078</v>
      </c>
      <c r="V6" s="550">
        <v>5069</v>
      </c>
      <c r="W6" s="550">
        <v>5062</v>
      </c>
      <c r="X6" s="550">
        <v>5148</v>
      </c>
      <c r="Y6" s="550">
        <v>5139</v>
      </c>
      <c r="Z6" s="550">
        <v>5131</v>
      </c>
      <c r="AA6" s="550">
        <v>5123</v>
      </c>
      <c r="AB6" s="550">
        <v>4940</v>
      </c>
      <c r="AC6" s="550"/>
      <c r="AD6" s="550">
        <v>5023</v>
      </c>
      <c r="AE6" s="550">
        <v>5016</v>
      </c>
      <c r="AF6" s="778">
        <f t="shared" ref="AF6:AF69" si="0">(AE6/F6)^(1/($AE$4-$F$4))</f>
        <v>0.99583258309510991</v>
      </c>
    </row>
    <row r="7" spans="2:32">
      <c r="C7" s="549" t="s">
        <v>254</v>
      </c>
      <c r="D7" s="549">
        <v>2200202</v>
      </c>
      <c r="E7" s="549" t="s">
        <v>257</v>
      </c>
      <c r="F7" s="550">
        <v>13877</v>
      </c>
      <c r="G7" s="550">
        <v>14790</v>
      </c>
      <c r="H7" s="550">
        <v>14989</v>
      </c>
      <c r="I7" s="550">
        <v>15209</v>
      </c>
      <c r="J7" s="550">
        <v>15669</v>
      </c>
      <c r="K7" s="550">
        <v>15924</v>
      </c>
      <c r="L7" s="550">
        <v>16176</v>
      </c>
      <c r="M7" s="550">
        <v>16345</v>
      </c>
      <c r="N7" s="550">
        <v>15887</v>
      </c>
      <c r="O7" s="550">
        <v>16518</v>
      </c>
      <c r="P7" s="550">
        <v>16451</v>
      </c>
      <c r="Q7" s="550">
        <v>16600</v>
      </c>
      <c r="R7" s="550">
        <v>16744</v>
      </c>
      <c r="S7" s="550">
        <v>16869</v>
      </c>
      <c r="T7" s="550">
        <v>16944</v>
      </c>
      <c r="U7" s="550">
        <v>17010</v>
      </c>
      <c r="V7" s="550">
        <v>17068</v>
      </c>
      <c r="W7" s="550">
        <v>17119</v>
      </c>
      <c r="X7" s="550">
        <v>17349</v>
      </c>
      <c r="Y7" s="550">
        <v>17411</v>
      </c>
      <c r="Z7" s="550">
        <v>17470</v>
      </c>
      <c r="AA7" s="550">
        <v>17525</v>
      </c>
      <c r="AB7" s="550">
        <v>17573</v>
      </c>
      <c r="AC7" s="550"/>
      <c r="AD7" s="550">
        <v>18033</v>
      </c>
      <c r="AE7" s="550">
        <v>18095</v>
      </c>
      <c r="AF7" s="778">
        <f t="shared" si="0"/>
        <v>1.010672665428813</v>
      </c>
    </row>
    <row r="8" spans="2:32">
      <c r="C8" s="549" t="s">
        <v>254</v>
      </c>
      <c r="D8" s="549">
        <v>2200251</v>
      </c>
      <c r="E8" s="549" t="s">
        <v>258</v>
      </c>
      <c r="F8" s="550">
        <v>6734</v>
      </c>
      <c r="G8" s="550">
        <v>6717</v>
      </c>
      <c r="H8" s="550">
        <v>6614</v>
      </c>
      <c r="I8" s="550">
        <v>6496</v>
      </c>
      <c r="J8" s="550">
        <v>6249</v>
      </c>
      <c r="K8" s="550">
        <v>6112</v>
      </c>
      <c r="L8" s="550">
        <v>5977</v>
      </c>
      <c r="M8" s="550">
        <v>7662</v>
      </c>
      <c r="N8" s="550">
        <v>7447</v>
      </c>
      <c r="O8" s="550">
        <v>7736</v>
      </c>
      <c r="P8" s="550">
        <v>7341</v>
      </c>
      <c r="Q8" s="550">
        <v>7378</v>
      </c>
      <c r="R8" s="550">
        <v>7413</v>
      </c>
      <c r="S8" s="550">
        <v>7467</v>
      </c>
      <c r="T8" s="550">
        <v>7485</v>
      </c>
      <c r="U8" s="550">
        <v>7501</v>
      </c>
      <c r="V8" s="550">
        <v>7515</v>
      </c>
      <c r="W8" s="550">
        <v>7526</v>
      </c>
      <c r="X8" s="550">
        <v>7636</v>
      </c>
      <c r="Y8" s="550">
        <v>7651</v>
      </c>
      <c r="Z8" s="550">
        <v>7665</v>
      </c>
      <c r="AA8" s="550">
        <v>7678</v>
      </c>
      <c r="AB8" s="550">
        <v>6819</v>
      </c>
      <c r="AC8" s="550"/>
      <c r="AD8" s="550">
        <v>6901</v>
      </c>
      <c r="AE8" s="550">
        <v>6876</v>
      </c>
      <c r="AF8" s="778">
        <f t="shared" si="0"/>
        <v>1.000835059139171</v>
      </c>
    </row>
    <row r="9" spans="2:32">
      <c r="C9" s="549" t="s">
        <v>254</v>
      </c>
      <c r="D9" s="549">
        <v>2200277</v>
      </c>
      <c r="E9" s="549" t="s">
        <v>259</v>
      </c>
      <c r="F9" s="550">
        <v>4348</v>
      </c>
      <c r="G9" s="550">
        <v>4736</v>
      </c>
      <c r="H9" s="550">
        <v>4760</v>
      </c>
      <c r="I9" s="550">
        <v>4782</v>
      </c>
      <c r="J9" s="550">
        <v>4827</v>
      </c>
      <c r="K9" s="550">
        <v>4853</v>
      </c>
      <c r="L9" s="550">
        <v>4878</v>
      </c>
      <c r="M9" s="550">
        <v>4610</v>
      </c>
      <c r="N9" s="550">
        <v>4482</v>
      </c>
      <c r="O9" s="550">
        <v>4595</v>
      </c>
      <c r="P9" s="550">
        <v>5153</v>
      </c>
      <c r="Q9" s="550">
        <v>5163</v>
      </c>
      <c r="R9" s="550">
        <v>5173</v>
      </c>
      <c r="S9" s="550">
        <v>5211</v>
      </c>
      <c r="T9" s="550">
        <v>5215</v>
      </c>
      <c r="U9" s="550">
        <v>4832</v>
      </c>
      <c r="V9" s="550">
        <v>4835</v>
      </c>
      <c r="W9" s="550">
        <v>4838</v>
      </c>
      <c r="X9" s="550">
        <v>4912</v>
      </c>
      <c r="Y9" s="550">
        <v>4915</v>
      </c>
      <c r="Z9" s="550">
        <v>4918</v>
      </c>
      <c r="AA9" s="550">
        <v>4921</v>
      </c>
      <c r="AB9" s="550">
        <v>4634</v>
      </c>
      <c r="AC9" s="550"/>
      <c r="AD9" s="550">
        <v>4713</v>
      </c>
      <c r="AE9" s="550">
        <v>4707</v>
      </c>
      <c r="AF9" s="778">
        <f t="shared" si="0"/>
        <v>1.0031784322643831</v>
      </c>
    </row>
    <row r="10" spans="2:32">
      <c r="C10" s="549" t="s">
        <v>254</v>
      </c>
      <c r="D10" s="549">
        <v>2200301</v>
      </c>
      <c r="E10" s="549" t="s">
        <v>260</v>
      </c>
      <c r="F10" s="550">
        <v>12523</v>
      </c>
      <c r="G10" s="550">
        <v>11947</v>
      </c>
      <c r="H10" s="550">
        <v>11921</v>
      </c>
      <c r="I10" s="550">
        <v>11884</v>
      </c>
      <c r="J10" s="550">
        <v>11808</v>
      </c>
      <c r="K10" s="550">
        <v>12250</v>
      </c>
      <c r="L10" s="550">
        <v>12205</v>
      </c>
      <c r="M10" s="550">
        <v>14004</v>
      </c>
      <c r="N10" s="550">
        <v>13612</v>
      </c>
      <c r="O10" s="550">
        <v>14147</v>
      </c>
      <c r="P10" s="550">
        <v>13646</v>
      </c>
      <c r="Q10" s="550">
        <v>13735</v>
      </c>
      <c r="R10" s="550">
        <v>13820</v>
      </c>
      <c r="S10" s="550">
        <v>13923</v>
      </c>
      <c r="T10" s="550">
        <v>13967</v>
      </c>
      <c r="U10" s="550">
        <v>14006</v>
      </c>
      <c r="V10" s="550">
        <v>14040</v>
      </c>
      <c r="W10" s="550">
        <v>14070</v>
      </c>
      <c r="X10" s="550">
        <v>14268</v>
      </c>
      <c r="Y10" s="550">
        <v>14304</v>
      </c>
      <c r="Z10" s="550">
        <v>14339</v>
      </c>
      <c r="AA10" s="550">
        <v>14371</v>
      </c>
      <c r="AB10" s="550">
        <v>13479</v>
      </c>
      <c r="AC10" s="550"/>
      <c r="AD10" s="550">
        <v>13734</v>
      </c>
      <c r="AE10" s="550">
        <v>13729</v>
      </c>
      <c r="AF10" s="778">
        <f t="shared" si="0"/>
        <v>1.0036845083871695</v>
      </c>
    </row>
    <row r="11" spans="2:32">
      <c r="C11" s="549" t="s">
        <v>254</v>
      </c>
      <c r="D11" s="549">
        <v>2200400</v>
      </c>
      <c r="E11" s="549" t="s">
        <v>261</v>
      </c>
      <c r="F11" s="550">
        <v>40742</v>
      </c>
      <c r="G11" s="550">
        <v>36581</v>
      </c>
      <c r="H11" s="550">
        <v>36932</v>
      </c>
      <c r="I11" s="550">
        <v>37304</v>
      </c>
      <c r="J11" s="550">
        <v>38087</v>
      </c>
      <c r="K11" s="550">
        <v>38519</v>
      </c>
      <c r="L11" s="550">
        <v>38949</v>
      </c>
      <c r="M11" s="550">
        <v>39430</v>
      </c>
      <c r="N11" s="550">
        <v>38328</v>
      </c>
      <c r="O11" s="550">
        <v>39735</v>
      </c>
      <c r="P11" s="550">
        <v>38822</v>
      </c>
      <c r="Q11" s="550">
        <v>39031</v>
      </c>
      <c r="R11" s="550">
        <v>39232</v>
      </c>
      <c r="S11" s="550">
        <v>39522</v>
      </c>
      <c r="T11" s="550">
        <v>39625</v>
      </c>
      <c r="U11" s="550">
        <v>39715</v>
      </c>
      <c r="V11" s="550">
        <v>39795</v>
      </c>
      <c r="W11" s="550">
        <v>39864</v>
      </c>
      <c r="X11" s="550">
        <v>40440</v>
      </c>
      <c r="Y11" s="550">
        <v>40524</v>
      </c>
      <c r="Z11" s="550">
        <v>40605</v>
      </c>
      <c r="AA11" s="550">
        <v>40681</v>
      </c>
      <c r="AB11" s="550">
        <v>47453</v>
      </c>
      <c r="AC11" s="550"/>
      <c r="AD11" s="550">
        <v>49637</v>
      </c>
      <c r="AE11" s="550">
        <v>50094</v>
      </c>
      <c r="AF11" s="778">
        <f t="shared" si="0"/>
        <v>1.0082999245234536</v>
      </c>
    </row>
    <row r="12" spans="2:32">
      <c r="C12" s="549" t="s">
        <v>254</v>
      </c>
      <c r="D12" s="549">
        <v>2200459</v>
      </c>
      <c r="E12" s="549" t="s">
        <v>262</v>
      </c>
      <c r="F12" s="550">
        <v>3975</v>
      </c>
      <c r="G12" s="550">
        <v>4215</v>
      </c>
      <c r="H12" s="550">
        <v>4219</v>
      </c>
      <c r="I12" s="550">
        <v>4222</v>
      </c>
      <c r="J12" s="550">
        <v>4229</v>
      </c>
      <c r="K12" s="550">
        <v>4234</v>
      </c>
      <c r="L12" s="550">
        <v>4238</v>
      </c>
      <c r="M12" s="550">
        <v>5120</v>
      </c>
      <c r="N12" s="550">
        <v>4976</v>
      </c>
      <c r="O12" s="550">
        <v>5209</v>
      </c>
      <c r="P12" s="550">
        <v>5050</v>
      </c>
      <c r="Q12" s="550">
        <v>5115</v>
      </c>
      <c r="R12" s="550">
        <v>5177</v>
      </c>
      <c r="S12" s="550">
        <v>5216</v>
      </c>
      <c r="T12" s="550">
        <v>5249</v>
      </c>
      <c r="U12" s="550">
        <v>5278</v>
      </c>
      <c r="V12" s="550">
        <v>5303</v>
      </c>
      <c r="W12" s="550">
        <v>5326</v>
      </c>
      <c r="X12" s="550">
        <v>5392</v>
      </c>
      <c r="Y12" s="550">
        <v>5419</v>
      </c>
      <c r="Z12" s="550">
        <v>5445</v>
      </c>
      <c r="AA12" s="550">
        <v>5469</v>
      </c>
      <c r="AB12" s="550">
        <v>5322</v>
      </c>
      <c r="AC12" s="550"/>
      <c r="AD12" s="550">
        <v>5459</v>
      </c>
      <c r="AE12" s="550">
        <v>5474</v>
      </c>
      <c r="AF12" s="778">
        <f t="shared" si="0"/>
        <v>1.0128816573471486</v>
      </c>
    </row>
    <row r="13" spans="2:32">
      <c r="C13" s="549" t="s">
        <v>254</v>
      </c>
      <c r="D13" s="549">
        <v>2200509</v>
      </c>
      <c r="E13" s="549" t="s">
        <v>263</v>
      </c>
      <c r="F13" s="550">
        <v>17441</v>
      </c>
      <c r="G13" s="550">
        <v>16900</v>
      </c>
      <c r="H13" s="550">
        <v>16959</v>
      </c>
      <c r="I13" s="550">
        <v>16994</v>
      </c>
      <c r="J13" s="550">
        <v>17067</v>
      </c>
      <c r="K13" s="550">
        <v>17107</v>
      </c>
      <c r="L13" s="550">
        <v>17147</v>
      </c>
      <c r="M13" s="550">
        <v>17813</v>
      </c>
      <c r="N13" s="550">
        <v>17316</v>
      </c>
      <c r="O13" s="550">
        <v>17892</v>
      </c>
      <c r="P13" s="550">
        <v>17135</v>
      </c>
      <c r="Q13" s="550">
        <v>17155</v>
      </c>
      <c r="R13" s="550">
        <v>17173</v>
      </c>
      <c r="S13" s="550">
        <v>17298</v>
      </c>
      <c r="T13" s="550">
        <v>17305</v>
      </c>
      <c r="U13" s="550">
        <v>17312</v>
      </c>
      <c r="V13" s="550">
        <v>17317</v>
      </c>
      <c r="W13" s="550">
        <v>17322</v>
      </c>
      <c r="X13" s="550">
        <v>17592</v>
      </c>
      <c r="Y13" s="550">
        <v>17598</v>
      </c>
      <c r="Z13" s="550">
        <v>17604</v>
      </c>
      <c r="AA13" s="550">
        <v>17609</v>
      </c>
      <c r="AB13" s="550">
        <v>17234</v>
      </c>
      <c r="AC13" s="550"/>
      <c r="AD13" s="550">
        <v>17577</v>
      </c>
      <c r="AE13" s="550">
        <v>17594</v>
      </c>
      <c r="AF13" s="778">
        <f t="shared" si="0"/>
        <v>1.0003494281775658</v>
      </c>
    </row>
    <row r="14" spans="2:32">
      <c r="C14" s="549" t="s">
        <v>254</v>
      </c>
      <c r="D14" s="549">
        <v>2200608</v>
      </c>
      <c r="E14" s="549" t="s">
        <v>264</v>
      </c>
      <c r="F14" s="550">
        <v>7647</v>
      </c>
      <c r="G14" s="550">
        <v>6864</v>
      </c>
      <c r="H14" s="550">
        <v>6927</v>
      </c>
      <c r="I14" s="550">
        <v>6991</v>
      </c>
      <c r="J14" s="550">
        <v>7126</v>
      </c>
      <c r="K14" s="550">
        <v>7201</v>
      </c>
      <c r="L14" s="550">
        <v>7275</v>
      </c>
      <c r="M14" s="550">
        <v>6798</v>
      </c>
      <c r="N14" s="550">
        <v>6609</v>
      </c>
      <c r="O14" s="550">
        <v>6793</v>
      </c>
      <c r="P14" s="550">
        <v>6672</v>
      </c>
      <c r="Q14" s="550">
        <v>6664</v>
      </c>
      <c r="R14" s="550">
        <v>6655</v>
      </c>
      <c r="S14" s="550">
        <v>6703</v>
      </c>
      <c r="T14" s="550">
        <v>6697</v>
      </c>
      <c r="U14" s="550">
        <v>6692</v>
      </c>
      <c r="V14" s="550">
        <v>6688</v>
      </c>
      <c r="W14" s="550">
        <v>6684</v>
      </c>
      <c r="X14" s="550">
        <v>6792</v>
      </c>
      <c r="Y14" s="550">
        <v>6788</v>
      </c>
      <c r="Z14" s="550">
        <v>6783</v>
      </c>
      <c r="AA14" s="550">
        <v>6779</v>
      </c>
      <c r="AB14" s="550">
        <v>6827</v>
      </c>
      <c r="AC14" s="550"/>
      <c r="AD14" s="550">
        <v>6982</v>
      </c>
      <c r="AE14" s="550">
        <v>6991</v>
      </c>
      <c r="AF14" s="778">
        <f t="shared" si="0"/>
        <v>0.99641883545884979</v>
      </c>
    </row>
    <row r="15" spans="2:32">
      <c r="C15" s="549" t="s">
        <v>254</v>
      </c>
      <c r="D15" s="549">
        <v>2200707</v>
      </c>
      <c r="E15" s="549" t="s">
        <v>265</v>
      </c>
      <c r="F15" s="550">
        <v>6706</v>
      </c>
      <c r="G15" s="550">
        <v>7257</v>
      </c>
      <c r="H15" s="550">
        <v>7322</v>
      </c>
      <c r="I15" s="550">
        <v>7394</v>
      </c>
      <c r="J15" s="550">
        <v>7588</v>
      </c>
      <c r="K15" s="550">
        <v>7673</v>
      </c>
      <c r="L15" s="550">
        <v>7757</v>
      </c>
      <c r="M15" s="550">
        <v>8434</v>
      </c>
      <c r="N15" s="550">
        <v>8197</v>
      </c>
      <c r="O15" s="550">
        <v>8552</v>
      </c>
      <c r="P15" s="550">
        <v>9098</v>
      </c>
      <c r="Q15" s="550">
        <v>9244</v>
      </c>
      <c r="R15" s="550">
        <v>9385</v>
      </c>
      <c r="S15" s="550">
        <v>9456</v>
      </c>
      <c r="T15" s="550">
        <v>9531</v>
      </c>
      <c r="U15" s="550">
        <v>9597</v>
      </c>
      <c r="V15" s="550">
        <v>9655</v>
      </c>
      <c r="W15" s="550">
        <v>9705</v>
      </c>
      <c r="X15" s="550">
        <v>9818</v>
      </c>
      <c r="Y15" s="550">
        <v>9880</v>
      </c>
      <c r="Z15" s="550">
        <v>9938</v>
      </c>
      <c r="AA15" s="550">
        <v>9994</v>
      </c>
      <c r="AB15" s="550">
        <v>9407</v>
      </c>
      <c r="AC15" s="550"/>
      <c r="AD15" s="550">
        <v>9631</v>
      </c>
      <c r="AE15" s="550">
        <v>9649</v>
      </c>
      <c r="AF15" s="778">
        <f t="shared" si="0"/>
        <v>1.0146604914935666</v>
      </c>
    </row>
    <row r="16" spans="2:32">
      <c r="C16" s="549" t="s">
        <v>254</v>
      </c>
      <c r="D16" s="549">
        <v>2200806</v>
      </c>
      <c r="E16" s="549" t="s">
        <v>266</v>
      </c>
      <c r="F16" s="550">
        <v>2395</v>
      </c>
      <c r="G16" s="550">
        <v>2798</v>
      </c>
      <c r="H16" s="550">
        <v>2762</v>
      </c>
      <c r="I16" s="550">
        <v>2720</v>
      </c>
      <c r="J16" s="550">
        <v>2633</v>
      </c>
      <c r="K16" s="550">
        <v>2585</v>
      </c>
      <c r="L16" s="550">
        <v>2537</v>
      </c>
      <c r="M16" s="550">
        <v>3231</v>
      </c>
      <c r="N16" s="550">
        <v>3140</v>
      </c>
      <c r="O16" s="550">
        <v>3267</v>
      </c>
      <c r="P16" s="550">
        <v>3039</v>
      </c>
      <c r="Q16" s="550">
        <v>3054</v>
      </c>
      <c r="R16" s="550">
        <v>3068</v>
      </c>
      <c r="S16" s="550">
        <v>3090</v>
      </c>
      <c r="T16" s="550">
        <v>3097</v>
      </c>
      <c r="U16" s="550">
        <v>3103</v>
      </c>
      <c r="V16" s="550">
        <v>3109</v>
      </c>
      <c r="W16" s="550">
        <v>3114</v>
      </c>
      <c r="X16" s="550">
        <v>3158</v>
      </c>
      <c r="Y16" s="550">
        <v>3164</v>
      </c>
      <c r="Z16" s="550">
        <v>3170</v>
      </c>
      <c r="AA16" s="550">
        <v>3175</v>
      </c>
      <c r="AB16" s="550">
        <v>3152</v>
      </c>
      <c r="AC16" s="550"/>
      <c r="AD16" s="550">
        <v>3228</v>
      </c>
      <c r="AE16" s="550">
        <v>3234</v>
      </c>
      <c r="AF16" s="778">
        <f t="shared" si="0"/>
        <v>1.0120859126770914</v>
      </c>
    </row>
    <row r="17" spans="3:32">
      <c r="C17" s="549" t="s">
        <v>254</v>
      </c>
      <c r="D17" s="549">
        <v>2200905</v>
      </c>
      <c r="E17" s="549" t="s">
        <v>267</v>
      </c>
      <c r="F17" s="550">
        <v>6222</v>
      </c>
      <c r="G17" s="550">
        <v>6032</v>
      </c>
      <c r="H17" s="550">
        <v>6065</v>
      </c>
      <c r="I17" s="550">
        <v>6083</v>
      </c>
      <c r="J17" s="550">
        <v>6122</v>
      </c>
      <c r="K17" s="550">
        <v>6143</v>
      </c>
      <c r="L17" s="550">
        <v>6165</v>
      </c>
      <c r="M17" s="550">
        <v>6025</v>
      </c>
      <c r="N17" s="550">
        <v>5857</v>
      </c>
      <c r="O17" s="550">
        <v>6019</v>
      </c>
      <c r="P17" s="550">
        <v>5779</v>
      </c>
      <c r="Q17" s="550">
        <v>5761</v>
      </c>
      <c r="R17" s="550">
        <v>5742</v>
      </c>
      <c r="S17" s="550">
        <v>5784</v>
      </c>
      <c r="T17" s="550">
        <v>5773</v>
      </c>
      <c r="U17" s="550">
        <v>5763</v>
      </c>
      <c r="V17" s="550">
        <v>5755</v>
      </c>
      <c r="W17" s="550">
        <v>5748</v>
      </c>
      <c r="X17" s="550">
        <v>5844</v>
      </c>
      <c r="Y17" s="550">
        <v>5835</v>
      </c>
      <c r="Z17" s="550">
        <v>5827</v>
      </c>
      <c r="AA17" s="550">
        <v>5819</v>
      </c>
      <c r="AB17" s="550">
        <v>5369</v>
      </c>
      <c r="AC17" s="550"/>
      <c r="AD17" s="550">
        <v>5433</v>
      </c>
      <c r="AE17" s="550">
        <v>5413</v>
      </c>
      <c r="AF17" s="778">
        <f t="shared" si="0"/>
        <v>0.99444397489079184</v>
      </c>
    </row>
    <row r="18" spans="3:32">
      <c r="C18" s="549" t="s">
        <v>254</v>
      </c>
      <c r="D18" s="549">
        <v>2200954</v>
      </c>
      <c r="E18" s="549" t="s">
        <v>268</v>
      </c>
      <c r="F18" s="549"/>
      <c r="G18" s="549"/>
      <c r="H18" s="549"/>
      <c r="I18" s="549"/>
      <c r="J18" s="550">
        <v>2561</v>
      </c>
      <c r="K18" s="550">
        <v>2591</v>
      </c>
      <c r="L18" s="550">
        <v>2620</v>
      </c>
      <c r="M18" s="550">
        <v>2731</v>
      </c>
      <c r="N18" s="550">
        <v>2654</v>
      </c>
      <c r="O18" s="550">
        <v>2759</v>
      </c>
      <c r="P18" s="550">
        <v>2440</v>
      </c>
      <c r="Q18" s="550">
        <v>2441</v>
      </c>
      <c r="R18" s="550">
        <v>2442</v>
      </c>
      <c r="S18" s="550">
        <v>2459</v>
      </c>
      <c r="T18" s="550">
        <v>2460</v>
      </c>
      <c r="U18" s="550">
        <v>2460</v>
      </c>
      <c r="V18" s="550">
        <v>2460</v>
      </c>
      <c r="W18" s="550">
        <v>2511</v>
      </c>
      <c r="X18" s="550">
        <v>2551</v>
      </c>
      <c r="Y18" s="550">
        <v>2551</v>
      </c>
      <c r="Z18" s="550">
        <v>2551</v>
      </c>
      <c r="AA18" s="550">
        <v>2551</v>
      </c>
      <c r="AB18" s="550">
        <v>2690</v>
      </c>
      <c r="AC18" s="550"/>
      <c r="AD18" s="550">
        <v>2766</v>
      </c>
      <c r="AE18" s="550">
        <v>2777</v>
      </c>
      <c r="AF18" s="778">
        <f>(AE18/J18)^(1/($AE$4-$F$4))</f>
        <v>1.0032441870653503</v>
      </c>
    </row>
    <row r="19" spans="3:32">
      <c r="C19" s="549" t="s">
        <v>254</v>
      </c>
      <c r="D19" s="549">
        <v>2201002</v>
      </c>
      <c r="E19" s="549" t="s">
        <v>269</v>
      </c>
      <c r="F19" s="550">
        <v>4572</v>
      </c>
      <c r="G19" s="550">
        <v>4872</v>
      </c>
      <c r="H19" s="550">
        <v>4848</v>
      </c>
      <c r="I19" s="550">
        <v>4820</v>
      </c>
      <c r="J19" s="550">
        <v>4760</v>
      </c>
      <c r="K19" s="550">
        <v>4727</v>
      </c>
      <c r="L19" s="550">
        <v>4695</v>
      </c>
      <c r="M19" s="550">
        <v>5145</v>
      </c>
      <c r="N19" s="550">
        <v>5002</v>
      </c>
      <c r="O19" s="550">
        <v>5165</v>
      </c>
      <c r="P19" s="550">
        <v>4688</v>
      </c>
      <c r="Q19" s="550">
        <v>4672</v>
      </c>
      <c r="R19" s="550">
        <v>4655</v>
      </c>
      <c r="S19" s="550">
        <v>4688</v>
      </c>
      <c r="T19" s="550">
        <v>4678</v>
      </c>
      <c r="U19" s="550">
        <v>4670</v>
      </c>
      <c r="V19" s="550">
        <v>4662</v>
      </c>
      <c r="W19" s="550">
        <v>4656</v>
      </c>
      <c r="X19" s="550">
        <v>4735</v>
      </c>
      <c r="Y19" s="550">
        <v>4727</v>
      </c>
      <c r="Z19" s="550">
        <v>4720</v>
      </c>
      <c r="AA19" s="550">
        <v>4713</v>
      </c>
      <c r="AB19" s="550">
        <v>4520</v>
      </c>
      <c r="AC19" s="550"/>
      <c r="AD19" s="550">
        <v>4593</v>
      </c>
      <c r="AE19" s="550">
        <v>4517</v>
      </c>
      <c r="AF19" s="778">
        <f t="shared" si="0"/>
        <v>0.99951600959075904</v>
      </c>
    </row>
    <row r="20" spans="3:32">
      <c r="C20" s="549" t="s">
        <v>254</v>
      </c>
      <c r="D20" s="549">
        <v>2201051</v>
      </c>
      <c r="E20" s="549" t="s">
        <v>270</v>
      </c>
      <c r="F20" s="550">
        <v>6481</v>
      </c>
      <c r="G20" s="550">
        <v>6955</v>
      </c>
      <c r="H20" s="550">
        <v>7085</v>
      </c>
      <c r="I20" s="550">
        <v>7155</v>
      </c>
      <c r="J20" s="550">
        <v>7303</v>
      </c>
      <c r="K20" s="550">
        <v>7385</v>
      </c>
      <c r="L20" s="550">
        <v>7467</v>
      </c>
      <c r="M20" s="550">
        <v>8243</v>
      </c>
      <c r="N20" s="550">
        <v>8011</v>
      </c>
      <c r="O20" s="550">
        <v>8370</v>
      </c>
      <c r="P20" s="550">
        <v>7503</v>
      </c>
      <c r="Q20" s="550">
        <v>7547</v>
      </c>
      <c r="R20" s="550">
        <v>7590</v>
      </c>
      <c r="S20" s="550">
        <v>7645</v>
      </c>
      <c r="T20" s="550">
        <v>7667</v>
      </c>
      <c r="U20" s="550">
        <v>7686</v>
      </c>
      <c r="V20" s="550">
        <v>7703</v>
      </c>
      <c r="W20" s="550">
        <v>7717</v>
      </c>
      <c r="X20" s="550">
        <v>7828</v>
      </c>
      <c r="Y20" s="550">
        <v>7846</v>
      </c>
      <c r="Z20" s="550">
        <v>7863</v>
      </c>
      <c r="AA20" s="550">
        <v>7879</v>
      </c>
      <c r="AB20" s="550">
        <v>7452</v>
      </c>
      <c r="AC20" s="550"/>
      <c r="AD20" s="550">
        <v>7597</v>
      </c>
      <c r="AE20" s="550">
        <v>7596</v>
      </c>
      <c r="AF20" s="778">
        <f t="shared" si="0"/>
        <v>1.006370082161488</v>
      </c>
    </row>
    <row r="21" spans="3:32">
      <c r="C21" s="549" t="s">
        <v>254</v>
      </c>
      <c r="D21" s="549">
        <v>2201101</v>
      </c>
      <c r="E21" s="549" t="s">
        <v>271</v>
      </c>
      <c r="F21" s="550">
        <v>9532</v>
      </c>
      <c r="G21" s="550">
        <v>9745</v>
      </c>
      <c r="H21" s="550">
        <v>9853</v>
      </c>
      <c r="I21" s="550">
        <v>9959</v>
      </c>
      <c r="J21" s="550">
        <v>10373</v>
      </c>
      <c r="K21" s="550">
        <v>10497</v>
      </c>
      <c r="L21" s="550">
        <v>10620</v>
      </c>
      <c r="M21" s="550">
        <v>11840</v>
      </c>
      <c r="N21" s="550">
        <v>11507</v>
      </c>
      <c r="O21" s="550">
        <v>12039</v>
      </c>
      <c r="P21" s="550">
        <v>11067</v>
      </c>
      <c r="Q21" s="550">
        <v>11164</v>
      </c>
      <c r="R21" s="550">
        <v>11258</v>
      </c>
      <c r="S21" s="550">
        <v>11341</v>
      </c>
      <c r="T21" s="550">
        <v>11390</v>
      </c>
      <c r="U21" s="550">
        <v>11433</v>
      </c>
      <c r="V21" s="550">
        <v>11471</v>
      </c>
      <c r="W21" s="550">
        <v>11503</v>
      </c>
      <c r="X21" s="550">
        <v>11252</v>
      </c>
      <c r="Y21" s="550">
        <v>11289</v>
      </c>
      <c r="Z21" s="550">
        <v>11326</v>
      </c>
      <c r="AA21" s="550">
        <v>11361</v>
      </c>
      <c r="AB21" s="550">
        <v>10866</v>
      </c>
      <c r="AC21" s="550"/>
      <c r="AD21" s="550">
        <v>11106</v>
      </c>
      <c r="AE21" s="550">
        <v>11118</v>
      </c>
      <c r="AF21" s="778">
        <f t="shared" si="0"/>
        <v>1.0061754240831857</v>
      </c>
    </row>
    <row r="22" spans="3:32">
      <c r="C22" s="549" t="s">
        <v>254</v>
      </c>
      <c r="D22" s="549">
        <v>2201150</v>
      </c>
      <c r="E22" s="549" t="s">
        <v>272</v>
      </c>
      <c r="F22" s="550">
        <v>8371</v>
      </c>
      <c r="G22" s="550">
        <v>7987</v>
      </c>
      <c r="H22" s="550">
        <v>8118</v>
      </c>
      <c r="I22" s="550">
        <v>8275</v>
      </c>
      <c r="J22" s="550">
        <v>8605</v>
      </c>
      <c r="K22" s="550">
        <v>8787</v>
      </c>
      <c r="L22" s="550">
        <v>8968</v>
      </c>
      <c r="M22" s="550">
        <v>10531</v>
      </c>
      <c r="N22" s="550">
        <v>10232</v>
      </c>
      <c r="O22" s="550">
        <v>10804</v>
      </c>
      <c r="P22" s="550">
        <v>10516</v>
      </c>
      <c r="Q22" s="550">
        <v>10727</v>
      </c>
      <c r="R22" s="550">
        <v>10930</v>
      </c>
      <c r="S22" s="550">
        <v>11014</v>
      </c>
      <c r="T22" s="550">
        <v>11123</v>
      </c>
      <c r="U22" s="550">
        <v>11218</v>
      </c>
      <c r="V22" s="550">
        <v>11302</v>
      </c>
      <c r="W22" s="550">
        <v>11375</v>
      </c>
      <c r="X22" s="550">
        <v>11497</v>
      </c>
      <c r="Y22" s="550">
        <v>11586</v>
      </c>
      <c r="Z22" s="550">
        <v>11671</v>
      </c>
      <c r="AA22" s="550">
        <v>11751</v>
      </c>
      <c r="AB22" s="550">
        <v>13272</v>
      </c>
      <c r="AC22" s="550"/>
      <c r="AD22" s="550">
        <v>13838</v>
      </c>
      <c r="AE22" s="550">
        <v>13983</v>
      </c>
      <c r="AF22" s="778">
        <f t="shared" si="0"/>
        <v>1.0207347980402577</v>
      </c>
    </row>
    <row r="23" spans="3:32">
      <c r="C23" s="549" t="s">
        <v>254</v>
      </c>
      <c r="D23" s="549">
        <v>2201176</v>
      </c>
      <c r="E23" s="549" t="s">
        <v>273</v>
      </c>
      <c r="F23" s="550">
        <v>4201</v>
      </c>
      <c r="G23" s="550">
        <v>4074</v>
      </c>
      <c r="H23" s="550">
        <v>4048</v>
      </c>
      <c r="I23" s="550">
        <v>4021</v>
      </c>
      <c r="J23" s="550">
        <v>3679</v>
      </c>
      <c r="K23" s="550">
        <v>3650</v>
      </c>
      <c r="L23" s="550">
        <v>3621</v>
      </c>
      <c r="M23" s="550">
        <v>3882</v>
      </c>
      <c r="N23" s="550">
        <v>3774</v>
      </c>
      <c r="O23" s="550">
        <v>3886</v>
      </c>
      <c r="P23" s="550">
        <v>3852</v>
      </c>
      <c r="Q23" s="550">
        <v>3855</v>
      </c>
      <c r="R23" s="550">
        <v>3858</v>
      </c>
      <c r="S23" s="550">
        <v>3886</v>
      </c>
      <c r="T23" s="550">
        <v>3886</v>
      </c>
      <c r="U23" s="550">
        <v>3887</v>
      </c>
      <c r="V23" s="550">
        <v>3888</v>
      </c>
      <c r="W23" s="550">
        <v>3889</v>
      </c>
      <c r="X23" s="550">
        <v>3950</v>
      </c>
      <c r="Y23" s="550">
        <v>3951</v>
      </c>
      <c r="Z23" s="550">
        <v>3952</v>
      </c>
      <c r="AA23" s="550">
        <v>3953</v>
      </c>
      <c r="AB23" s="550">
        <v>3995</v>
      </c>
      <c r="AC23" s="550"/>
      <c r="AD23" s="550">
        <v>4091</v>
      </c>
      <c r="AE23" s="550">
        <v>4099</v>
      </c>
      <c r="AF23" s="778">
        <f t="shared" si="0"/>
        <v>0.99901730113848752</v>
      </c>
    </row>
    <row r="24" spans="3:32">
      <c r="C24" s="549" t="s">
        <v>254</v>
      </c>
      <c r="D24" s="549">
        <v>2201200</v>
      </c>
      <c r="E24" s="549" t="s">
        <v>274</v>
      </c>
      <c r="F24" s="550">
        <v>40948</v>
      </c>
      <c r="G24" s="550">
        <v>41227</v>
      </c>
      <c r="H24" s="550">
        <v>41464</v>
      </c>
      <c r="I24" s="550">
        <v>41730</v>
      </c>
      <c r="J24" s="550">
        <v>42288</v>
      </c>
      <c r="K24" s="550">
        <v>42596</v>
      </c>
      <c r="L24" s="550">
        <v>42903</v>
      </c>
      <c r="M24" s="550">
        <v>44574</v>
      </c>
      <c r="N24" s="550">
        <v>43328</v>
      </c>
      <c r="O24" s="550">
        <v>44913</v>
      </c>
      <c r="P24" s="550">
        <v>44850</v>
      </c>
      <c r="Q24" s="550">
        <v>45154</v>
      </c>
      <c r="R24" s="550">
        <v>45448</v>
      </c>
      <c r="S24" s="550">
        <v>45786</v>
      </c>
      <c r="T24" s="550">
        <v>45938</v>
      </c>
      <c r="U24" s="550">
        <v>46072</v>
      </c>
      <c r="V24" s="550">
        <v>46189</v>
      </c>
      <c r="W24" s="550">
        <v>46291</v>
      </c>
      <c r="X24" s="550">
        <v>46941</v>
      </c>
      <c r="Y24" s="550">
        <v>47066</v>
      </c>
      <c r="Z24" s="550">
        <v>47185</v>
      </c>
      <c r="AA24" s="550">
        <v>47298</v>
      </c>
      <c r="AB24" s="550">
        <v>47938</v>
      </c>
      <c r="AC24" s="550"/>
      <c r="AD24" s="550">
        <v>49533</v>
      </c>
      <c r="AE24" s="550">
        <v>49703</v>
      </c>
      <c r="AF24" s="778">
        <f t="shared" si="0"/>
        <v>1.0077806057926584</v>
      </c>
    </row>
    <row r="25" spans="3:32">
      <c r="C25" s="549" t="s">
        <v>254</v>
      </c>
      <c r="D25" s="549">
        <v>2201309</v>
      </c>
      <c r="E25" s="549" t="s">
        <v>275</v>
      </c>
      <c r="F25" s="550">
        <v>3039</v>
      </c>
      <c r="G25" s="550">
        <v>3125</v>
      </c>
      <c r="H25" s="550">
        <v>3144</v>
      </c>
      <c r="I25" s="550">
        <v>3165</v>
      </c>
      <c r="J25" s="550">
        <v>3210</v>
      </c>
      <c r="K25" s="550">
        <v>3235</v>
      </c>
      <c r="L25" s="550">
        <v>3259</v>
      </c>
      <c r="M25" s="550">
        <v>3452</v>
      </c>
      <c r="N25" s="550">
        <v>3355</v>
      </c>
      <c r="O25" s="550">
        <v>3485</v>
      </c>
      <c r="P25" s="550">
        <v>3234</v>
      </c>
      <c r="Q25" s="550">
        <v>3245</v>
      </c>
      <c r="R25" s="550">
        <v>3255</v>
      </c>
      <c r="S25" s="550">
        <v>3278</v>
      </c>
      <c r="T25" s="550">
        <v>3283</v>
      </c>
      <c r="U25" s="550">
        <v>3287</v>
      </c>
      <c r="V25" s="550">
        <v>3291</v>
      </c>
      <c r="W25" s="550">
        <v>3294</v>
      </c>
      <c r="X25" s="550">
        <v>3344</v>
      </c>
      <c r="Y25" s="550">
        <v>3348</v>
      </c>
      <c r="Z25" s="550">
        <v>3352</v>
      </c>
      <c r="AA25" s="550">
        <v>3356</v>
      </c>
      <c r="AB25" s="550">
        <v>3264</v>
      </c>
      <c r="AC25" s="550"/>
      <c r="AD25" s="550">
        <v>3334</v>
      </c>
      <c r="AE25" s="550">
        <v>3336</v>
      </c>
      <c r="AF25" s="778">
        <f t="shared" si="0"/>
        <v>1.0037367230284886</v>
      </c>
    </row>
    <row r="26" spans="3:32">
      <c r="C26" s="549" t="s">
        <v>254</v>
      </c>
      <c r="D26" s="549">
        <v>2201408</v>
      </c>
      <c r="E26" s="549" t="s">
        <v>276</v>
      </c>
      <c r="F26" s="550">
        <v>6400</v>
      </c>
      <c r="G26" s="550">
        <v>6882</v>
      </c>
      <c r="H26" s="550">
        <v>6941</v>
      </c>
      <c r="I26" s="550">
        <v>7012</v>
      </c>
      <c r="J26" s="550">
        <v>7162</v>
      </c>
      <c r="K26" s="550">
        <v>7244</v>
      </c>
      <c r="L26" s="550">
        <v>7327</v>
      </c>
      <c r="M26" s="550">
        <v>6852</v>
      </c>
      <c r="N26" s="550">
        <v>6661</v>
      </c>
      <c r="O26" s="550">
        <v>6853</v>
      </c>
      <c r="P26" s="550">
        <v>6607</v>
      </c>
      <c r="Q26" s="550">
        <v>6594</v>
      </c>
      <c r="R26" s="550">
        <v>6580</v>
      </c>
      <c r="S26" s="550">
        <v>6627</v>
      </c>
      <c r="T26" s="550">
        <v>6941</v>
      </c>
      <c r="U26" s="550">
        <v>6935</v>
      </c>
      <c r="V26" s="550">
        <v>6930</v>
      </c>
      <c r="W26" s="550">
        <v>6925</v>
      </c>
      <c r="X26" s="550">
        <v>7038</v>
      </c>
      <c r="Y26" s="550">
        <v>7032</v>
      </c>
      <c r="Z26" s="550">
        <v>7027</v>
      </c>
      <c r="AA26" s="550">
        <v>7022</v>
      </c>
      <c r="AB26" s="550">
        <v>6640</v>
      </c>
      <c r="AC26" s="550"/>
      <c r="AD26" s="550">
        <v>6744</v>
      </c>
      <c r="AE26" s="550">
        <v>6731</v>
      </c>
      <c r="AF26" s="778">
        <f t="shared" si="0"/>
        <v>1.0020190647983409</v>
      </c>
    </row>
    <row r="27" spans="3:32">
      <c r="C27" s="549" t="s">
        <v>254</v>
      </c>
      <c r="D27" s="549">
        <v>2201507</v>
      </c>
      <c r="E27" s="549" t="s">
        <v>277</v>
      </c>
      <c r="F27" s="550">
        <v>24264</v>
      </c>
      <c r="G27" s="550">
        <v>24534</v>
      </c>
      <c r="H27" s="550">
        <v>24813</v>
      </c>
      <c r="I27" s="550">
        <v>25131</v>
      </c>
      <c r="J27" s="550">
        <v>25800</v>
      </c>
      <c r="K27" s="550">
        <v>26169</v>
      </c>
      <c r="L27" s="550">
        <v>26536</v>
      </c>
      <c r="M27" s="550">
        <v>26465</v>
      </c>
      <c r="N27" s="550">
        <v>25724</v>
      </c>
      <c r="O27" s="550">
        <v>26681</v>
      </c>
      <c r="P27" s="550">
        <v>25774</v>
      </c>
      <c r="Q27" s="550">
        <v>25901</v>
      </c>
      <c r="R27" s="550">
        <v>26023</v>
      </c>
      <c r="S27" s="550">
        <v>26215</v>
      </c>
      <c r="T27" s="550">
        <v>26277</v>
      </c>
      <c r="U27" s="550">
        <v>26331</v>
      </c>
      <c r="V27" s="550">
        <v>26379</v>
      </c>
      <c r="W27" s="550">
        <v>26421</v>
      </c>
      <c r="X27" s="550">
        <v>26806</v>
      </c>
      <c r="Y27" s="550">
        <v>26857</v>
      </c>
      <c r="Z27" s="550">
        <v>26905</v>
      </c>
      <c r="AA27" s="550">
        <v>26951</v>
      </c>
      <c r="AB27" s="550">
        <v>26300</v>
      </c>
      <c r="AC27" s="550"/>
      <c r="AD27" s="550">
        <v>27123</v>
      </c>
      <c r="AE27" s="550">
        <v>27129</v>
      </c>
      <c r="AF27" s="778">
        <f t="shared" si="0"/>
        <v>1.0044743600315513</v>
      </c>
    </row>
    <row r="28" spans="3:32">
      <c r="C28" s="549" t="s">
        <v>254</v>
      </c>
      <c r="D28" s="549">
        <v>2201556</v>
      </c>
      <c r="E28" s="549" t="s">
        <v>278</v>
      </c>
      <c r="F28" s="550">
        <v>3104</v>
      </c>
      <c r="G28" s="550">
        <v>2942</v>
      </c>
      <c r="H28" s="550">
        <v>2935</v>
      </c>
      <c r="I28" s="550">
        <v>2923</v>
      </c>
      <c r="J28" s="550">
        <v>2896</v>
      </c>
      <c r="K28" s="550">
        <v>2881</v>
      </c>
      <c r="L28" s="550">
        <v>2866</v>
      </c>
      <c r="M28" s="550">
        <v>3725</v>
      </c>
      <c r="N28" s="550">
        <v>3344</v>
      </c>
      <c r="O28" s="550">
        <v>3762</v>
      </c>
      <c r="P28" s="550">
        <v>3778</v>
      </c>
      <c r="Q28" s="550">
        <v>3817</v>
      </c>
      <c r="R28" s="550">
        <v>3854</v>
      </c>
      <c r="S28" s="550">
        <v>3882</v>
      </c>
      <c r="T28" s="550">
        <v>3902</v>
      </c>
      <c r="U28" s="550">
        <v>3919</v>
      </c>
      <c r="V28" s="550">
        <v>3934</v>
      </c>
      <c r="W28" s="550">
        <v>3947</v>
      </c>
      <c r="X28" s="550">
        <v>3999</v>
      </c>
      <c r="Y28" s="550">
        <v>4015</v>
      </c>
      <c r="Z28" s="550">
        <v>4030</v>
      </c>
      <c r="AA28" s="550">
        <v>4044</v>
      </c>
      <c r="AB28" s="550">
        <v>4091</v>
      </c>
      <c r="AC28" s="550"/>
      <c r="AD28" s="550">
        <v>4208</v>
      </c>
      <c r="AE28" s="550">
        <v>4225</v>
      </c>
      <c r="AF28" s="778">
        <f t="shared" si="0"/>
        <v>1.0124094727174797</v>
      </c>
    </row>
    <row r="29" spans="3:32">
      <c r="C29" s="549" t="s">
        <v>254</v>
      </c>
      <c r="D29" s="549">
        <v>2201572</v>
      </c>
      <c r="E29" s="549" t="s">
        <v>279</v>
      </c>
      <c r="F29" s="550">
        <v>2318</v>
      </c>
      <c r="G29" s="550">
        <v>2439</v>
      </c>
      <c r="H29" s="550">
        <v>2447</v>
      </c>
      <c r="I29" s="550">
        <v>2455</v>
      </c>
      <c r="J29" s="550">
        <v>2473</v>
      </c>
      <c r="K29" s="550">
        <v>2482</v>
      </c>
      <c r="L29" s="550">
        <v>2492</v>
      </c>
      <c r="M29" s="550">
        <v>2869</v>
      </c>
      <c r="N29" s="550">
        <v>2788</v>
      </c>
      <c r="O29" s="550">
        <v>2912</v>
      </c>
      <c r="P29" s="550">
        <v>3284</v>
      </c>
      <c r="Q29" s="550">
        <v>3337</v>
      </c>
      <c r="R29" s="550">
        <v>3388</v>
      </c>
      <c r="S29" s="550">
        <v>3413</v>
      </c>
      <c r="T29" s="550">
        <v>3440</v>
      </c>
      <c r="U29" s="550">
        <v>3464</v>
      </c>
      <c r="V29" s="550">
        <v>3485</v>
      </c>
      <c r="W29" s="550">
        <v>3503</v>
      </c>
      <c r="X29" s="550">
        <v>3544</v>
      </c>
      <c r="Y29" s="550">
        <v>3566</v>
      </c>
      <c r="Z29" s="550">
        <v>3587</v>
      </c>
      <c r="AA29" s="550">
        <v>3607</v>
      </c>
      <c r="AB29" s="550">
        <v>3423</v>
      </c>
      <c r="AC29" s="550"/>
      <c r="AD29" s="550">
        <v>3508</v>
      </c>
      <c r="AE29" s="550">
        <v>3515</v>
      </c>
      <c r="AF29" s="778">
        <f t="shared" si="0"/>
        <v>1.0167928319113495</v>
      </c>
    </row>
    <row r="30" spans="3:32">
      <c r="C30" s="549" t="s">
        <v>254</v>
      </c>
      <c r="D30" s="549">
        <v>2201606</v>
      </c>
      <c r="E30" s="549" t="s">
        <v>280</v>
      </c>
      <c r="F30" s="550">
        <v>9693</v>
      </c>
      <c r="G30" s="550">
        <v>9659</v>
      </c>
      <c r="H30" s="550">
        <v>9643</v>
      </c>
      <c r="I30" s="550">
        <v>9611</v>
      </c>
      <c r="J30" s="550">
        <v>9544</v>
      </c>
      <c r="K30" s="550">
        <v>9500</v>
      </c>
      <c r="L30" s="550">
        <v>9463</v>
      </c>
      <c r="M30" s="550">
        <v>9833</v>
      </c>
      <c r="N30" s="550">
        <v>9560</v>
      </c>
      <c r="O30" s="550">
        <v>9837</v>
      </c>
      <c r="P30" s="550">
        <v>9911</v>
      </c>
      <c r="Q30" s="550">
        <v>9927</v>
      </c>
      <c r="R30" s="550">
        <v>9943</v>
      </c>
      <c r="S30" s="550">
        <v>10014</v>
      </c>
      <c r="T30" s="550">
        <v>10021</v>
      </c>
      <c r="U30" s="550">
        <v>10027</v>
      </c>
      <c r="V30" s="550">
        <v>10032</v>
      </c>
      <c r="W30" s="550">
        <v>10037</v>
      </c>
      <c r="X30" s="550">
        <v>10462</v>
      </c>
      <c r="Y30" s="550">
        <v>10467</v>
      </c>
      <c r="Z30" s="550">
        <v>10473</v>
      </c>
      <c r="AA30" s="550">
        <v>10479</v>
      </c>
      <c r="AB30" s="550">
        <v>9929</v>
      </c>
      <c r="AC30" s="550"/>
      <c r="AD30" s="550">
        <v>10104</v>
      </c>
      <c r="AE30" s="550">
        <v>10093</v>
      </c>
      <c r="AF30" s="778">
        <f t="shared" si="0"/>
        <v>1.0016188344499335</v>
      </c>
    </row>
    <row r="31" spans="3:32">
      <c r="C31" s="549" t="s">
        <v>254</v>
      </c>
      <c r="D31" s="549">
        <v>2201705</v>
      </c>
      <c r="E31" s="549" t="s">
        <v>281</v>
      </c>
      <c r="F31" s="550">
        <v>4965</v>
      </c>
      <c r="G31" s="550">
        <v>5050</v>
      </c>
      <c r="H31" s="550">
        <v>5004</v>
      </c>
      <c r="I31" s="550">
        <v>4951</v>
      </c>
      <c r="J31" s="550">
        <v>4841</v>
      </c>
      <c r="K31" s="550">
        <v>4780</v>
      </c>
      <c r="L31" s="550">
        <v>4719</v>
      </c>
      <c r="M31" s="550">
        <v>5455</v>
      </c>
      <c r="N31" s="550">
        <v>5302</v>
      </c>
      <c r="O31" s="550">
        <v>5484</v>
      </c>
      <c r="P31" s="550">
        <v>5319</v>
      </c>
      <c r="Q31" s="550">
        <v>5335</v>
      </c>
      <c r="R31" s="550">
        <v>5350</v>
      </c>
      <c r="S31" s="550">
        <v>5389</v>
      </c>
      <c r="T31" s="550">
        <v>5396</v>
      </c>
      <c r="U31" s="550">
        <v>5402</v>
      </c>
      <c r="V31" s="550">
        <v>5408</v>
      </c>
      <c r="W31" s="550">
        <v>5413</v>
      </c>
      <c r="X31" s="550">
        <v>5495</v>
      </c>
      <c r="Y31" s="550">
        <v>5501</v>
      </c>
      <c r="Z31" s="550">
        <v>5507</v>
      </c>
      <c r="AA31" s="550">
        <v>5512</v>
      </c>
      <c r="AB31" s="550">
        <v>5562</v>
      </c>
      <c r="AC31" s="550"/>
      <c r="AD31" s="550">
        <v>5701</v>
      </c>
      <c r="AE31" s="550">
        <v>5715</v>
      </c>
      <c r="AF31" s="778">
        <f t="shared" si="0"/>
        <v>1.0056431026453025</v>
      </c>
    </row>
    <row r="32" spans="3:32">
      <c r="C32" s="549" t="s">
        <v>254</v>
      </c>
      <c r="D32" s="549">
        <v>2201739</v>
      </c>
      <c r="E32" s="549" t="s">
        <v>282</v>
      </c>
      <c r="F32" s="550">
        <v>7437</v>
      </c>
      <c r="G32" s="550">
        <v>8825</v>
      </c>
      <c r="H32" s="550">
        <v>9003</v>
      </c>
      <c r="I32" s="550">
        <v>9171</v>
      </c>
      <c r="J32" s="550">
        <v>9525</v>
      </c>
      <c r="K32" s="550">
        <v>9720</v>
      </c>
      <c r="L32" s="550">
        <v>9914</v>
      </c>
      <c r="M32" s="550">
        <v>6378</v>
      </c>
      <c r="N32" s="550">
        <v>9312</v>
      </c>
      <c r="O32" s="550">
        <v>6442</v>
      </c>
      <c r="P32" s="550">
        <v>6015</v>
      </c>
      <c r="Q32" s="550">
        <v>6029</v>
      </c>
      <c r="R32" s="550">
        <v>6042</v>
      </c>
      <c r="S32" s="550">
        <v>6086</v>
      </c>
      <c r="T32" s="550">
        <v>6092</v>
      </c>
      <c r="U32" s="550">
        <v>6097</v>
      </c>
      <c r="V32" s="550">
        <v>6102</v>
      </c>
      <c r="W32" s="550">
        <v>6106</v>
      </c>
      <c r="X32" s="550">
        <v>6200</v>
      </c>
      <c r="Y32" s="550">
        <v>6205</v>
      </c>
      <c r="Z32" s="550">
        <v>6210</v>
      </c>
      <c r="AA32" s="550">
        <v>6214</v>
      </c>
      <c r="AB32" s="550">
        <v>6220</v>
      </c>
      <c r="AC32" s="550"/>
      <c r="AD32" s="550">
        <v>6368</v>
      </c>
      <c r="AE32" s="550">
        <v>6596</v>
      </c>
      <c r="AF32" s="778">
        <f t="shared" si="0"/>
        <v>0.99521133690156371</v>
      </c>
    </row>
    <row r="33" spans="3:32">
      <c r="C33" s="549" t="s">
        <v>254</v>
      </c>
      <c r="D33" s="549">
        <v>2201770</v>
      </c>
      <c r="E33" s="549" t="s">
        <v>283</v>
      </c>
      <c r="F33" s="550">
        <v>4291</v>
      </c>
      <c r="G33" s="550">
        <v>5296</v>
      </c>
      <c r="H33" s="550">
        <v>5416</v>
      </c>
      <c r="I33" s="550">
        <v>5531</v>
      </c>
      <c r="J33" s="550">
        <v>5771</v>
      </c>
      <c r="K33" s="550">
        <v>5904</v>
      </c>
      <c r="L33" s="550">
        <v>6035</v>
      </c>
      <c r="M33" s="550">
        <v>6262</v>
      </c>
      <c r="N33" s="550">
        <v>6086</v>
      </c>
      <c r="O33" s="550">
        <v>6369</v>
      </c>
      <c r="P33" s="550">
        <v>6296</v>
      </c>
      <c r="Q33" s="550">
        <v>6383</v>
      </c>
      <c r="R33" s="550">
        <v>6467</v>
      </c>
      <c r="S33" s="550">
        <v>6516</v>
      </c>
      <c r="T33" s="550">
        <v>6560</v>
      </c>
      <c r="U33" s="550">
        <v>6599</v>
      </c>
      <c r="V33" s="550">
        <v>6633</v>
      </c>
      <c r="W33" s="550">
        <v>6663</v>
      </c>
      <c r="X33" s="550">
        <v>6744</v>
      </c>
      <c r="Y33" s="550">
        <v>6781</v>
      </c>
      <c r="Z33" s="550">
        <v>6815</v>
      </c>
      <c r="AA33" s="550">
        <v>6848</v>
      </c>
      <c r="AB33" s="550">
        <v>6902</v>
      </c>
      <c r="AC33" s="550"/>
      <c r="AD33" s="550">
        <v>7108</v>
      </c>
      <c r="AE33" s="550">
        <v>7140</v>
      </c>
      <c r="AF33" s="778">
        <f t="shared" si="0"/>
        <v>1.0205765562360312</v>
      </c>
    </row>
    <row r="34" spans="3:32">
      <c r="C34" s="549" t="s">
        <v>254</v>
      </c>
      <c r="D34" s="549">
        <v>2201804</v>
      </c>
      <c r="E34" s="549" t="s">
        <v>284</v>
      </c>
      <c r="F34" s="550">
        <v>4102</v>
      </c>
      <c r="G34" s="550">
        <v>4247</v>
      </c>
      <c r="H34" s="550">
        <v>4275</v>
      </c>
      <c r="I34" s="550">
        <v>4306</v>
      </c>
      <c r="J34" s="550">
        <v>4371</v>
      </c>
      <c r="K34" s="550">
        <v>4407</v>
      </c>
      <c r="L34" s="550">
        <v>4443</v>
      </c>
      <c r="M34" s="550">
        <v>4155</v>
      </c>
      <c r="N34" s="550">
        <v>4039</v>
      </c>
      <c r="O34" s="550">
        <v>4146</v>
      </c>
      <c r="P34" s="550">
        <v>4369</v>
      </c>
      <c r="Q34" s="550">
        <v>4382</v>
      </c>
      <c r="R34" s="550">
        <v>4394</v>
      </c>
      <c r="S34" s="550">
        <v>4425</v>
      </c>
      <c r="T34" s="550">
        <v>4431</v>
      </c>
      <c r="U34" s="550">
        <v>4436</v>
      </c>
      <c r="V34" s="550">
        <v>4440</v>
      </c>
      <c r="W34" s="550">
        <v>4428</v>
      </c>
      <c r="X34" s="550">
        <v>4496</v>
      </c>
      <c r="Y34" s="550">
        <v>4500</v>
      </c>
      <c r="Z34" s="550">
        <v>4505</v>
      </c>
      <c r="AA34" s="550">
        <v>4509</v>
      </c>
      <c r="AB34" s="550">
        <v>4078</v>
      </c>
      <c r="AC34" s="550"/>
      <c r="AD34" s="550">
        <v>4131</v>
      </c>
      <c r="AE34" s="550">
        <v>4118</v>
      </c>
      <c r="AF34" s="778">
        <f t="shared" si="0"/>
        <v>1.0001557300828869</v>
      </c>
    </row>
    <row r="35" spans="3:32">
      <c r="C35" s="549" t="s">
        <v>254</v>
      </c>
      <c r="D35" s="549">
        <v>2201903</v>
      </c>
      <c r="E35" s="549" t="s">
        <v>285</v>
      </c>
      <c r="F35" s="550">
        <v>14864</v>
      </c>
      <c r="G35" s="550">
        <v>16099</v>
      </c>
      <c r="H35" s="550">
        <v>16274</v>
      </c>
      <c r="I35" s="550">
        <v>16436</v>
      </c>
      <c r="J35" s="550">
        <v>16777</v>
      </c>
      <c r="K35" s="550">
        <v>16966</v>
      </c>
      <c r="L35" s="550">
        <v>17153</v>
      </c>
      <c r="M35" s="550">
        <v>20100</v>
      </c>
      <c r="N35" s="550">
        <v>19532</v>
      </c>
      <c r="O35" s="550">
        <v>20511</v>
      </c>
      <c r="P35" s="550">
        <v>22629</v>
      </c>
      <c r="Q35" s="550">
        <v>23144</v>
      </c>
      <c r="R35" s="550">
        <v>23642</v>
      </c>
      <c r="S35" s="550">
        <v>23826</v>
      </c>
      <c r="T35" s="550">
        <v>24092</v>
      </c>
      <c r="U35" s="550">
        <v>24327</v>
      </c>
      <c r="V35" s="550">
        <v>24532</v>
      </c>
      <c r="W35" s="550">
        <v>24711</v>
      </c>
      <c r="X35" s="550">
        <v>24960</v>
      </c>
      <c r="Y35" s="550">
        <v>25179</v>
      </c>
      <c r="Z35" s="550">
        <v>25387</v>
      </c>
      <c r="AA35" s="550">
        <v>25584</v>
      </c>
      <c r="AB35" s="550">
        <v>28796</v>
      </c>
      <c r="AC35" s="550"/>
      <c r="AD35" s="550">
        <v>30321</v>
      </c>
      <c r="AE35" s="550">
        <v>30658</v>
      </c>
      <c r="AF35" s="778">
        <f t="shared" si="0"/>
        <v>1.0293814195701376</v>
      </c>
    </row>
    <row r="36" spans="3:32">
      <c r="C36" s="549" t="s">
        <v>254</v>
      </c>
      <c r="D36" s="549">
        <v>2201919</v>
      </c>
      <c r="E36" s="549" t="s">
        <v>286</v>
      </c>
      <c r="F36" s="550">
        <v>4302</v>
      </c>
      <c r="G36" s="550">
        <v>4542</v>
      </c>
      <c r="H36" s="550">
        <v>4495</v>
      </c>
      <c r="I36" s="550">
        <v>4434</v>
      </c>
      <c r="J36" s="550">
        <v>4307</v>
      </c>
      <c r="K36" s="550">
        <v>4237</v>
      </c>
      <c r="L36" s="550">
        <v>4167</v>
      </c>
      <c r="M36" s="550">
        <v>5429</v>
      </c>
      <c r="N36" s="550">
        <v>5276</v>
      </c>
      <c r="O36" s="550">
        <v>5506</v>
      </c>
      <c r="P36" s="550">
        <v>5304</v>
      </c>
      <c r="Q36" s="550">
        <v>5357</v>
      </c>
      <c r="R36" s="550">
        <v>5407</v>
      </c>
      <c r="S36" s="550">
        <v>5447</v>
      </c>
      <c r="T36" s="550">
        <v>5474</v>
      </c>
      <c r="U36" s="550">
        <v>5497</v>
      </c>
      <c r="V36" s="550">
        <v>5517</v>
      </c>
      <c r="W36" s="550">
        <v>5535</v>
      </c>
      <c r="X36" s="550">
        <v>5608</v>
      </c>
      <c r="Y36" s="550">
        <v>5630</v>
      </c>
      <c r="Z36" s="550">
        <v>5651</v>
      </c>
      <c r="AA36" s="550">
        <v>5670</v>
      </c>
      <c r="AB36" s="550">
        <v>5636</v>
      </c>
      <c r="AC36" s="550"/>
      <c r="AD36" s="550">
        <v>5786</v>
      </c>
      <c r="AE36" s="550">
        <v>5805</v>
      </c>
      <c r="AF36" s="778">
        <f t="shared" si="0"/>
        <v>1.0120576983017284</v>
      </c>
    </row>
    <row r="37" spans="3:32">
      <c r="C37" s="549" t="s">
        <v>254</v>
      </c>
      <c r="D37" s="549">
        <v>2201929</v>
      </c>
      <c r="E37" s="549" t="s">
        <v>287</v>
      </c>
      <c r="F37" s="550">
        <v>4402</v>
      </c>
      <c r="G37" s="550">
        <v>4868</v>
      </c>
      <c r="H37" s="550">
        <v>4861</v>
      </c>
      <c r="I37" s="550">
        <v>4852</v>
      </c>
      <c r="J37" s="550">
        <v>4832</v>
      </c>
      <c r="K37" s="550">
        <v>4821</v>
      </c>
      <c r="L37" s="550">
        <v>4811</v>
      </c>
      <c r="M37" s="550">
        <v>5334</v>
      </c>
      <c r="N37" s="550">
        <v>5185</v>
      </c>
      <c r="O37" s="550">
        <v>5376</v>
      </c>
      <c r="P37" s="550">
        <v>5393</v>
      </c>
      <c r="Q37" s="550">
        <v>5433</v>
      </c>
      <c r="R37" s="550">
        <v>5471</v>
      </c>
      <c r="S37" s="550">
        <v>5512</v>
      </c>
      <c r="T37" s="550">
        <v>5531</v>
      </c>
      <c r="U37" s="550">
        <v>5549</v>
      </c>
      <c r="V37" s="550">
        <v>5564</v>
      </c>
      <c r="W37" s="550">
        <v>5577</v>
      </c>
      <c r="X37" s="550">
        <v>5654</v>
      </c>
      <c r="Y37" s="550">
        <v>5670</v>
      </c>
      <c r="Z37" s="550">
        <v>5685</v>
      </c>
      <c r="AA37" s="550">
        <v>5700</v>
      </c>
      <c r="AB37" s="550">
        <v>5913</v>
      </c>
      <c r="AC37" s="550"/>
      <c r="AD37" s="550">
        <v>6089</v>
      </c>
      <c r="AE37" s="550">
        <v>6117</v>
      </c>
      <c r="AF37" s="778">
        <f t="shared" si="0"/>
        <v>1.0132474925740875</v>
      </c>
    </row>
    <row r="38" spans="3:32">
      <c r="C38" s="549" t="s">
        <v>254</v>
      </c>
      <c r="D38" s="549">
        <v>2201945</v>
      </c>
      <c r="E38" s="549" t="s">
        <v>288</v>
      </c>
      <c r="F38" s="550">
        <v>5501</v>
      </c>
      <c r="G38" s="550">
        <v>5478</v>
      </c>
      <c r="H38" s="550">
        <v>5428</v>
      </c>
      <c r="I38" s="550">
        <v>5364</v>
      </c>
      <c r="J38" s="550">
        <v>5228</v>
      </c>
      <c r="K38" s="550">
        <v>5154</v>
      </c>
      <c r="L38" s="550">
        <v>5079</v>
      </c>
      <c r="M38" s="550">
        <v>6508</v>
      </c>
      <c r="N38" s="550">
        <v>6325</v>
      </c>
      <c r="O38" s="550">
        <v>6599</v>
      </c>
      <c r="P38" s="550">
        <v>6193</v>
      </c>
      <c r="Q38" s="550">
        <v>6242</v>
      </c>
      <c r="R38" s="550">
        <v>6288</v>
      </c>
      <c r="S38" s="550">
        <v>6335</v>
      </c>
      <c r="T38" s="550">
        <v>6359</v>
      </c>
      <c r="U38" s="550">
        <v>6380</v>
      </c>
      <c r="V38" s="550">
        <v>6284</v>
      </c>
      <c r="W38" s="550">
        <v>6300</v>
      </c>
      <c r="X38" s="550">
        <v>6388</v>
      </c>
      <c r="Y38" s="550">
        <v>6407</v>
      </c>
      <c r="Z38" s="550">
        <v>6426</v>
      </c>
      <c r="AA38" s="550">
        <v>6443</v>
      </c>
      <c r="AB38" s="550">
        <v>6545</v>
      </c>
      <c r="AC38" s="550"/>
      <c r="AD38" s="550">
        <v>6728</v>
      </c>
      <c r="AE38" s="550">
        <v>6751</v>
      </c>
      <c r="AF38" s="778">
        <f t="shared" si="0"/>
        <v>1.0082240632589581</v>
      </c>
    </row>
    <row r="39" spans="3:32">
      <c r="C39" s="549" t="s">
        <v>254</v>
      </c>
      <c r="D39" s="549">
        <v>2201960</v>
      </c>
      <c r="E39" s="549" t="s">
        <v>289</v>
      </c>
      <c r="F39" s="550">
        <v>8152</v>
      </c>
      <c r="G39" s="550">
        <v>7272</v>
      </c>
      <c r="H39" s="550">
        <v>7209</v>
      </c>
      <c r="I39" s="550">
        <v>7136</v>
      </c>
      <c r="J39" s="550">
        <v>6983</v>
      </c>
      <c r="K39" s="550">
        <v>6898</v>
      </c>
      <c r="L39" s="550">
        <v>6814</v>
      </c>
      <c r="M39" s="550">
        <v>7920</v>
      </c>
      <c r="N39" s="550">
        <v>7699</v>
      </c>
      <c r="O39" s="550">
        <v>7970</v>
      </c>
      <c r="P39" s="550">
        <v>7966</v>
      </c>
      <c r="Q39" s="550">
        <v>8013</v>
      </c>
      <c r="R39" s="550">
        <v>8057</v>
      </c>
      <c r="S39" s="550">
        <v>8116</v>
      </c>
      <c r="T39" s="550">
        <v>8139</v>
      </c>
      <c r="U39" s="550">
        <v>8159</v>
      </c>
      <c r="V39" s="550">
        <v>8177</v>
      </c>
      <c r="W39" s="550">
        <v>8192</v>
      </c>
      <c r="X39" s="550">
        <v>8310</v>
      </c>
      <c r="Y39" s="550">
        <v>8329</v>
      </c>
      <c r="Z39" s="550">
        <v>8347</v>
      </c>
      <c r="AA39" s="550">
        <v>8364</v>
      </c>
      <c r="AB39" s="550">
        <v>8436</v>
      </c>
      <c r="AC39" s="550"/>
      <c r="AD39" s="550">
        <v>8658</v>
      </c>
      <c r="AE39" s="550">
        <v>8684</v>
      </c>
      <c r="AF39" s="778">
        <f t="shared" si="0"/>
        <v>1.0025319582497314</v>
      </c>
    </row>
    <row r="40" spans="3:32">
      <c r="C40" s="549" t="s">
        <v>254</v>
      </c>
      <c r="D40" s="549">
        <v>2201988</v>
      </c>
      <c r="E40" s="549" t="s">
        <v>290</v>
      </c>
      <c r="F40" s="550">
        <v>2889</v>
      </c>
      <c r="G40" s="550">
        <v>4098</v>
      </c>
      <c r="H40" s="550">
        <v>4160</v>
      </c>
      <c r="I40" s="550">
        <v>4241</v>
      </c>
      <c r="J40" s="550">
        <v>4411</v>
      </c>
      <c r="K40" s="550">
        <v>4505</v>
      </c>
      <c r="L40" s="550">
        <v>4599</v>
      </c>
      <c r="M40" s="550">
        <v>3983</v>
      </c>
      <c r="N40" s="550">
        <v>3181</v>
      </c>
      <c r="O40" s="550">
        <v>4025</v>
      </c>
      <c r="P40" s="550">
        <v>3850</v>
      </c>
      <c r="Q40" s="550">
        <v>3786</v>
      </c>
      <c r="R40" s="550">
        <v>3724</v>
      </c>
      <c r="S40" s="550">
        <v>3749</v>
      </c>
      <c r="T40" s="550">
        <v>3714</v>
      </c>
      <c r="U40" s="550">
        <v>3871</v>
      </c>
      <c r="V40" s="550">
        <v>3845</v>
      </c>
      <c r="W40" s="550">
        <v>3823</v>
      </c>
      <c r="X40" s="550">
        <v>3902</v>
      </c>
      <c r="Y40" s="550">
        <v>3875</v>
      </c>
      <c r="Z40" s="550">
        <v>3848</v>
      </c>
      <c r="AA40" s="550">
        <v>3824</v>
      </c>
      <c r="AB40" s="550">
        <v>3904</v>
      </c>
      <c r="AC40" s="550"/>
      <c r="AD40" s="550">
        <v>3969</v>
      </c>
      <c r="AE40" s="550">
        <v>3964</v>
      </c>
      <c r="AF40" s="778">
        <f t="shared" si="0"/>
        <v>1.0127341249630144</v>
      </c>
    </row>
    <row r="41" spans="3:32">
      <c r="C41" s="549" t="s">
        <v>254</v>
      </c>
      <c r="D41" s="549">
        <v>2202000</v>
      </c>
      <c r="E41" s="549" t="s">
        <v>291</v>
      </c>
      <c r="F41" s="550">
        <v>17222</v>
      </c>
      <c r="G41" s="550">
        <v>18546</v>
      </c>
      <c r="H41" s="550">
        <v>18535</v>
      </c>
      <c r="I41" s="550">
        <v>18506</v>
      </c>
      <c r="J41" s="550">
        <v>18445</v>
      </c>
      <c r="K41" s="550">
        <v>18411</v>
      </c>
      <c r="L41" s="550">
        <v>18378</v>
      </c>
      <c r="M41" s="550">
        <v>19700</v>
      </c>
      <c r="N41" s="550">
        <v>19150</v>
      </c>
      <c r="O41" s="550">
        <v>19796</v>
      </c>
      <c r="P41" s="550">
        <v>19074</v>
      </c>
      <c r="Q41" s="550">
        <v>19144</v>
      </c>
      <c r="R41" s="550">
        <v>19212</v>
      </c>
      <c r="S41" s="550">
        <v>19352</v>
      </c>
      <c r="T41" s="550">
        <v>19386</v>
      </c>
      <c r="U41" s="550">
        <v>19415</v>
      </c>
      <c r="V41" s="550">
        <v>19441</v>
      </c>
      <c r="W41" s="550">
        <v>19464</v>
      </c>
      <c r="X41" s="550">
        <v>19754</v>
      </c>
      <c r="Y41" s="550">
        <v>19781</v>
      </c>
      <c r="Z41" s="550">
        <v>19807</v>
      </c>
      <c r="AA41" s="550">
        <v>19832</v>
      </c>
      <c r="AB41" s="550">
        <v>19654</v>
      </c>
      <c r="AC41" s="550"/>
      <c r="AD41" s="550">
        <v>20096</v>
      </c>
      <c r="AE41" s="550">
        <v>20130</v>
      </c>
      <c r="AF41" s="778">
        <f t="shared" si="0"/>
        <v>1.0062604594037354</v>
      </c>
    </row>
    <row r="42" spans="3:32">
      <c r="C42" s="549" t="s">
        <v>254</v>
      </c>
      <c r="D42" s="549">
        <v>2202026</v>
      </c>
      <c r="E42" s="549" t="s">
        <v>292</v>
      </c>
      <c r="F42" s="550">
        <v>6043</v>
      </c>
      <c r="G42" s="550">
        <v>7404</v>
      </c>
      <c r="H42" s="550">
        <v>7517</v>
      </c>
      <c r="I42" s="550">
        <v>7626</v>
      </c>
      <c r="J42" s="550">
        <v>7853</v>
      </c>
      <c r="K42" s="550">
        <v>7979</v>
      </c>
      <c r="L42" s="550">
        <v>8104</v>
      </c>
      <c r="M42" s="550">
        <v>8046</v>
      </c>
      <c r="N42" s="550">
        <v>7820</v>
      </c>
      <c r="O42" s="550">
        <v>8117</v>
      </c>
      <c r="P42" s="550">
        <v>7974</v>
      </c>
      <c r="Q42" s="550">
        <v>8027</v>
      </c>
      <c r="R42" s="550">
        <v>8079</v>
      </c>
      <c r="S42" s="550">
        <v>8138</v>
      </c>
      <c r="T42" s="550">
        <v>8165</v>
      </c>
      <c r="U42" s="550">
        <v>8188</v>
      </c>
      <c r="V42" s="550">
        <v>7909</v>
      </c>
      <c r="W42" s="550">
        <v>8108</v>
      </c>
      <c r="X42" s="550">
        <v>8223</v>
      </c>
      <c r="Y42" s="550">
        <v>8244</v>
      </c>
      <c r="Z42" s="550">
        <v>8264</v>
      </c>
      <c r="AA42" s="550">
        <v>8282</v>
      </c>
      <c r="AB42" s="550">
        <v>7434</v>
      </c>
      <c r="AC42" s="550"/>
      <c r="AD42" s="550">
        <v>7538</v>
      </c>
      <c r="AE42" s="550">
        <v>7517</v>
      </c>
      <c r="AF42" s="778">
        <f t="shared" si="0"/>
        <v>1.0087688851778087</v>
      </c>
    </row>
    <row r="43" spans="3:32">
      <c r="C43" s="549" t="s">
        <v>254</v>
      </c>
      <c r="D43" s="549">
        <v>2202059</v>
      </c>
      <c r="E43" s="549" t="s">
        <v>293</v>
      </c>
      <c r="F43" s="550">
        <v>8866</v>
      </c>
      <c r="G43" s="550">
        <v>8608</v>
      </c>
      <c r="H43" s="550">
        <v>8681</v>
      </c>
      <c r="I43" s="550">
        <v>8766</v>
      </c>
      <c r="J43" s="550">
        <v>8944</v>
      </c>
      <c r="K43" s="550">
        <v>9043</v>
      </c>
      <c r="L43" s="550">
        <v>9141</v>
      </c>
      <c r="M43" s="550">
        <v>9710</v>
      </c>
      <c r="N43" s="550">
        <v>9438</v>
      </c>
      <c r="O43" s="550">
        <v>9826</v>
      </c>
      <c r="P43" s="550">
        <v>9928</v>
      </c>
      <c r="Q43" s="550">
        <v>10038</v>
      </c>
      <c r="R43" s="550">
        <v>10144</v>
      </c>
      <c r="S43" s="550">
        <v>10220</v>
      </c>
      <c r="T43" s="550">
        <v>10276</v>
      </c>
      <c r="U43" s="550">
        <v>10325</v>
      </c>
      <c r="V43" s="550">
        <v>10368</v>
      </c>
      <c r="W43" s="550">
        <v>10406</v>
      </c>
      <c r="X43" s="550">
        <v>10540</v>
      </c>
      <c r="Y43" s="550">
        <v>10586</v>
      </c>
      <c r="Z43" s="550">
        <v>10630</v>
      </c>
      <c r="AA43" s="550">
        <v>10671</v>
      </c>
      <c r="AB43" s="550">
        <v>10212</v>
      </c>
      <c r="AC43" s="550"/>
      <c r="AD43" s="550">
        <v>10449</v>
      </c>
      <c r="AE43" s="550">
        <v>10466</v>
      </c>
      <c r="AF43" s="778">
        <f t="shared" si="0"/>
        <v>1.006658396074702</v>
      </c>
    </row>
    <row r="44" spans="3:32">
      <c r="C44" s="549" t="s">
        <v>254</v>
      </c>
      <c r="D44" s="549">
        <v>2202075</v>
      </c>
      <c r="E44" s="549" t="s">
        <v>294</v>
      </c>
      <c r="F44" s="550">
        <v>2640</v>
      </c>
      <c r="G44" s="550">
        <v>2681</v>
      </c>
      <c r="H44" s="550">
        <v>2707</v>
      </c>
      <c r="I44" s="550">
        <v>2726</v>
      </c>
      <c r="J44" s="550">
        <v>2987</v>
      </c>
      <c r="K44" s="550">
        <v>3011</v>
      </c>
      <c r="L44" s="550">
        <v>3033</v>
      </c>
      <c r="M44" s="550">
        <v>3285</v>
      </c>
      <c r="N44" s="550">
        <v>3193</v>
      </c>
      <c r="O44" s="550">
        <v>3323</v>
      </c>
      <c r="P44" s="550">
        <v>3343</v>
      </c>
      <c r="Q44" s="550">
        <v>3379</v>
      </c>
      <c r="R44" s="550">
        <v>3413</v>
      </c>
      <c r="S44" s="550">
        <v>3438</v>
      </c>
      <c r="T44" s="550">
        <v>3456</v>
      </c>
      <c r="U44" s="550">
        <v>3471</v>
      </c>
      <c r="V44" s="550">
        <v>3485</v>
      </c>
      <c r="W44" s="550">
        <v>3497</v>
      </c>
      <c r="X44" s="550">
        <v>3544</v>
      </c>
      <c r="Y44" s="550">
        <v>3559</v>
      </c>
      <c r="Z44" s="550">
        <v>3573</v>
      </c>
      <c r="AA44" s="550">
        <v>3586</v>
      </c>
      <c r="AB44" s="550">
        <v>3108</v>
      </c>
      <c r="AC44" s="550"/>
      <c r="AD44" s="550">
        <v>3146</v>
      </c>
      <c r="AE44" s="550">
        <v>3135</v>
      </c>
      <c r="AF44" s="778">
        <f t="shared" si="0"/>
        <v>1.0068976905140126</v>
      </c>
    </row>
    <row r="45" spans="3:32">
      <c r="C45" s="549" t="s">
        <v>254</v>
      </c>
      <c r="D45" s="549">
        <v>2202083</v>
      </c>
      <c r="E45" s="549" t="s">
        <v>295</v>
      </c>
      <c r="F45" s="550">
        <v>6217</v>
      </c>
      <c r="G45" s="550">
        <v>6125</v>
      </c>
      <c r="H45" s="550">
        <v>6131</v>
      </c>
      <c r="I45" s="550">
        <v>6135</v>
      </c>
      <c r="J45" s="550">
        <v>6143</v>
      </c>
      <c r="K45" s="550">
        <v>6148</v>
      </c>
      <c r="L45" s="550">
        <v>6152</v>
      </c>
      <c r="M45" s="550">
        <v>7183</v>
      </c>
      <c r="N45" s="550">
        <v>6981</v>
      </c>
      <c r="O45" s="550">
        <v>7286</v>
      </c>
      <c r="P45" s="550">
        <v>7163</v>
      </c>
      <c r="Q45" s="550">
        <v>7243</v>
      </c>
      <c r="R45" s="550">
        <v>7321</v>
      </c>
      <c r="S45" s="550">
        <v>7375</v>
      </c>
      <c r="T45" s="550">
        <v>7415</v>
      </c>
      <c r="U45" s="550">
        <v>7451</v>
      </c>
      <c r="V45" s="550">
        <v>7483</v>
      </c>
      <c r="W45" s="550">
        <v>7510</v>
      </c>
      <c r="X45" s="550">
        <v>7608</v>
      </c>
      <c r="Y45" s="550">
        <v>7642</v>
      </c>
      <c r="Z45" s="550">
        <v>7674</v>
      </c>
      <c r="AA45" s="550">
        <v>7704</v>
      </c>
      <c r="AB45" s="550">
        <v>7957</v>
      </c>
      <c r="AC45" s="550"/>
      <c r="AD45" s="550">
        <v>8203</v>
      </c>
      <c r="AE45" s="550">
        <v>8246</v>
      </c>
      <c r="AF45" s="778">
        <f t="shared" si="0"/>
        <v>1.0113616895976811</v>
      </c>
    </row>
    <row r="46" spans="3:32">
      <c r="C46" s="549" t="s">
        <v>254</v>
      </c>
      <c r="D46" s="549">
        <v>2202091</v>
      </c>
      <c r="E46" s="549" t="s">
        <v>296</v>
      </c>
      <c r="F46" s="550">
        <v>5502</v>
      </c>
      <c r="G46" s="550">
        <v>5488</v>
      </c>
      <c r="H46" s="550">
        <v>5489</v>
      </c>
      <c r="I46" s="550">
        <v>5492</v>
      </c>
      <c r="J46" s="550">
        <v>5499</v>
      </c>
      <c r="K46" s="550">
        <v>5504</v>
      </c>
      <c r="L46" s="550">
        <v>5508</v>
      </c>
      <c r="M46" s="550">
        <v>5784</v>
      </c>
      <c r="N46" s="550">
        <v>5622</v>
      </c>
      <c r="O46" s="550">
        <v>5809</v>
      </c>
      <c r="P46" s="550">
        <v>5671</v>
      </c>
      <c r="Q46" s="550">
        <v>5686</v>
      </c>
      <c r="R46" s="550">
        <v>5700</v>
      </c>
      <c r="S46" s="550">
        <v>5742</v>
      </c>
      <c r="T46" s="550">
        <v>5675</v>
      </c>
      <c r="U46" s="550">
        <v>5674</v>
      </c>
      <c r="V46" s="550">
        <v>5680</v>
      </c>
      <c r="W46" s="550">
        <v>5684</v>
      </c>
      <c r="X46" s="550">
        <v>5770</v>
      </c>
      <c r="Y46" s="550">
        <v>5776</v>
      </c>
      <c r="Z46" s="550">
        <v>5781</v>
      </c>
      <c r="AA46" s="550">
        <v>5786</v>
      </c>
      <c r="AB46" s="550">
        <v>5503</v>
      </c>
      <c r="AC46" s="550"/>
      <c r="AD46" s="550">
        <v>5605</v>
      </c>
      <c r="AE46" s="550">
        <v>5602</v>
      </c>
      <c r="AF46" s="778">
        <f t="shared" si="0"/>
        <v>1.0007207401818936</v>
      </c>
    </row>
    <row r="47" spans="3:32">
      <c r="C47" s="549" t="s">
        <v>254</v>
      </c>
      <c r="D47" s="549">
        <v>2202109</v>
      </c>
      <c r="E47" s="549" t="s">
        <v>297</v>
      </c>
      <c r="F47" s="550">
        <v>4614</v>
      </c>
      <c r="G47" s="550">
        <v>5037</v>
      </c>
      <c r="H47" s="550">
        <v>4983</v>
      </c>
      <c r="I47" s="550">
        <v>4909</v>
      </c>
      <c r="J47" s="550">
        <v>4755</v>
      </c>
      <c r="K47" s="550">
        <v>4669</v>
      </c>
      <c r="L47" s="550">
        <v>4584</v>
      </c>
      <c r="M47" s="550">
        <v>5759</v>
      </c>
      <c r="N47" s="550">
        <v>5598</v>
      </c>
      <c r="O47" s="550">
        <v>5818</v>
      </c>
      <c r="P47" s="550">
        <v>5408</v>
      </c>
      <c r="Q47" s="550">
        <v>5429</v>
      </c>
      <c r="R47" s="550">
        <v>5449</v>
      </c>
      <c r="S47" s="550">
        <v>5489</v>
      </c>
      <c r="T47" s="550">
        <v>5499</v>
      </c>
      <c r="U47" s="550">
        <v>5507</v>
      </c>
      <c r="V47" s="550">
        <v>5515</v>
      </c>
      <c r="W47" s="550">
        <v>5522</v>
      </c>
      <c r="X47" s="550">
        <v>5603</v>
      </c>
      <c r="Y47" s="550">
        <v>5613</v>
      </c>
      <c r="Z47" s="550">
        <v>5620</v>
      </c>
      <c r="AA47" s="550">
        <v>5628</v>
      </c>
      <c r="AB47" s="550">
        <v>4938</v>
      </c>
      <c r="AC47" s="550"/>
      <c r="AD47" s="550">
        <v>4988</v>
      </c>
      <c r="AE47" s="550">
        <v>4964</v>
      </c>
      <c r="AF47" s="778">
        <f t="shared" si="0"/>
        <v>1.0029289493184739</v>
      </c>
    </row>
    <row r="48" spans="3:32">
      <c r="C48" s="549" t="s">
        <v>254</v>
      </c>
      <c r="D48" s="549">
        <v>2202117</v>
      </c>
      <c r="E48" s="549" t="s">
        <v>298</v>
      </c>
      <c r="F48" s="550">
        <v>4254</v>
      </c>
      <c r="G48" s="550">
        <v>4502</v>
      </c>
      <c r="H48" s="550">
        <v>4523</v>
      </c>
      <c r="I48" s="550">
        <v>4557</v>
      </c>
      <c r="J48" s="550">
        <v>4039</v>
      </c>
      <c r="K48" s="550">
        <v>4074</v>
      </c>
      <c r="L48" s="550">
        <v>4107</v>
      </c>
      <c r="M48" s="550">
        <v>4579</v>
      </c>
      <c r="N48" s="550">
        <v>4451</v>
      </c>
      <c r="O48" s="550">
        <v>4647</v>
      </c>
      <c r="P48" s="550">
        <v>4693</v>
      </c>
      <c r="Q48" s="550">
        <v>4755</v>
      </c>
      <c r="R48" s="550">
        <v>4815</v>
      </c>
      <c r="S48" s="550">
        <v>4851</v>
      </c>
      <c r="T48" s="550">
        <v>4883</v>
      </c>
      <c r="U48" s="550">
        <v>4911</v>
      </c>
      <c r="V48" s="550">
        <v>4935</v>
      </c>
      <c r="W48" s="550">
        <v>4957</v>
      </c>
      <c r="X48" s="550">
        <v>5019</v>
      </c>
      <c r="Y48" s="550">
        <v>5045</v>
      </c>
      <c r="Z48" s="550">
        <v>5069</v>
      </c>
      <c r="AA48" s="550">
        <v>5093</v>
      </c>
      <c r="AB48" s="550">
        <v>4616</v>
      </c>
      <c r="AC48" s="550"/>
      <c r="AD48" s="550">
        <v>4701</v>
      </c>
      <c r="AE48" s="550">
        <v>4698</v>
      </c>
      <c r="AF48" s="778">
        <f t="shared" si="0"/>
        <v>1.0039789819908462</v>
      </c>
    </row>
    <row r="49" spans="3:32">
      <c r="C49" s="549" t="s">
        <v>254</v>
      </c>
      <c r="D49" s="549">
        <v>2202133</v>
      </c>
      <c r="E49" s="549" t="s">
        <v>299</v>
      </c>
      <c r="F49" s="550">
        <v>4342</v>
      </c>
      <c r="G49" s="550">
        <v>4984</v>
      </c>
      <c r="H49" s="550">
        <v>5057</v>
      </c>
      <c r="I49" s="550">
        <v>5138</v>
      </c>
      <c r="J49" s="550">
        <v>5308</v>
      </c>
      <c r="K49" s="550">
        <v>5402</v>
      </c>
      <c r="L49" s="550">
        <v>5495</v>
      </c>
      <c r="M49" s="550">
        <v>5808</v>
      </c>
      <c r="N49" s="550">
        <v>5645</v>
      </c>
      <c r="O49" s="550">
        <v>5898</v>
      </c>
      <c r="P49" s="550">
        <v>5592</v>
      </c>
      <c r="Q49" s="550">
        <v>5649</v>
      </c>
      <c r="R49" s="550">
        <v>5704</v>
      </c>
      <c r="S49" s="550">
        <v>5746</v>
      </c>
      <c r="T49" s="550">
        <v>5775</v>
      </c>
      <c r="U49" s="550">
        <v>5801</v>
      </c>
      <c r="V49" s="550">
        <v>5823</v>
      </c>
      <c r="W49" s="550">
        <v>5842</v>
      </c>
      <c r="X49" s="550">
        <v>5919</v>
      </c>
      <c r="Y49" s="550">
        <v>5943</v>
      </c>
      <c r="Z49" s="550">
        <v>5965</v>
      </c>
      <c r="AA49" s="550">
        <v>5987</v>
      </c>
      <c r="AB49" s="550">
        <v>6020</v>
      </c>
      <c r="AC49" s="550"/>
      <c r="AD49" s="550">
        <v>6188</v>
      </c>
      <c r="AE49" s="550">
        <v>6211</v>
      </c>
      <c r="AF49" s="778">
        <f t="shared" si="0"/>
        <v>1.0144224884666604</v>
      </c>
    </row>
    <row r="50" spans="3:32">
      <c r="C50" s="549" t="s">
        <v>254</v>
      </c>
      <c r="D50" s="549">
        <v>2202174</v>
      </c>
      <c r="E50" s="549" t="s">
        <v>300</v>
      </c>
      <c r="F50" s="550">
        <v>5352</v>
      </c>
      <c r="G50" s="550">
        <v>5851</v>
      </c>
      <c r="H50" s="550">
        <v>5939</v>
      </c>
      <c r="I50" s="550">
        <v>6030</v>
      </c>
      <c r="J50" s="550">
        <v>6222</v>
      </c>
      <c r="K50" s="550">
        <v>6328</v>
      </c>
      <c r="L50" s="550">
        <v>6433</v>
      </c>
      <c r="M50" s="550">
        <v>6920</v>
      </c>
      <c r="N50" s="550">
        <v>6726</v>
      </c>
      <c r="O50" s="550">
        <v>7035</v>
      </c>
      <c r="P50" s="550">
        <v>6803</v>
      </c>
      <c r="Q50" s="550">
        <v>6885</v>
      </c>
      <c r="R50" s="550">
        <v>6964</v>
      </c>
      <c r="S50" s="550">
        <v>7016</v>
      </c>
      <c r="T50" s="550">
        <v>7058</v>
      </c>
      <c r="U50" s="550">
        <v>7094</v>
      </c>
      <c r="V50" s="550">
        <v>7126</v>
      </c>
      <c r="W50" s="550">
        <v>7154</v>
      </c>
      <c r="X50" s="550">
        <v>7245</v>
      </c>
      <c r="Y50" s="550">
        <v>7279</v>
      </c>
      <c r="Z50" s="550">
        <v>7311</v>
      </c>
      <c r="AA50" s="550">
        <v>7342</v>
      </c>
      <c r="AB50" s="550">
        <v>7419</v>
      </c>
      <c r="AC50" s="550"/>
      <c r="AD50" s="550">
        <v>7636</v>
      </c>
      <c r="AE50" s="550">
        <v>7669</v>
      </c>
      <c r="AF50" s="778">
        <f t="shared" si="0"/>
        <v>1.0144926509424987</v>
      </c>
    </row>
    <row r="51" spans="3:32">
      <c r="C51" s="549" t="s">
        <v>254</v>
      </c>
      <c r="D51" s="549">
        <v>2202208</v>
      </c>
      <c r="E51" s="549" t="s">
        <v>301</v>
      </c>
      <c r="F51" s="550">
        <v>40106</v>
      </c>
      <c r="G51" s="550">
        <v>42850</v>
      </c>
      <c r="H51" s="550">
        <v>42647</v>
      </c>
      <c r="I51" s="550">
        <v>42425</v>
      </c>
      <c r="J51" s="550">
        <v>41958</v>
      </c>
      <c r="K51" s="550">
        <v>41659</v>
      </c>
      <c r="L51" s="550">
        <v>41404</v>
      </c>
      <c r="M51" s="550">
        <v>45827</v>
      </c>
      <c r="N51" s="550">
        <v>44548</v>
      </c>
      <c r="O51" s="550">
        <v>46068</v>
      </c>
      <c r="P51" s="550">
        <v>45177</v>
      </c>
      <c r="Q51" s="550">
        <v>45338</v>
      </c>
      <c r="R51" s="550">
        <v>45493</v>
      </c>
      <c r="S51" s="550">
        <v>45827</v>
      </c>
      <c r="T51" s="550">
        <v>45904</v>
      </c>
      <c r="U51" s="550">
        <v>45971</v>
      </c>
      <c r="V51" s="550">
        <v>46031</v>
      </c>
      <c r="W51" s="550">
        <v>46082</v>
      </c>
      <c r="X51" s="550">
        <v>46770</v>
      </c>
      <c r="Y51" s="550">
        <v>46833</v>
      </c>
      <c r="Z51" s="550">
        <v>46893</v>
      </c>
      <c r="AA51" s="550">
        <v>46950</v>
      </c>
      <c r="AB51" s="550">
        <v>45793</v>
      </c>
      <c r="AC51" s="550"/>
      <c r="AD51" s="550">
        <v>47074</v>
      </c>
      <c r="AE51" s="550">
        <v>47119</v>
      </c>
      <c r="AF51" s="778">
        <f t="shared" si="0"/>
        <v>1.0064668349707624</v>
      </c>
    </row>
    <row r="52" spans="3:32">
      <c r="C52" s="549" t="s">
        <v>254</v>
      </c>
      <c r="D52" s="549">
        <v>2202251</v>
      </c>
      <c r="E52" s="549" t="s">
        <v>302</v>
      </c>
      <c r="F52" s="550">
        <v>3954</v>
      </c>
      <c r="G52" s="550">
        <v>4119</v>
      </c>
      <c r="H52" s="550">
        <v>4125</v>
      </c>
      <c r="I52" s="550">
        <v>4130</v>
      </c>
      <c r="J52" s="550">
        <v>4141</v>
      </c>
      <c r="K52" s="550">
        <v>4147</v>
      </c>
      <c r="L52" s="550">
        <v>4152</v>
      </c>
      <c r="M52" s="550">
        <v>4098</v>
      </c>
      <c r="N52" s="550">
        <v>3984</v>
      </c>
      <c r="O52" s="550">
        <v>4093</v>
      </c>
      <c r="P52" s="550">
        <v>3921</v>
      </c>
      <c r="Q52" s="550">
        <v>3907</v>
      </c>
      <c r="R52" s="550">
        <v>3892</v>
      </c>
      <c r="S52" s="550">
        <v>3920</v>
      </c>
      <c r="T52" s="550">
        <v>3911</v>
      </c>
      <c r="U52" s="550">
        <v>3904</v>
      </c>
      <c r="V52" s="550">
        <v>3898</v>
      </c>
      <c r="W52" s="550">
        <v>3892</v>
      </c>
      <c r="X52" s="550">
        <v>3957</v>
      </c>
      <c r="Y52" s="550">
        <v>3950</v>
      </c>
      <c r="Z52" s="550">
        <v>3944</v>
      </c>
      <c r="AA52" s="550">
        <v>3938</v>
      </c>
      <c r="AB52" s="550">
        <v>3414</v>
      </c>
      <c r="AC52" s="550"/>
      <c r="AD52" s="550">
        <v>3429</v>
      </c>
      <c r="AE52" s="550">
        <v>3404</v>
      </c>
      <c r="AF52" s="778">
        <f t="shared" si="0"/>
        <v>0.99402685005611879</v>
      </c>
    </row>
    <row r="53" spans="3:32">
      <c r="C53" s="549" t="s">
        <v>254</v>
      </c>
      <c r="D53" s="549">
        <v>2202307</v>
      </c>
      <c r="E53" s="549" t="s">
        <v>303</v>
      </c>
      <c r="F53" s="550">
        <v>16456</v>
      </c>
      <c r="G53" s="550">
        <v>18409</v>
      </c>
      <c r="H53" s="550">
        <v>18452</v>
      </c>
      <c r="I53" s="550">
        <v>18490</v>
      </c>
      <c r="J53" s="550">
        <v>18569</v>
      </c>
      <c r="K53" s="550">
        <v>18613</v>
      </c>
      <c r="L53" s="550">
        <v>18656</v>
      </c>
      <c r="M53" s="550">
        <v>20557</v>
      </c>
      <c r="N53" s="550">
        <v>20673</v>
      </c>
      <c r="O53" s="550">
        <v>20761</v>
      </c>
      <c r="P53" s="550">
        <v>20020</v>
      </c>
      <c r="Q53" s="550">
        <v>20201</v>
      </c>
      <c r="R53" s="550">
        <v>20375</v>
      </c>
      <c r="S53" s="550">
        <v>20528</v>
      </c>
      <c r="T53" s="550">
        <v>20619</v>
      </c>
      <c r="U53" s="550">
        <v>20700</v>
      </c>
      <c r="V53" s="550">
        <v>20770</v>
      </c>
      <c r="W53" s="550">
        <v>20831</v>
      </c>
      <c r="X53" s="550">
        <v>21112</v>
      </c>
      <c r="Y53" s="550">
        <v>21187</v>
      </c>
      <c r="Z53" s="550">
        <v>21258</v>
      </c>
      <c r="AA53" s="550">
        <v>21326</v>
      </c>
      <c r="AB53" s="550">
        <v>19365</v>
      </c>
      <c r="AC53" s="550"/>
      <c r="AD53" s="550">
        <v>19669</v>
      </c>
      <c r="AE53" s="550">
        <v>19639</v>
      </c>
      <c r="AF53" s="778">
        <f t="shared" si="0"/>
        <v>1.0070981626880506</v>
      </c>
    </row>
    <row r="54" spans="3:32">
      <c r="C54" s="549" t="s">
        <v>254</v>
      </c>
      <c r="D54" s="549">
        <v>2202406</v>
      </c>
      <c r="E54" s="549" t="s">
        <v>304</v>
      </c>
      <c r="F54" s="550">
        <v>10212</v>
      </c>
      <c r="G54" s="550">
        <v>10030</v>
      </c>
      <c r="H54" s="550">
        <v>10010</v>
      </c>
      <c r="I54" s="550">
        <v>9997</v>
      </c>
      <c r="J54" s="550">
        <v>9972</v>
      </c>
      <c r="K54" s="550">
        <v>9958</v>
      </c>
      <c r="L54" s="550">
        <v>9944</v>
      </c>
      <c r="M54" s="550">
        <v>11142</v>
      </c>
      <c r="N54" s="550">
        <v>10830</v>
      </c>
      <c r="O54" s="550">
        <v>11246</v>
      </c>
      <c r="P54" s="550">
        <v>10953</v>
      </c>
      <c r="Q54" s="550">
        <v>11024</v>
      </c>
      <c r="R54" s="550">
        <v>11092</v>
      </c>
      <c r="S54" s="550">
        <v>11173</v>
      </c>
      <c r="T54" s="550">
        <v>11208</v>
      </c>
      <c r="U54" s="550">
        <v>11239</v>
      </c>
      <c r="V54" s="550">
        <v>11205</v>
      </c>
      <c r="W54" s="550">
        <v>11229</v>
      </c>
      <c r="X54" s="550">
        <v>11388</v>
      </c>
      <c r="Y54" s="550">
        <v>11417</v>
      </c>
      <c r="Z54" s="550">
        <v>11445</v>
      </c>
      <c r="AA54" s="550">
        <v>11471</v>
      </c>
      <c r="AB54" s="550">
        <v>11100</v>
      </c>
      <c r="AC54" s="550"/>
      <c r="AD54" s="550">
        <v>11347</v>
      </c>
      <c r="AE54" s="550">
        <v>11362</v>
      </c>
      <c r="AF54" s="778">
        <f t="shared" si="0"/>
        <v>1.0042775609478771</v>
      </c>
    </row>
    <row r="55" spans="3:32">
      <c r="C55" s="549" t="s">
        <v>254</v>
      </c>
      <c r="D55" s="549">
        <v>2202455</v>
      </c>
      <c r="E55" s="549" t="s">
        <v>305</v>
      </c>
      <c r="F55" s="550">
        <v>4598</v>
      </c>
      <c r="G55" s="550">
        <v>3272</v>
      </c>
      <c r="H55" s="550">
        <v>3168</v>
      </c>
      <c r="I55" s="550">
        <v>3045</v>
      </c>
      <c r="J55" s="550">
        <v>2788</v>
      </c>
      <c r="K55" s="550">
        <v>2645</v>
      </c>
      <c r="L55" s="550">
        <v>2503</v>
      </c>
      <c r="M55" s="550">
        <v>3977</v>
      </c>
      <c r="N55" s="550">
        <v>3865</v>
      </c>
      <c r="O55" s="550">
        <v>4029</v>
      </c>
      <c r="P55" s="550">
        <v>3878</v>
      </c>
      <c r="Q55" s="550">
        <v>3913</v>
      </c>
      <c r="R55" s="550">
        <v>3946</v>
      </c>
      <c r="S55" s="550">
        <v>3975</v>
      </c>
      <c r="T55" s="550">
        <v>3993</v>
      </c>
      <c r="U55" s="550">
        <v>4008</v>
      </c>
      <c r="V55" s="550">
        <v>4021</v>
      </c>
      <c r="W55" s="550">
        <v>4033</v>
      </c>
      <c r="X55" s="550">
        <v>4086</v>
      </c>
      <c r="Y55" s="550">
        <v>4100</v>
      </c>
      <c r="Z55" s="550">
        <v>4114</v>
      </c>
      <c r="AA55" s="550">
        <v>4127</v>
      </c>
      <c r="AB55" s="550">
        <v>3974</v>
      </c>
      <c r="AC55" s="550"/>
      <c r="AD55" s="550">
        <v>4065</v>
      </c>
      <c r="AE55" s="550">
        <v>4071</v>
      </c>
      <c r="AF55" s="778">
        <f t="shared" si="0"/>
        <v>0.9951425255998223</v>
      </c>
    </row>
    <row r="56" spans="3:32">
      <c r="C56" s="549" t="s">
        <v>254</v>
      </c>
      <c r="D56" s="549">
        <v>2202505</v>
      </c>
      <c r="E56" s="549" t="s">
        <v>306</v>
      </c>
      <c r="F56" s="550">
        <v>7976</v>
      </c>
      <c r="G56" s="550">
        <v>8786</v>
      </c>
      <c r="H56" s="550">
        <v>8866</v>
      </c>
      <c r="I56" s="550">
        <v>8964</v>
      </c>
      <c r="J56" s="550">
        <v>9170</v>
      </c>
      <c r="K56" s="550">
        <v>9283</v>
      </c>
      <c r="L56" s="550">
        <v>9395</v>
      </c>
      <c r="M56" s="550">
        <v>10643</v>
      </c>
      <c r="N56" s="550">
        <v>10343</v>
      </c>
      <c r="O56" s="550">
        <v>10838</v>
      </c>
      <c r="P56" s="550">
        <v>10212</v>
      </c>
      <c r="Q56" s="550">
        <v>10332</v>
      </c>
      <c r="R56" s="550">
        <v>10448</v>
      </c>
      <c r="S56" s="550">
        <v>10527</v>
      </c>
      <c r="T56" s="550">
        <v>10588</v>
      </c>
      <c r="U56" s="550">
        <v>10641</v>
      </c>
      <c r="V56" s="550">
        <v>10688</v>
      </c>
      <c r="W56" s="550">
        <v>10729</v>
      </c>
      <c r="X56" s="550">
        <v>10866</v>
      </c>
      <c r="Y56" s="550">
        <v>10916</v>
      </c>
      <c r="Z56" s="550">
        <v>10964</v>
      </c>
      <c r="AA56" s="550">
        <v>11009</v>
      </c>
      <c r="AB56" s="550">
        <v>10318</v>
      </c>
      <c r="AC56" s="550"/>
      <c r="AD56" s="550">
        <v>10538</v>
      </c>
      <c r="AE56" s="550">
        <v>10546</v>
      </c>
      <c r="AF56" s="778">
        <f t="shared" si="0"/>
        <v>1.0112350285013705</v>
      </c>
    </row>
    <row r="57" spans="3:32">
      <c r="C57" s="549" t="s">
        <v>254</v>
      </c>
      <c r="D57" s="549">
        <v>2202539</v>
      </c>
      <c r="E57" s="549" t="s">
        <v>307</v>
      </c>
      <c r="F57" s="550">
        <v>3484</v>
      </c>
      <c r="G57" s="550">
        <v>4929</v>
      </c>
      <c r="H57" s="550">
        <v>5016</v>
      </c>
      <c r="I57" s="550">
        <v>5113</v>
      </c>
      <c r="J57" s="550">
        <v>5315</v>
      </c>
      <c r="K57" s="550">
        <v>5427</v>
      </c>
      <c r="L57" s="550">
        <v>5538</v>
      </c>
      <c r="M57" s="550">
        <v>5526</v>
      </c>
      <c r="N57" s="550">
        <v>5371</v>
      </c>
      <c r="O57" s="550">
        <v>5595</v>
      </c>
      <c r="P57" s="550">
        <v>5525</v>
      </c>
      <c r="Q57" s="550">
        <v>5580</v>
      </c>
      <c r="R57" s="550">
        <v>5634</v>
      </c>
      <c r="S57" s="550">
        <v>5676</v>
      </c>
      <c r="T57" s="550">
        <v>5704</v>
      </c>
      <c r="U57" s="550">
        <v>5728</v>
      </c>
      <c r="V57" s="550">
        <v>5750</v>
      </c>
      <c r="W57" s="550">
        <v>5769</v>
      </c>
      <c r="X57" s="550">
        <v>5845</v>
      </c>
      <c r="Y57" s="550">
        <v>5868</v>
      </c>
      <c r="Z57" s="550">
        <v>5890</v>
      </c>
      <c r="AA57" s="550">
        <v>5910</v>
      </c>
      <c r="AB57" s="550">
        <v>5630</v>
      </c>
      <c r="AC57" s="550"/>
      <c r="AD57" s="550">
        <v>5755</v>
      </c>
      <c r="AE57" s="550">
        <v>5581</v>
      </c>
      <c r="AF57" s="778">
        <f t="shared" si="0"/>
        <v>1.019026211332329</v>
      </c>
    </row>
    <row r="58" spans="3:32">
      <c r="C58" s="549" t="s">
        <v>254</v>
      </c>
      <c r="D58" s="549">
        <v>2202554</v>
      </c>
      <c r="E58" s="549" t="s">
        <v>308</v>
      </c>
      <c r="F58" s="550">
        <v>3422</v>
      </c>
      <c r="G58" s="550">
        <v>4083</v>
      </c>
      <c r="H58" s="550">
        <v>4083</v>
      </c>
      <c r="I58" s="550">
        <v>4093</v>
      </c>
      <c r="J58" s="550">
        <v>4113</v>
      </c>
      <c r="K58" s="550">
        <v>4125</v>
      </c>
      <c r="L58" s="550">
        <v>4136</v>
      </c>
      <c r="M58" s="550">
        <v>4715</v>
      </c>
      <c r="N58" s="550">
        <v>4583</v>
      </c>
      <c r="O58" s="550">
        <v>4778</v>
      </c>
      <c r="P58" s="550">
        <v>4826</v>
      </c>
      <c r="Q58" s="550">
        <v>4871</v>
      </c>
      <c r="R58" s="550">
        <v>4915</v>
      </c>
      <c r="S58" s="550">
        <v>4951</v>
      </c>
      <c r="T58" s="550">
        <v>4974</v>
      </c>
      <c r="U58" s="550">
        <v>4994</v>
      </c>
      <c r="V58" s="550">
        <v>5012</v>
      </c>
      <c r="W58" s="550">
        <v>4982</v>
      </c>
      <c r="X58" s="550">
        <v>5049</v>
      </c>
      <c r="Y58" s="550">
        <v>5067</v>
      </c>
      <c r="Z58" s="550">
        <v>5085</v>
      </c>
      <c r="AA58" s="550">
        <v>5102</v>
      </c>
      <c r="AB58" s="550">
        <v>5033</v>
      </c>
      <c r="AC58" s="550"/>
      <c r="AD58" s="550">
        <v>5162</v>
      </c>
      <c r="AE58" s="550">
        <v>5176</v>
      </c>
      <c r="AF58" s="778">
        <f t="shared" si="0"/>
        <v>1.0166900434753197</v>
      </c>
    </row>
    <row r="59" spans="3:32">
      <c r="C59" s="549" t="s">
        <v>254</v>
      </c>
      <c r="D59" s="549">
        <v>2202604</v>
      </c>
      <c r="E59" s="549" t="s">
        <v>309</v>
      </c>
      <c r="F59" s="550">
        <v>18302</v>
      </c>
      <c r="G59" s="550">
        <v>18290</v>
      </c>
      <c r="H59" s="550">
        <v>18426</v>
      </c>
      <c r="I59" s="550">
        <v>18466</v>
      </c>
      <c r="J59" s="550">
        <v>18550</v>
      </c>
      <c r="K59" s="550">
        <v>18597</v>
      </c>
      <c r="L59" s="550">
        <v>18644</v>
      </c>
      <c r="M59" s="550">
        <v>19082</v>
      </c>
      <c r="N59" s="550">
        <v>18550</v>
      </c>
      <c r="O59" s="550">
        <v>19142</v>
      </c>
      <c r="P59" s="550">
        <v>18336</v>
      </c>
      <c r="Q59" s="550">
        <v>18336</v>
      </c>
      <c r="R59" s="550">
        <v>18336</v>
      </c>
      <c r="S59" s="550">
        <v>18469</v>
      </c>
      <c r="T59" s="550">
        <v>18466</v>
      </c>
      <c r="U59" s="550">
        <v>18160</v>
      </c>
      <c r="V59" s="550">
        <v>19410</v>
      </c>
      <c r="W59" s="550">
        <v>19410</v>
      </c>
      <c r="X59" s="550">
        <v>19715</v>
      </c>
      <c r="Y59" s="550">
        <v>19716</v>
      </c>
      <c r="Z59" s="550">
        <v>19715</v>
      </c>
      <c r="AA59" s="550">
        <v>19716</v>
      </c>
      <c r="AB59" s="550">
        <v>19288</v>
      </c>
      <c r="AC59" s="550"/>
      <c r="AD59" s="550">
        <v>19663</v>
      </c>
      <c r="AE59" s="550">
        <v>19669</v>
      </c>
      <c r="AF59" s="778">
        <f t="shared" si="0"/>
        <v>1.0028854929949136</v>
      </c>
    </row>
    <row r="60" spans="3:32">
      <c r="C60" s="549" t="s">
        <v>254</v>
      </c>
      <c r="D60" s="549">
        <v>2202653</v>
      </c>
      <c r="E60" s="549" t="s">
        <v>310</v>
      </c>
      <c r="F60" s="550">
        <v>2604</v>
      </c>
      <c r="G60" s="550">
        <v>4293</v>
      </c>
      <c r="H60" s="550">
        <v>4418</v>
      </c>
      <c r="I60" s="550">
        <v>4544</v>
      </c>
      <c r="J60" s="550">
        <v>4809</v>
      </c>
      <c r="K60" s="550">
        <v>4955</v>
      </c>
      <c r="L60" s="550">
        <v>5100</v>
      </c>
      <c r="M60" s="550">
        <v>5169</v>
      </c>
      <c r="N60" s="550">
        <v>5023</v>
      </c>
      <c r="O60" s="550">
        <v>5270</v>
      </c>
      <c r="P60" s="550">
        <v>5039</v>
      </c>
      <c r="Q60" s="550">
        <v>5108</v>
      </c>
      <c r="R60" s="550">
        <v>5174</v>
      </c>
      <c r="S60" s="550">
        <v>5213</v>
      </c>
      <c r="T60" s="550">
        <v>5248</v>
      </c>
      <c r="U60" s="550">
        <v>5279</v>
      </c>
      <c r="V60" s="550">
        <v>5306</v>
      </c>
      <c r="W60" s="550">
        <v>5330</v>
      </c>
      <c r="X60" s="550">
        <v>5395</v>
      </c>
      <c r="Y60" s="550">
        <v>5424</v>
      </c>
      <c r="Z60" s="550">
        <v>5451</v>
      </c>
      <c r="AA60" s="550">
        <v>5477</v>
      </c>
      <c r="AB60" s="550">
        <v>5496</v>
      </c>
      <c r="AC60" s="550"/>
      <c r="AD60" s="550">
        <v>5657</v>
      </c>
      <c r="AE60" s="550">
        <v>5682</v>
      </c>
      <c r="AF60" s="778">
        <f t="shared" si="0"/>
        <v>1.031702326732941</v>
      </c>
    </row>
    <row r="61" spans="3:32">
      <c r="C61" s="549" t="s">
        <v>254</v>
      </c>
      <c r="D61" s="549">
        <v>2202703</v>
      </c>
      <c r="E61" s="549" t="s">
        <v>311</v>
      </c>
      <c r="F61" s="550">
        <v>24322</v>
      </c>
      <c r="G61" s="550">
        <v>24318</v>
      </c>
      <c r="H61" s="550">
        <v>24444</v>
      </c>
      <c r="I61" s="550">
        <v>24580</v>
      </c>
      <c r="J61" s="550">
        <v>24866</v>
      </c>
      <c r="K61" s="550">
        <v>25024</v>
      </c>
      <c r="L61" s="550">
        <v>25181</v>
      </c>
      <c r="M61" s="550">
        <v>26956</v>
      </c>
      <c r="N61" s="550">
        <v>26201</v>
      </c>
      <c r="O61" s="550">
        <v>27220</v>
      </c>
      <c r="P61" s="550">
        <v>26036</v>
      </c>
      <c r="Q61" s="550">
        <v>26923</v>
      </c>
      <c r="R61" s="550">
        <v>27067</v>
      </c>
      <c r="S61" s="550">
        <v>27274</v>
      </c>
      <c r="T61" s="550">
        <v>27163</v>
      </c>
      <c r="U61" s="550">
        <v>27230</v>
      </c>
      <c r="V61" s="550">
        <v>27287</v>
      </c>
      <c r="W61" s="550">
        <v>27338</v>
      </c>
      <c r="X61" s="550">
        <v>27725</v>
      </c>
      <c r="Y61" s="550">
        <v>27787</v>
      </c>
      <c r="Z61" s="550">
        <v>27845</v>
      </c>
      <c r="AA61" s="550">
        <v>27901</v>
      </c>
      <c r="AB61" s="550">
        <v>28212</v>
      </c>
      <c r="AC61" s="550"/>
      <c r="AD61" s="550">
        <v>29209</v>
      </c>
      <c r="AE61" s="550">
        <v>29302</v>
      </c>
      <c r="AF61" s="778">
        <f t="shared" si="0"/>
        <v>1.0074788069184821</v>
      </c>
    </row>
    <row r="62" spans="3:32">
      <c r="C62" s="549" t="s">
        <v>254</v>
      </c>
      <c r="D62" s="549">
        <v>2202711</v>
      </c>
      <c r="E62" s="549" t="s">
        <v>312</v>
      </c>
      <c r="F62" s="550">
        <v>3849</v>
      </c>
      <c r="G62" s="550">
        <v>4236</v>
      </c>
      <c r="H62" s="550">
        <v>4225</v>
      </c>
      <c r="I62" s="550">
        <v>4214</v>
      </c>
      <c r="J62" s="550">
        <v>4192</v>
      </c>
      <c r="K62" s="550">
        <v>4180</v>
      </c>
      <c r="L62" s="550">
        <v>4167</v>
      </c>
      <c r="M62" s="550">
        <v>4652</v>
      </c>
      <c r="N62" s="550">
        <v>4522</v>
      </c>
      <c r="O62" s="550">
        <v>4689</v>
      </c>
      <c r="P62" s="550">
        <v>4525</v>
      </c>
      <c r="Q62" s="550">
        <v>4547</v>
      </c>
      <c r="R62" s="550">
        <v>4567</v>
      </c>
      <c r="S62" s="550">
        <v>4601</v>
      </c>
      <c r="T62" s="550">
        <v>4611</v>
      </c>
      <c r="U62" s="550">
        <v>4621</v>
      </c>
      <c r="V62" s="550">
        <v>4805</v>
      </c>
      <c r="W62" s="550">
        <v>4812</v>
      </c>
      <c r="X62" s="550">
        <v>4881</v>
      </c>
      <c r="Y62" s="550">
        <v>4891</v>
      </c>
      <c r="Z62" s="550">
        <v>4899</v>
      </c>
      <c r="AA62" s="550">
        <v>4908</v>
      </c>
      <c r="AB62" s="550">
        <v>4911</v>
      </c>
      <c r="AC62" s="550"/>
      <c r="AD62" s="550">
        <v>5034</v>
      </c>
      <c r="AE62" s="550">
        <v>5046</v>
      </c>
      <c r="AF62" s="778">
        <f t="shared" si="0"/>
        <v>1.0108901699134711</v>
      </c>
    </row>
    <row r="63" spans="3:32">
      <c r="C63" s="549" t="s">
        <v>254</v>
      </c>
      <c r="D63" s="549">
        <v>2202729</v>
      </c>
      <c r="E63" s="549" t="s">
        <v>313</v>
      </c>
      <c r="F63" s="550">
        <v>4526</v>
      </c>
      <c r="G63" s="550">
        <v>5267</v>
      </c>
      <c r="H63" s="550">
        <v>5349</v>
      </c>
      <c r="I63" s="550">
        <v>5439</v>
      </c>
      <c r="J63" s="550">
        <v>5628</v>
      </c>
      <c r="K63" s="550">
        <v>5732</v>
      </c>
      <c r="L63" s="550">
        <v>5836</v>
      </c>
      <c r="M63" s="550">
        <v>5495</v>
      </c>
      <c r="N63" s="550">
        <v>5341</v>
      </c>
      <c r="O63" s="550">
        <v>5525</v>
      </c>
      <c r="P63" s="550">
        <v>5572</v>
      </c>
      <c r="Q63" s="550">
        <v>5605</v>
      </c>
      <c r="R63" s="550">
        <v>5635</v>
      </c>
      <c r="S63" s="550">
        <v>5677</v>
      </c>
      <c r="T63" s="550">
        <v>6014</v>
      </c>
      <c r="U63" s="550">
        <v>6028</v>
      </c>
      <c r="V63" s="550">
        <v>6042</v>
      </c>
      <c r="W63" s="550">
        <v>6054</v>
      </c>
      <c r="X63" s="550">
        <v>6140</v>
      </c>
      <c r="Y63" s="550">
        <v>6153</v>
      </c>
      <c r="Z63" s="550">
        <v>6168</v>
      </c>
      <c r="AA63" s="550">
        <v>6180</v>
      </c>
      <c r="AB63" s="550">
        <v>6386</v>
      </c>
      <c r="AC63" s="550"/>
      <c r="AD63" s="550">
        <v>6569</v>
      </c>
      <c r="AE63" s="550">
        <v>6596</v>
      </c>
      <c r="AF63" s="778">
        <f t="shared" si="0"/>
        <v>1.0151790433223031</v>
      </c>
    </row>
    <row r="64" spans="3:32">
      <c r="C64" s="549" t="s">
        <v>254</v>
      </c>
      <c r="D64" s="549">
        <v>2202737</v>
      </c>
      <c r="E64" s="549" t="s">
        <v>314</v>
      </c>
      <c r="F64" s="550">
        <v>3024</v>
      </c>
      <c r="G64" s="550">
        <v>3456</v>
      </c>
      <c r="H64" s="550">
        <v>3433</v>
      </c>
      <c r="I64" s="550">
        <v>3398</v>
      </c>
      <c r="J64" s="550">
        <v>3325</v>
      </c>
      <c r="K64" s="550">
        <v>3192</v>
      </c>
      <c r="L64" s="550">
        <v>3153</v>
      </c>
      <c r="M64" s="550">
        <v>3907</v>
      </c>
      <c r="N64" s="550">
        <v>3797</v>
      </c>
      <c r="O64" s="550">
        <v>3955</v>
      </c>
      <c r="P64" s="550">
        <v>3811</v>
      </c>
      <c r="Q64" s="550">
        <v>3842</v>
      </c>
      <c r="R64" s="550">
        <v>3872</v>
      </c>
      <c r="S64" s="550">
        <v>3901</v>
      </c>
      <c r="T64" s="550">
        <v>3916</v>
      </c>
      <c r="U64" s="550">
        <v>3930</v>
      </c>
      <c r="V64" s="550">
        <v>3942</v>
      </c>
      <c r="W64" s="550">
        <v>3953</v>
      </c>
      <c r="X64" s="550">
        <v>4007</v>
      </c>
      <c r="Y64" s="550">
        <v>4020</v>
      </c>
      <c r="Z64" s="550">
        <v>4032</v>
      </c>
      <c r="AA64" s="550">
        <v>4044</v>
      </c>
      <c r="AB64" s="550">
        <v>4117</v>
      </c>
      <c r="AC64" s="550"/>
      <c r="AD64" s="550">
        <v>4233</v>
      </c>
      <c r="AE64" s="550">
        <v>4249</v>
      </c>
      <c r="AF64" s="778">
        <f t="shared" si="0"/>
        <v>1.0136970853190665</v>
      </c>
    </row>
    <row r="65" spans="3:32">
      <c r="C65" s="549" t="s">
        <v>254</v>
      </c>
      <c r="D65" s="549">
        <v>2202752</v>
      </c>
      <c r="E65" s="549" t="s">
        <v>315</v>
      </c>
      <c r="F65" s="550">
        <v>4926</v>
      </c>
      <c r="G65" s="550">
        <v>5109</v>
      </c>
      <c r="H65" s="550">
        <v>5187</v>
      </c>
      <c r="I65" s="550">
        <v>5268</v>
      </c>
      <c r="J65" s="550">
        <v>5439</v>
      </c>
      <c r="K65" s="550">
        <v>5533</v>
      </c>
      <c r="L65" s="550">
        <v>5627</v>
      </c>
      <c r="M65" s="550">
        <v>5865</v>
      </c>
      <c r="N65" s="550">
        <v>5700</v>
      </c>
      <c r="O65" s="550">
        <v>5947</v>
      </c>
      <c r="P65" s="550">
        <v>6036</v>
      </c>
      <c r="Q65" s="550">
        <v>6115</v>
      </c>
      <c r="R65" s="550">
        <v>6191</v>
      </c>
      <c r="S65" s="550">
        <v>6238</v>
      </c>
      <c r="T65" s="550">
        <v>6278</v>
      </c>
      <c r="U65" s="550">
        <v>6314</v>
      </c>
      <c r="V65" s="550">
        <v>6345</v>
      </c>
      <c r="W65" s="550">
        <v>6372</v>
      </c>
      <c r="X65" s="550">
        <v>6451</v>
      </c>
      <c r="Y65" s="550">
        <v>6484</v>
      </c>
      <c r="Z65" s="550">
        <v>6516</v>
      </c>
      <c r="AA65" s="550">
        <v>6545</v>
      </c>
      <c r="AB65" s="550">
        <v>6150</v>
      </c>
      <c r="AC65" s="550"/>
      <c r="AD65" s="550">
        <v>6287</v>
      </c>
      <c r="AE65" s="550">
        <v>6294</v>
      </c>
      <c r="AF65" s="778">
        <f t="shared" si="0"/>
        <v>1.0098509845895816</v>
      </c>
    </row>
    <row r="66" spans="3:32">
      <c r="C66" s="549" t="s">
        <v>254</v>
      </c>
      <c r="D66" s="549">
        <v>2202778</v>
      </c>
      <c r="E66" s="549" t="s">
        <v>316</v>
      </c>
      <c r="F66" s="550">
        <v>7007</v>
      </c>
      <c r="G66" s="550">
        <v>7292</v>
      </c>
      <c r="H66" s="550">
        <v>7318</v>
      </c>
      <c r="I66" s="550">
        <v>7349</v>
      </c>
      <c r="J66" s="550">
        <v>7414</v>
      </c>
      <c r="K66" s="550">
        <v>7450</v>
      </c>
      <c r="L66" s="550">
        <v>7485</v>
      </c>
      <c r="M66" s="550">
        <v>7882</v>
      </c>
      <c r="N66" s="550">
        <v>7662</v>
      </c>
      <c r="O66" s="550">
        <v>7940</v>
      </c>
      <c r="P66" s="550">
        <v>7433</v>
      </c>
      <c r="Q66" s="550">
        <v>7447</v>
      </c>
      <c r="R66" s="550">
        <v>7461</v>
      </c>
      <c r="S66" s="550">
        <v>7515</v>
      </c>
      <c r="T66" s="550">
        <v>7522</v>
      </c>
      <c r="U66" s="550">
        <v>7527</v>
      </c>
      <c r="V66" s="550">
        <v>7532</v>
      </c>
      <c r="W66" s="550">
        <v>7536</v>
      </c>
      <c r="X66" s="550">
        <v>7651</v>
      </c>
      <c r="Y66" s="550">
        <v>7656</v>
      </c>
      <c r="Z66" s="550">
        <v>7661</v>
      </c>
      <c r="AA66" s="550">
        <v>7665</v>
      </c>
      <c r="AB66" s="550">
        <v>6994</v>
      </c>
      <c r="AC66" s="550"/>
      <c r="AD66" s="550">
        <v>7088</v>
      </c>
      <c r="AE66" s="550">
        <v>7067</v>
      </c>
      <c r="AF66" s="778">
        <f t="shared" si="0"/>
        <v>1.000341114659191</v>
      </c>
    </row>
    <row r="67" spans="3:32">
      <c r="C67" s="549" t="s">
        <v>254</v>
      </c>
      <c r="D67" s="549">
        <v>2202802</v>
      </c>
      <c r="E67" s="549" t="s">
        <v>317</v>
      </c>
      <c r="F67" s="550">
        <v>4659</v>
      </c>
      <c r="G67" s="550">
        <v>5017</v>
      </c>
      <c r="H67" s="550">
        <v>5102</v>
      </c>
      <c r="I67" s="550">
        <v>5183</v>
      </c>
      <c r="J67" s="550">
        <v>5318</v>
      </c>
      <c r="K67" s="550">
        <v>5412</v>
      </c>
      <c r="L67" s="550">
        <v>5506</v>
      </c>
      <c r="M67" s="550">
        <v>5064</v>
      </c>
      <c r="N67" s="550">
        <v>4923</v>
      </c>
      <c r="O67" s="550">
        <v>5077</v>
      </c>
      <c r="P67" s="550">
        <v>4475</v>
      </c>
      <c r="Q67" s="550">
        <v>4486</v>
      </c>
      <c r="R67" s="550">
        <v>4496</v>
      </c>
      <c r="S67" s="550">
        <v>4528</v>
      </c>
      <c r="T67" s="550">
        <v>4532</v>
      </c>
      <c r="U67" s="550">
        <v>4536</v>
      </c>
      <c r="V67" s="550">
        <v>4540</v>
      </c>
      <c r="W67" s="550">
        <v>4726</v>
      </c>
      <c r="X67" s="550">
        <v>4798</v>
      </c>
      <c r="Y67" s="550">
        <v>4803</v>
      </c>
      <c r="Z67" s="550">
        <v>4807</v>
      </c>
      <c r="AA67" s="550">
        <v>4811</v>
      </c>
      <c r="AB67" s="550">
        <v>4932</v>
      </c>
      <c r="AC67" s="550"/>
      <c r="AD67" s="550">
        <v>5063</v>
      </c>
      <c r="AE67" s="550">
        <v>5078</v>
      </c>
      <c r="AF67" s="778">
        <f t="shared" si="0"/>
        <v>1.0034506056980137</v>
      </c>
    </row>
    <row r="68" spans="3:32">
      <c r="C68" s="549" t="s">
        <v>254</v>
      </c>
      <c r="D68" s="549">
        <v>2202851</v>
      </c>
      <c r="E68" s="549" t="s">
        <v>318</v>
      </c>
      <c r="F68" s="550">
        <v>3518</v>
      </c>
      <c r="G68" s="550">
        <v>4438</v>
      </c>
      <c r="H68" s="550">
        <v>4452</v>
      </c>
      <c r="I68" s="550">
        <v>4470</v>
      </c>
      <c r="J68" s="550">
        <v>4506</v>
      </c>
      <c r="K68" s="550">
        <v>4527</v>
      </c>
      <c r="L68" s="550">
        <v>4547</v>
      </c>
      <c r="M68" s="550">
        <v>4481</v>
      </c>
      <c r="N68" s="550">
        <v>4356</v>
      </c>
      <c r="O68" s="550">
        <v>4484</v>
      </c>
      <c r="P68" s="550">
        <v>4541</v>
      </c>
      <c r="Q68" s="550">
        <v>4551</v>
      </c>
      <c r="R68" s="550">
        <v>4561</v>
      </c>
      <c r="S68" s="550">
        <v>4594</v>
      </c>
      <c r="T68" s="550">
        <v>4598</v>
      </c>
      <c r="U68" s="550">
        <v>4602</v>
      </c>
      <c r="V68" s="550">
        <v>4605</v>
      </c>
      <c r="W68" s="550">
        <v>4608</v>
      </c>
      <c r="X68" s="550">
        <v>4678</v>
      </c>
      <c r="Y68" s="550">
        <v>4682</v>
      </c>
      <c r="Z68" s="550">
        <v>4685</v>
      </c>
      <c r="AA68" s="550">
        <v>4688</v>
      </c>
      <c r="AB68" s="550">
        <v>4250</v>
      </c>
      <c r="AC68" s="550"/>
      <c r="AD68" s="550">
        <v>4305</v>
      </c>
      <c r="AE68" s="550">
        <v>4291</v>
      </c>
      <c r="AF68" s="778">
        <f t="shared" si="0"/>
        <v>1.0079767323410405</v>
      </c>
    </row>
    <row r="69" spans="3:32">
      <c r="C69" s="549" t="s">
        <v>254</v>
      </c>
      <c r="D69" s="549">
        <v>2202901</v>
      </c>
      <c r="E69" s="549" t="s">
        <v>319</v>
      </c>
      <c r="F69" s="550">
        <v>20462</v>
      </c>
      <c r="G69" s="550">
        <v>23507</v>
      </c>
      <c r="H69" s="550">
        <v>23696</v>
      </c>
      <c r="I69" s="550">
        <v>23914</v>
      </c>
      <c r="J69" s="550">
        <v>24372</v>
      </c>
      <c r="K69" s="550">
        <v>24625</v>
      </c>
      <c r="L69" s="550">
        <v>24876</v>
      </c>
      <c r="M69" s="550">
        <v>25223</v>
      </c>
      <c r="N69" s="550">
        <v>24518</v>
      </c>
      <c r="O69" s="550">
        <v>25406</v>
      </c>
      <c r="P69" s="550">
        <v>25407</v>
      </c>
      <c r="Q69" s="550">
        <v>25575</v>
      </c>
      <c r="R69" s="550">
        <v>25737</v>
      </c>
      <c r="S69" s="550">
        <v>25927</v>
      </c>
      <c r="T69" s="550">
        <v>26011</v>
      </c>
      <c r="U69" s="550">
        <v>26084</v>
      </c>
      <c r="V69" s="550">
        <v>26149</v>
      </c>
      <c r="W69" s="550">
        <v>26205</v>
      </c>
      <c r="X69" s="550">
        <v>26575</v>
      </c>
      <c r="Y69" s="550">
        <v>26644</v>
      </c>
      <c r="Z69" s="550">
        <v>26709</v>
      </c>
      <c r="AA69" s="550">
        <v>26771</v>
      </c>
      <c r="AB69" s="550">
        <v>27278</v>
      </c>
      <c r="AC69" s="550"/>
      <c r="AD69" s="550">
        <v>28275</v>
      </c>
      <c r="AE69" s="550">
        <v>28381</v>
      </c>
      <c r="AF69" s="778">
        <f t="shared" si="0"/>
        <v>1.0131720126049553</v>
      </c>
    </row>
    <row r="70" spans="3:32">
      <c r="C70" s="549" t="s">
        <v>254</v>
      </c>
      <c r="D70" s="549">
        <v>2203008</v>
      </c>
      <c r="E70" s="549" t="s">
        <v>320</v>
      </c>
      <c r="F70" s="550">
        <v>6294</v>
      </c>
      <c r="G70" s="550">
        <v>6555</v>
      </c>
      <c r="H70" s="550">
        <v>6605</v>
      </c>
      <c r="I70" s="550">
        <v>6656</v>
      </c>
      <c r="J70" s="550">
        <v>6765</v>
      </c>
      <c r="K70" s="550">
        <v>6825</v>
      </c>
      <c r="L70" s="550">
        <v>6885</v>
      </c>
      <c r="M70" s="550">
        <v>8026</v>
      </c>
      <c r="N70" s="550">
        <v>7800</v>
      </c>
      <c r="O70" s="550">
        <v>8177</v>
      </c>
      <c r="P70" s="550">
        <v>7831</v>
      </c>
      <c r="Q70" s="550">
        <v>7904</v>
      </c>
      <c r="R70" s="550">
        <v>7973</v>
      </c>
      <c r="S70" s="550">
        <v>8033</v>
      </c>
      <c r="T70" s="550">
        <v>8069</v>
      </c>
      <c r="U70" s="550">
        <v>8102</v>
      </c>
      <c r="V70" s="550">
        <v>8130</v>
      </c>
      <c r="W70" s="550">
        <v>8154</v>
      </c>
      <c r="X70" s="550">
        <v>8264</v>
      </c>
      <c r="Y70" s="550">
        <v>8294</v>
      </c>
      <c r="Z70" s="550">
        <v>8323</v>
      </c>
      <c r="AA70" s="550">
        <v>8350</v>
      </c>
      <c r="AB70" s="550">
        <v>7356</v>
      </c>
      <c r="AC70" s="550"/>
      <c r="AD70" s="550">
        <v>7454</v>
      </c>
      <c r="AE70" s="550">
        <v>7431</v>
      </c>
      <c r="AF70" s="778">
        <f t="shared" ref="AF70:AF133" si="1">(AE70/F70)^(1/($AE$4-$F$4))</f>
        <v>1.006664656257348</v>
      </c>
    </row>
    <row r="71" spans="3:32">
      <c r="C71" s="549" t="s">
        <v>254</v>
      </c>
      <c r="D71" s="549">
        <v>2203107</v>
      </c>
      <c r="E71" s="549" t="s">
        <v>321</v>
      </c>
      <c r="F71" s="550">
        <v>8437</v>
      </c>
      <c r="G71" s="550">
        <v>9389</v>
      </c>
      <c r="H71" s="550">
        <v>9473</v>
      </c>
      <c r="I71" s="550">
        <v>9567</v>
      </c>
      <c r="J71" s="550">
        <v>9766</v>
      </c>
      <c r="K71" s="550">
        <v>9875</v>
      </c>
      <c r="L71" s="550">
        <v>9984</v>
      </c>
      <c r="M71" s="550">
        <v>9791</v>
      </c>
      <c r="N71" s="550">
        <v>9518</v>
      </c>
      <c r="O71" s="550">
        <v>9836</v>
      </c>
      <c r="P71" s="550">
        <v>9981</v>
      </c>
      <c r="Q71" s="550">
        <v>10036</v>
      </c>
      <c r="R71" s="550">
        <v>10089</v>
      </c>
      <c r="S71" s="550">
        <v>10164</v>
      </c>
      <c r="T71" s="550">
        <v>10191</v>
      </c>
      <c r="U71" s="550">
        <v>10214</v>
      </c>
      <c r="V71" s="550">
        <v>10235</v>
      </c>
      <c r="W71" s="550">
        <v>10253</v>
      </c>
      <c r="X71" s="550">
        <v>10401</v>
      </c>
      <c r="Y71" s="550">
        <v>10423</v>
      </c>
      <c r="Z71" s="550">
        <v>10444</v>
      </c>
      <c r="AA71" s="550">
        <v>10464</v>
      </c>
      <c r="AB71" s="550">
        <v>10503</v>
      </c>
      <c r="AC71" s="550"/>
      <c r="AD71" s="550">
        <v>10772</v>
      </c>
      <c r="AE71" s="550">
        <v>10801</v>
      </c>
      <c r="AF71" s="778">
        <f t="shared" si="1"/>
        <v>1.0099294501634297</v>
      </c>
    </row>
    <row r="72" spans="3:32">
      <c r="C72" s="549" t="s">
        <v>254</v>
      </c>
      <c r="D72" s="549">
        <v>2203206</v>
      </c>
      <c r="E72" s="549" t="s">
        <v>322</v>
      </c>
      <c r="F72" s="550">
        <v>8414</v>
      </c>
      <c r="G72" s="550">
        <v>9695</v>
      </c>
      <c r="H72" s="550">
        <v>9829</v>
      </c>
      <c r="I72" s="550">
        <v>9973</v>
      </c>
      <c r="J72" s="550">
        <v>10281</v>
      </c>
      <c r="K72" s="550">
        <v>10448</v>
      </c>
      <c r="L72" s="550">
        <v>10615</v>
      </c>
      <c r="M72" s="550">
        <v>10658</v>
      </c>
      <c r="N72" s="550">
        <v>10360</v>
      </c>
      <c r="O72" s="550">
        <v>10765</v>
      </c>
      <c r="P72" s="550">
        <v>10761</v>
      </c>
      <c r="Q72" s="550">
        <v>10857</v>
      </c>
      <c r="R72" s="550">
        <v>10948</v>
      </c>
      <c r="S72" s="550">
        <v>11030</v>
      </c>
      <c r="T72" s="550">
        <v>11078</v>
      </c>
      <c r="U72" s="550">
        <v>11121</v>
      </c>
      <c r="V72" s="550">
        <v>11158</v>
      </c>
      <c r="W72" s="550">
        <v>11190</v>
      </c>
      <c r="X72" s="550">
        <v>11348</v>
      </c>
      <c r="Y72" s="550">
        <v>11388</v>
      </c>
      <c r="Z72" s="550">
        <v>11426</v>
      </c>
      <c r="AA72" s="550">
        <v>11461</v>
      </c>
      <c r="AB72" s="550">
        <v>11270</v>
      </c>
      <c r="AC72" s="550"/>
      <c r="AD72" s="550">
        <v>11552</v>
      </c>
      <c r="AE72" s="550">
        <v>11581</v>
      </c>
      <c r="AF72" s="778">
        <f t="shared" si="1"/>
        <v>1.0128607507342791</v>
      </c>
    </row>
    <row r="73" spans="3:32">
      <c r="C73" s="549" t="s">
        <v>254</v>
      </c>
      <c r="D73" s="549">
        <v>2203230</v>
      </c>
      <c r="E73" s="549" t="s">
        <v>323</v>
      </c>
      <c r="F73" s="550">
        <v>4029</v>
      </c>
      <c r="G73" s="550">
        <v>4276</v>
      </c>
      <c r="H73" s="550">
        <v>4309</v>
      </c>
      <c r="I73" s="550">
        <v>4345</v>
      </c>
      <c r="J73" s="550">
        <v>4420</v>
      </c>
      <c r="K73" s="550">
        <v>4462</v>
      </c>
      <c r="L73" s="550">
        <v>4503</v>
      </c>
      <c r="M73" s="550">
        <v>4669</v>
      </c>
      <c r="N73" s="550">
        <v>4538</v>
      </c>
      <c r="O73" s="550">
        <v>4710</v>
      </c>
      <c r="P73" s="550">
        <v>4704</v>
      </c>
      <c r="Q73" s="550">
        <v>4741</v>
      </c>
      <c r="R73" s="550">
        <v>4776</v>
      </c>
      <c r="S73" s="550">
        <v>4811</v>
      </c>
      <c r="T73" s="550">
        <v>4829</v>
      </c>
      <c r="U73" s="550">
        <v>4845</v>
      </c>
      <c r="V73" s="550">
        <v>4859</v>
      </c>
      <c r="W73" s="550">
        <v>4871</v>
      </c>
      <c r="X73" s="550">
        <v>4939</v>
      </c>
      <c r="Y73" s="550">
        <v>4954</v>
      </c>
      <c r="Z73" s="550">
        <v>4968</v>
      </c>
      <c r="AA73" s="550">
        <v>4982</v>
      </c>
      <c r="AB73" s="550">
        <v>4854</v>
      </c>
      <c r="AC73" s="550"/>
      <c r="AD73" s="550">
        <v>4968</v>
      </c>
      <c r="AE73" s="550">
        <v>4977</v>
      </c>
      <c r="AF73" s="778">
        <f t="shared" si="1"/>
        <v>1.0084881858291024</v>
      </c>
    </row>
    <row r="74" spans="3:32">
      <c r="C74" s="549" t="s">
        <v>254</v>
      </c>
      <c r="D74" s="549">
        <v>2203255</v>
      </c>
      <c r="E74" s="549" t="s">
        <v>324</v>
      </c>
      <c r="F74" s="550">
        <v>3259</v>
      </c>
      <c r="G74" s="550">
        <v>3736</v>
      </c>
      <c r="H74" s="550">
        <v>3803</v>
      </c>
      <c r="I74" s="550">
        <v>3878</v>
      </c>
      <c r="J74" s="550">
        <v>4035</v>
      </c>
      <c r="K74" s="550">
        <v>4122</v>
      </c>
      <c r="L74" s="550">
        <v>4209</v>
      </c>
      <c r="M74" s="550">
        <v>4189</v>
      </c>
      <c r="N74" s="550">
        <v>4072</v>
      </c>
      <c r="O74" s="550">
        <v>4242</v>
      </c>
      <c r="P74" s="550">
        <v>4183</v>
      </c>
      <c r="Q74" s="550">
        <v>4225</v>
      </c>
      <c r="R74" s="550">
        <v>4265</v>
      </c>
      <c r="S74" s="550">
        <v>4297</v>
      </c>
      <c r="T74" s="550">
        <v>4318</v>
      </c>
      <c r="U74" s="550">
        <v>4337</v>
      </c>
      <c r="V74" s="550">
        <v>4353</v>
      </c>
      <c r="W74" s="550">
        <v>4367</v>
      </c>
      <c r="X74" s="550">
        <v>4425</v>
      </c>
      <c r="Y74" s="550">
        <v>4443</v>
      </c>
      <c r="Z74" s="550">
        <v>4459</v>
      </c>
      <c r="AA74" s="550">
        <v>4475</v>
      </c>
      <c r="AB74" s="550">
        <v>4413</v>
      </c>
      <c r="AC74" s="550"/>
      <c r="AD74" s="550">
        <v>4527</v>
      </c>
      <c r="AE74" s="550">
        <v>4555</v>
      </c>
      <c r="AF74" s="778">
        <f t="shared" si="1"/>
        <v>1.0134822824765872</v>
      </c>
    </row>
    <row r="75" spans="3:32">
      <c r="C75" s="549" t="s">
        <v>254</v>
      </c>
      <c r="D75" s="549">
        <v>2203271</v>
      </c>
      <c r="E75" s="549" t="s">
        <v>325</v>
      </c>
      <c r="F75" s="550">
        <v>4052</v>
      </c>
      <c r="G75" s="550">
        <v>4158</v>
      </c>
      <c r="H75" s="550">
        <v>4121</v>
      </c>
      <c r="I75" s="550">
        <v>4075</v>
      </c>
      <c r="J75" s="550">
        <v>3978</v>
      </c>
      <c r="K75" s="550">
        <v>3924</v>
      </c>
      <c r="L75" s="550">
        <v>3871</v>
      </c>
      <c r="M75" s="550">
        <v>5040</v>
      </c>
      <c r="N75" s="550">
        <v>4898</v>
      </c>
      <c r="O75" s="550">
        <v>5119</v>
      </c>
      <c r="P75" s="550">
        <v>4869</v>
      </c>
      <c r="Q75" s="550">
        <v>4931</v>
      </c>
      <c r="R75" s="550">
        <v>4990</v>
      </c>
      <c r="S75" s="550">
        <v>5027</v>
      </c>
      <c r="T75" s="550">
        <v>5059</v>
      </c>
      <c r="U75" s="550">
        <v>5086</v>
      </c>
      <c r="V75" s="550">
        <v>5152</v>
      </c>
      <c r="W75" s="550">
        <v>5251</v>
      </c>
      <c r="X75" s="550">
        <v>5316</v>
      </c>
      <c r="Y75" s="550">
        <v>5343</v>
      </c>
      <c r="Z75" s="550">
        <v>5367</v>
      </c>
      <c r="AA75" s="550">
        <v>5390</v>
      </c>
      <c r="AB75" s="550">
        <v>5073</v>
      </c>
      <c r="AC75" s="550"/>
      <c r="AD75" s="550">
        <v>5185</v>
      </c>
      <c r="AE75" s="550">
        <v>5191</v>
      </c>
      <c r="AF75" s="778">
        <f t="shared" si="1"/>
        <v>1.0099578838429586</v>
      </c>
    </row>
    <row r="76" spans="3:32">
      <c r="C76" s="549" t="s">
        <v>254</v>
      </c>
      <c r="D76" s="549">
        <v>2203305</v>
      </c>
      <c r="E76" s="549" t="s">
        <v>326</v>
      </c>
      <c r="F76" s="550">
        <v>12182</v>
      </c>
      <c r="G76" s="550">
        <v>12744</v>
      </c>
      <c r="H76" s="550">
        <v>12909</v>
      </c>
      <c r="I76" s="550">
        <v>13105</v>
      </c>
      <c r="J76" s="550">
        <v>13514</v>
      </c>
      <c r="K76" s="550">
        <v>13741</v>
      </c>
      <c r="L76" s="550">
        <v>13966</v>
      </c>
      <c r="M76" s="550">
        <v>13173</v>
      </c>
      <c r="N76" s="550">
        <v>12806</v>
      </c>
      <c r="O76" s="550">
        <v>13232</v>
      </c>
      <c r="P76" s="550">
        <v>13278</v>
      </c>
      <c r="Q76" s="550">
        <v>13339</v>
      </c>
      <c r="R76" s="550">
        <v>13398</v>
      </c>
      <c r="S76" s="550">
        <v>13496</v>
      </c>
      <c r="T76" s="550">
        <v>13526</v>
      </c>
      <c r="U76" s="550">
        <v>13552</v>
      </c>
      <c r="V76" s="550">
        <v>13575</v>
      </c>
      <c r="W76" s="550">
        <v>13595</v>
      </c>
      <c r="X76" s="550">
        <v>13793</v>
      </c>
      <c r="Y76" s="550">
        <v>13817</v>
      </c>
      <c r="Z76" s="550">
        <v>13840</v>
      </c>
      <c r="AA76" s="550">
        <v>13862</v>
      </c>
      <c r="AB76" s="550">
        <v>16352</v>
      </c>
      <c r="AC76" s="550"/>
      <c r="AD76" s="550">
        <v>16998</v>
      </c>
      <c r="AE76" s="550">
        <v>17139</v>
      </c>
      <c r="AF76" s="778">
        <f t="shared" si="1"/>
        <v>1.0137495521176039</v>
      </c>
    </row>
    <row r="77" spans="3:32">
      <c r="C77" s="549" t="s">
        <v>254</v>
      </c>
      <c r="D77" s="549">
        <v>2203354</v>
      </c>
      <c r="E77" s="549" t="s">
        <v>327</v>
      </c>
      <c r="F77" s="550">
        <v>6477</v>
      </c>
      <c r="G77" s="550">
        <v>6062</v>
      </c>
      <c r="H77" s="550">
        <v>6058</v>
      </c>
      <c r="I77" s="550">
        <v>6054</v>
      </c>
      <c r="J77" s="550">
        <v>6045</v>
      </c>
      <c r="K77" s="550">
        <v>6041</v>
      </c>
      <c r="L77" s="550">
        <v>6036</v>
      </c>
      <c r="M77" s="550">
        <v>6915</v>
      </c>
      <c r="N77" s="550">
        <v>6721</v>
      </c>
      <c r="O77" s="550">
        <v>6996</v>
      </c>
      <c r="P77" s="550">
        <v>6675</v>
      </c>
      <c r="Q77" s="550">
        <v>6722</v>
      </c>
      <c r="R77" s="550">
        <v>6767</v>
      </c>
      <c r="S77" s="550">
        <v>6818</v>
      </c>
      <c r="T77" s="550">
        <v>6841</v>
      </c>
      <c r="U77" s="550">
        <v>6862</v>
      </c>
      <c r="V77" s="550">
        <v>6880</v>
      </c>
      <c r="W77" s="550">
        <v>6896</v>
      </c>
      <c r="X77" s="550">
        <v>6992</v>
      </c>
      <c r="Y77" s="550">
        <v>7011</v>
      </c>
      <c r="Z77" s="550">
        <v>7029</v>
      </c>
      <c r="AA77" s="550">
        <v>7046</v>
      </c>
      <c r="AB77" s="550">
        <v>7054</v>
      </c>
      <c r="AC77" s="550"/>
      <c r="AD77" s="550">
        <v>7238</v>
      </c>
      <c r="AE77" s="550">
        <v>7259</v>
      </c>
      <c r="AF77" s="778">
        <f t="shared" si="1"/>
        <v>1.0045697953370261</v>
      </c>
    </row>
    <row r="78" spans="3:32">
      <c r="C78" s="549" t="s">
        <v>254</v>
      </c>
      <c r="D78" s="549">
        <v>2203404</v>
      </c>
      <c r="E78" s="549" t="s">
        <v>328</v>
      </c>
      <c r="F78" s="550">
        <v>6475</v>
      </c>
      <c r="G78" s="550">
        <v>6070</v>
      </c>
      <c r="H78" s="550">
        <v>6143</v>
      </c>
      <c r="I78" s="550">
        <v>6230</v>
      </c>
      <c r="J78" s="550">
        <v>6414</v>
      </c>
      <c r="K78" s="550">
        <v>6515</v>
      </c>
      <c r="L78" s="550">
        <v>6616</v>
      </c>
      <c r="M78" s="550">
        <v>6721</v>
      </c>
      <c r="N78" s="550">
        <v>6532</v>
      </c>
      <c r="O78" s="550">
        <v>6793</v>
      </c>
      <c r="P78" s="550">
        <v>6569</v>
      </c>
      <c r="Q78" s="550">
        <v>6617</v>
      </c>
      <c r="R78" s="550">
        <v>6662</v>
      </c>
      <c r="S78" s="550">
        <v>6712</v>
      </c>
      <c r="T78" s="550">
        <v>6735</v>
      </c>
      <c r="U78" s="550">
        <v>6756</v>
      </c>
      <c r="V78" s="550">
        <v>6774</v>
      </c>
      <c r="W78" s="550">
        <v>6790</v>
      </c>
      <c r="X78" s="550">
        <v>6884</v>
      </c>
      <c r="Y78" s="550">
        <v>6904</v>
      </c>
      <c r="Z78" s="550">
        <v>6922</v>
      </c>
      <c r="AA78" s="550">
        <v>6940</v>
      </c>
      <c r="AB78" s="550">
        <v>6320</v>
      </c>
      <c r="AC78" s="550"/>
      <c r="AD78" s="550">
        <v>6421</v>
      </c>
      <c r="AE78" s="550">
        <v>6410</v>
      </c>
      <c r="AF78" s="778">
        <f t="shared" si="1"/>
        <v>0.99959650795869637</v>
      </c>
    </row>
    <row r="79" spans="3:32">
      <c r="C79" s="549" t="s">
        <v>254</v>
      </c>
      <c r="D79" s="549">
        <v>2203420</v>
      </c>
      <c r="E79" s="549" t="s">
        <v>329</v>
      </c>
      <c r="F79" s="550">
        <v>4479</v>
      </c>
      <c r="G79" s="550">
        <v>4284</v>
      </c>
      <c r="H79" s="550">
        <v>4286</v>
      </c>
      <c r="I79" s="550">
        <v>4287</v>
      </c>
      <c r="J79" s="550">
        <v>4290</v>
      </c>
      <c r="K79" s="550">
        <v>4291</v>
      </c>
      <c r="L79" s="550">
        <v>4292</v>
      </c>
      <c r="M79" s="550">
        <v>4435</v>
      </c>
      <c r="N79" s="550">
        <v>4312</v>
      </c>
      <c r="O79" s="550">
        <v>4447</v>
      </c>
      <c r="P79" s="550">
        <v>4264</v>
      </c>
      <c r="Q79" s="550">
        <v>4263</v>
      </c>
      <c r="R79" s="550">
        <v>4261</v>
      </c>
      <c r="S79" s="550">
        <v>4292</v>
      </c>
      <c r="T79" s="550">
        <v>4291</v>
      </c>
      <c r="U79" s="550">
        <v>4290</v>
      </c>
      <c r="V79" s="550">
        <v>4288</v>
      </c>
      <c r="W79" s="550">
        <v>4287</v>
      </c>
      <c r="X79" s="550">
        <v>4356</v>
      </c>
      <c r="Y79" s="550">
        <v>4355</v>
      </c>
      <c r="Z79" s="550">
        <v>4354</v>
      </c>
      <c r="AA79" s="550">
        <v>4352</v>
      </c>
      <c r="AB79" s="550">
        <v>4075</v>
      </c>
      <c r="AC79" s="550"/>
      <c r="AD79" s="550">
        <v>4138</v>
      </c>
      <c r="AE79" s="550">
        <v>4129</v>
      </c>
      <c r="AF79" s="778">
        <f t="shared" si="1"/>
        <v>0.99675070799957532</v>
      </c>
    </row>
    <row r="80" spans="3:32">
      <c r="C80" s="549" t="s">
        <v>254</v>
      </c>
      <c r="D80" s="549">
        <v>2203453</v>
      </c>
      <c r="E80" s="549" t="s">
        <v>330</v>
      </c>
      <c r="F80" s="550">
        <v>7555</v>
      </c>
      <c r="G80" s="550">
        <v>9079</v>
      </c>
      <c r="H80" s="550">
        <v>9201</v>
      </c>
      <c r="I80" s="550">
        <v>9336</v>
      </c>
      <c r="J80" s="550">
        <v>9620</v>
      </c>
      <c r="K80" s="550">
        <v>9777</v>
      </c>
      <c r="L80" s="550">
        <v>9933</v>
      </c>
      <c r="M80" s="550">
        <v>10628</v>
      </c>
      <c r="N80" s="550">
        <v>10329</v>
      </c>
      <c r="O80" s="550">
        <v>10795</v>
      </c>
      <c r="P80" s="550">
        <v>9245</v>
      </c>
      <c r="Q80" s="550">
        <v>9271</v>
      </c>
      <c r="R80" s="550">
        <v>9296</v>
      </c>
      <c r="S80" s="550">
        <v>9364</v>
      </c>
      <c r="T80" s="550">
        <v>9376</v>
      </c>
      <c r="U80" s="550">
        <v>9387</v>
      </c>
      <c r="V80" s="550">
        <v>9396</v>
      </c>
      <c r="W80" s="550">
        <v>9404</v>
      </c>
      <c r="X80" s="550">
        <v>9546</v>
      </c>
      <c r="Y80" s="550">
        <v>9556</v>
      </c>
      <c r="Z80" s="550">
        <v>9565</v>
      </c>
      <c r="AA80" s="550">
        <v>9574</v>
      </c>
      <c r="AB80" s="550">
        <v>9159</v>
      </c>
      <c r="AC80" s="550"/>
      <c r="AD80" s="550">
        <v>9335</v>
      </c>
      <c r="AE80" s="550">
        <v>9332</v>
      </c>
      <c r="AF80" s="778">
        <f t="shared" si="1"/>
        <v>1.0084853888824581</v>
      </c>
    </row>
    <row r="81" spans="3:32">
      <c r="C81" s="549" t="s">
        <v>254</v>
      </c>
      <c r="D81" s="549">
        <v>2203503</v>
      </c>
      <c r="E81" s="549" t="s">
        <v>331</v>
      </c>
      <c r="F81" s="550">
        <v>14617</v>
      </c>
      <c r="G81" s="550">
        <v>14971</v>
      </c>
      <c r="H81" s="550">
        <v>14991</v>
      </c>
      <c r="I81" s="550">
        <v>14986</v>
      </c>
      <c r="J81" s="550">
        <v>15261</v>
      </c>
      <c r="K81" s="550">
        <v>15252</v>
      </c>
      <c r="L81" s="550">
        <v>15244</v>
      </c>
      <c r="M81" s="550">
        <v>14577</v>
      </c>
      <c r="N81" s="550">
        <v>14174</v>
      </c>
      <c r="O81" s="550">
        <v>14490</v>
      </c>
      <c r="P81" s="550">
        <v>14512</v>
      </c>
      <c r="Q81" s="550">
        <v>14452</v>
      </c>
      <c r="R81" s="550">
        <v>14394</v>
      </c>
      <c r="S81" s="550">
        <v>14496</v>
      </c>
      <c r="T81" s="550">
        <v>14462</v>
      </c>
      <c r="U81" s="550">
        <v>14432</v>
      </c>
      <c r="V81" s="550">
        <v>14406</v>
      </c>
      <c r="W81" s="550">
        <v>14383</v>
      </c>
      <c r="X81" s="550">
        <v>14630</v>
      </c>
      <c r="Y81" s="550">
        <v>14602</v>
      </c>
      <c r="Z81" s="550">
        <v>14575</v>
      </c>
      <c r="AA81" s="550">
        <v>14550</v>
      </c>
      <c r="AB81" s="550">
        <v>13607</v>
      </c>
      <c r="AC81" s="550"/>
      <c r="AD81" s="550">
        <v>13786</v>
      </c>
      <c r="AE81" s="550">
        <v>13743</v>
      </c>
      <c r="AF81" s="778">
        <f t="shared" si="1"/>
        <v>0.99753681338162314</v>
      </c>
    </row>
    <row r="82" spans="3:32">
      <c r="C82" s="549" t="s">
        <v>254</v>
      </c>
      <c r="D82" s="549">
        <v>2203602</v>
      </c>
      <c r="E82" s="549" t="s">
        <v>332</v>
      </c>
      <c r="F82" s="550">
        <v>4013</v>
      </c>
      <c r="G82" s="550">
        <v>4145</v>
      </c>
      <c r="H82" s="550">
        <v>4108</v>
      </c>
      <c r="I82" s="550">
        <v>4072</v>
      </c>
      <c r="J82" s="550">
        <v>3994</v>
      </c>
      <c r="K82" s="550">
        <v>3951</v>
      </c>
      <c r="L82" s="550">
        <v>3909</v>
      </c>
      <c r="M82" s="550">
        <v>4858</v>
      </c>
      <c r="N82" s="550">
        <v>4722</v>
      </c>
      <c r="O82" s="550">
        <v>4923</v>
      </c>
      <c r="P82" s="550">
        <v>4665</v>
      </c>
      <c r="Q82" s="550">
        <v>4702</v>
      </c>
      <c r="R82" s="550">
        <v>4738</v>
      </c>
      <c r="S82" s="550">
        <v>4773</v>
      </c>
      <c r="T82" s="550">
        <v>4791</v>
      </c>
      <c r="U82" s="550">
        <v>4807</v>
      </c>
      <c r="V82" s="550">
        <v>4822</v>
      </c>
      <c r="W82" s="550">
        <v>4834</v>
      </c>
      <c r="X82" s="550">
        <v>4900</v>
      </c>
      <c r="Y82" s="550">
        <v>4915</v>
      </c>
      <c r="Z82" s="550">
        <v>4930</v>
      </c>
      <c r="AA82" s="550">
        <v>4943</v>
      </c>
      <c r="AB82" s="550">
        <v>4377</v>
      </c>
      <c r="AC82" s="550"/>
      <c r="AD82" s="550">
        <v>4435</v>
      </c>
      <c r="AE82" s="550">
        <v>4421</v>
      </c>
      <c r="AF82" s="778">
        <f t="shared" si="1"/>
        <v>1.0038805829818951</v>
      </c>
    </row>
    <row r="83" spans="3:32">
      <c r="C83" s="549" t="s">
        <v>254</v>
      </c>
      <c r="D83" s="549">
        <v>2203701</v>
      </c>
      <c r="E83" s="549" t="s">
        <v>333</v>
      </c>
      <c r="F83" s="550">
        <v>33662</v>
      </c>
      <c r="G83" s="550">
        <v>34376</v>
      </c>
      <c r="H83" s="550">
        <v>34610</v>
      </c>
      <c r="I83" s="550">
        <v>34850</v>
      </c>
      <c r="J83" s="550">
        <v>35353</v>
      </c>
      <c r="K83" s="550">
        <v>35631</v>
      </c>
      <c r="L83" s="550">
        <v>35908</v>
      </c>
      <c r="M83" s="550">
        <v>37231</v>
      </c>
      <c r="N83" s="550">
        <v>36190</v>
      </c>
      <c r="O83" s="550">
        <v>37520</v>
      </c>
      <c r="P83" s="550">
        <v>37767</v>
      </c>
      <c r="Q83" s="550">
        <v>38049</v>
      </c>
      <c r="R83" s="550">
        <v>38322</v>
      </c>
      <c r="S83" s="550">
        <v>38607</v>
      </c>
      <c r="T83" s="550">
        <v>38749</v>
      </c>
      <c r="U83" s="550">
        <v>38874</v>
      </c>
      <c r="V83" s="550">
        <v>38983</v>
      </c>
      <c r="W83" s="550">
        <v>39078</v>
      </c>
      <c r="X83" s="550">
        <v>39621</v>
      </c>
      <c r="Y83" s="550">
        <v>39737</v>
      </c>
      <c r="Z83" s="550">
        <v>39848</v>
      </c>
      <c r="AA83" s="550">
        <v>39953</v>
      </c>
      <c r="AB83" s="550">
        <v>40970</v>
      </c>
      <c r="AC83" s="550"/>
      <c r="AD83" s="550">
        <v>42510</v>
      </c>
      <c r="AE83" s="550">
        <v>42710</v>
      </c>
      <c r="AF83" s="778">
        <f t="shared" si="1"/>
        <v>1.009568022841034</v>
      </c>
    </row>
    <row r="84" spans="3:32">
      <c r="C84" s="549" t="s">
        <v>254</v>
      </c>
      <c r="D84" s="549">
        <v>2203750</v>
      </c>
      <c r="E84" s="549" t="s">
        <v>334</v>
      </c>
      <c r="F84" s="550">
        <v>3927</v>
      </c>
      <c r="G84" s="550">
        <v>4659</v>
      </c>
      <c r="H84" s="550">
        <v>4652</v>
      </c>
      <c r="I84" s="550">
        <v>4637</v>
      </c>
      <c r="J84" s="550">
        <v>4604</v>
      </c>
      <c r="K84" s="550">
        <v>4587</v>
      </c>
      <c r="L84" s="550">
        <v>4569</v>
      </c>
      <c r="M84" s="550">
        <v>5339</v>
      </c>
      <c r="N84" s="550">
        <v>5190</v>
      </c>
      <c r="O84" s="550">
        <v>5402</v>
      </c>
      <c r="P84" s="550">
        <v>5074</v>
      </c>
      <c r="Q84" s="550">
        <v>5104</v>
      </c>
      <c r="R84" s="550">
        <v>5133</v>
      </c>
      <c r="S84" s="550">
        <v>5171</v>
      </c>
      <c r="T84" s="550">
        <v>5186</v>
      </c>
      <c r="U84" s="550">
        <v>5199</v>
      </c>
      <c r="V84" s="550">
        <v>5210</v>
      </c>
      <c r="W84" s="550">
        <v>5220</v>
      </c>
      <c r="X84" s="550">
        <v>5295</v>
      </c>
      <c r="Y84" s="550">
        <v>5307</v>
      </c>
      <c r="Z84" s="550">
        <v>5319</v>
      </c>
      <c r="AA84" s="550">
        <v>5330</v>
      </c>
      <c r="AB84" s="550">
        <v>5284</v>
      </c>
      <c r="AC84" s="550"/>
      <c r="AD84" s="550">
        <v>5414</v>
      </c>
      <c r="AE84" s="550">
        <v>5426</v>
      </c>
      <c r="AF84" s="778">
        <f t="shared" si="1"/>
        <v>1.0130170512422219</v>
      </c>
    </row>
    <row r="85" spans="3:32">
      <c r="C85" s="549" t="s">
        <v>254</v>
      </c>
      <c r="D85" s="549">
        <v>2203800</v>
      </c>
      <c r="E85" s="549" t="s">
        <v>335</v>
      </c>
      <c r="F85" s="550">
        <v>4015</v>
      </c>
      <c r="G85" s="550">
        <v>4322</v>
      </c>
      <c r="H85" s="550">
        <v>4271</v>
      </c>
      <c r="I85" s="550">
        <v>4225</v>
      </c>
      <c r="J85" s="550">
        <v>4127</v>
      </c>
      <c r="K85" s="550">
        <v>4073</v>
      </c>
      <c r="L85" s="550">
        <v>4019</v>
      </c>
      <c r="M85" s="550">
        <v>4596</v>
      </c>
      <c r="N85" s="550">
        <v>4468</v>
      </c>
      <c r="O85" s="550">
        <v>4615</v>
      </c>
      <c r="P85" s="550">
        <v>4366</v>
      </c>
      <c r="Q85" s="550">
        <v>4366</v>
      </c>
      <c r="R85" s="550">
        <v>4366</v>
      </c>
      <c r="S85" s="550">
        <v>4396</v>
      </c>
      <c r="T85" s="550">
        <v>4395</v>
      </c>
      <c r="U85" s="550">
        <v>4394</v>
      </c>
      <c r="V85" s="550">
        <v>4394</v>
      </c>
      <c r="W85" s="550">
        <v>4393</v>
      </c>
      <c r="X85" s="550">
        <v>4464</v>
      </c>
      <c r="Y85" s="550">
        <v>4463</v>
      </c>
      <c r="Z85" s="550">
        <v>4462</v>
      </c>
      <c r="AA85" s="550">
        <v>4461</v>
      </c>
      <c r="AB85" s="550">
        <v>4414</v>
      </c>
      <c r="AC85" s="550"/>
      <c r="AD85" s="550">
        <v>4508</v>
      </c>
      <c r="AE85" s="550">
        <v>4512</v>
      </c>
      <c r="AF85" s="778">
        <f t="shared" si="1"/>
        <v>1.0046790393491727</v>
      </c>
    </row>
    <row r="86" spans="3:32">
      <c r="C86" s="549" t="s">
        <v>254</v>
      </c>
      <c r="D86" s="549">
        <v>2203859</v>
      </c>
      <c r="E86" s="549" t="s">
        <v>336</v>
      </c>
      <c r="F86" s="550">
        <v>2279</v>
      </c>
      <c r="G86" s="550">
        <v>2426</v>
      </c>
      <c r="H86" s="550">
        <v>2436</v>
      </c>
      <c r="I86" s="550">
        <v>2445</v>
      </c>
      <c r="J86" s="550">
        <v>2464</v>
      </c>
      <c r="K86" s="550">
        <v>2474</v>
      </c>
      <c r="L86" s="550">
        <v>2485</v>
      </c>
      <c r="M86" s="550">
        <v>2624</v>
      </c>
      <c r="N86" s="550">
        <v>2551</v>
      </c>
      <c r="O86" s="550">
        <v>2643</v>
      </c>
      <c r="P86" s="550">
        <v>2482</v>
      </c>
      <c r="Q86" s="550">
        <v>2488</v>
      </c>
      <c r="R86" s="550">
        <v>2492</v>
      </c>
      <c r="S86" s="550">
        <v>2511</v>
      </c>
      <c r="T86" s="550">
        <v>2513</v>
      </c>
      <c r="U86" s="550">
        <v>2515</v>
      </c>
      <c r="V86" s="550">
        <v>2517</v>
      </c>
      <c r="W86" s="550">
        <v>2518</v>
      </c>
      <c r="X86" s="550">
        <v>2556</v>
      </c>
      <c r="Y86" s="550">
        <v>2558</v>
      </c>
      <c r="Z86" s="550">
        <v>2560</v>
      </c>
      <c r="AA86" s="550">
        <v>2561</v>
      </c>
      <c r="AB86" s="550">
        <v>2333</v>
      </c>
      <c r="AC86" s="550"/>
      <c r="AD86" s="550">
        <v>2364</v>
      </c>
      <c r="AE86" s="550">
        <v>2354</v>
      </c>
      <c r="AF86" s="778">
        <f t="shared" si="1"/>
        <v>1.0012960094383081</v>
      </c>
    </row>
    <row r="87" spans="3:32">
      <c r="C87" s="549" t="s">
        <v>254</v>
      </c>
      <c r="D87" s="549">
        <v>2203909</v>
      </c>
      <c r="E87" s="549" t="s">
        <v>337</v>
      </c>
      <c r="F87" s="550">
        <v>52648</v>
      </c>
      <c r="G87" s="550">
        <v>54962</v>
      </c>
      <c r="H87" s="550">
        <v>55243</v>
      </c>
      <c r="I87" s="550">
        <v>55545</v>
      </c>
      <c r="J87" s="550">
        <v>56180</v>
      </c>
      <c r="K87" s="550">
        <v>56531</v>
      </c>
      <c r="L87" s="550">
        <v>56880</v>
      </c>
      <c r="M87" s="550">
        <v>57700</v>
      </c>
      <c r="N87" s="550">
        <v>56090</v>
      </c>
      <c r="O87" s="550">
        <v>57968</v>
      </c>
      <c r="P87" s="550">
        <v>57690</v>
      </c>
      <c r="Q87" s="550">
        <v>57928</v>
      </c>
      <c r="R87" s="550">
        <v>58158</v>
      </c>
      <c r="S87" s="550">
        <v>58586</v>
      </c>
      <c r="T87" s="550">
        <v>58702</v>
      </c>
      <c r="U87" s="550">
        <v>58803</v>
      </c>
      <c r="V87" s="550">
        <v>58892</v>
      </c>
      <c r="W87" s="550">
        <v>58969</v>
      </c>
      <c r="X87" s="550">
        <v>59840</v>
      </c>
      <c r="Y87" s="550">
        <v>59935</v>
      </c>
      <c r="Z87" s="550">
        <v>60025</v>
      </c>
      <c r="AA87" s="550">
        <v>60111</v>
      </c>
      <c r="AB87" s="550">
        <v>62036</v>
      </c>
      <c r="AC87" s="550"/>
      <c r="AD87" s="550">
        <v>64150</v>
      </c>
      <c r="AE87" s="550">
        <v>64393</v>
      </c>
      <c r="AF87" s="778">
        <f t="shared" si="1"/>
        <v>1.0080875965531257</v>
      </c>
    </row>
    <row r="88" spans="3:32">
      <c r="C88" s="549" t="s">
        <v>254</v>
      </c>
      <c r="D88" s="549">
        <v>2204006</v>
      </c>
      <c r="E88" s="549" t="s">
        <v>338</v>
      </c>
      <c r="F88" s="550">
        <v>4551</v>
      </c>
      <c r="G88" s="550">
        <v>5247</v>
      </c>
      <c r="H88" s="550">
        <v>5242</v>
      </c>
      <c r="I88" s="550">
        <v>5236</v>
      </c>
      <c r="J88" s="550">
        <v>5225</v>
      </c>
      <c r="K88" s="550">
        <v>5218</v>
      </c>
      <c r="L88" s="550">
        <v>5212</v>
      </c>
      <c r="M88" s="550">
        <v>5443</v>
      </c>
      <c r="N88" s="550">
        <v>5292</v>
      </c>
      <c r="O88" s="550">
        <v>5458</v>
      </c>
      <c r="P88" s="550">
        <v>5235</v>
      </c>
      <c r="Q88" s="550">
        <v>5234</v>
      </c>
      <c r="R88" s="550">
        <v>5233</v>
      </c>
      <c r="S88" s="550">
        <v>5270</v>
      </c>
      <c r="T88" s="550">
        <v>5268</v>
      </c>
      <c r="U88" s="550">
        <v>5267</v>
      </c>
      <c r="V88" s="550">
        <v>5265</v>
      </c>
      <c r="W88" s="550">
        <v>5264</v>
      </c>
      <c r="X88" s="550">
        <v>5349</v>
      </c>
      <c r="Y88" s="550">
        <v>5348</v>
      </c>
      <c r="Z88" s="550">
        <v>5347</v>
      </c>
      <c r="AA88" s="550">
        <v>5345</v>
      </c>
      <c r="AB88" s="550">
        <v>4505</v>
      </c>
      <c r="AC88" s="550"/>
      <c r="AD88" s="550">
        <v>4517</v>
      </c>
      <c r="AE88" s="550">
        <v>4481</v>
      </c>
      <c r="AF88" s="778">
        <f t="shared" si="1"/>
        <v>0.99938016204973967</v>
      </c>
    </row>
    <row r="89" spans="3:32">
      <c r="C89" s="549" t="s">
        <v>254</v>
      </c>
      <c r="D89" s="549">
        <v>2204105</v>
      </c>
      <c r="E89" s="549" t="s">
        <v>339</v>
      </c>
      <c r="F89" s="550">
        <v>4959</v>
      </c>
      <c r="G89" s="550">
        <v>5263</v>
      </c>
      <c r="H89" s="550">
        <v>5280</v>
      </c>
      <c r="I89" s="550">
        <v>5300</v>
      </c>
      <c r="J89" s="550">
        <v>5343</v>
      </c>
      <c r="K89" s="550">
        <v>5366</v>
      </c>
      <c r="L89" s="550">
        <v>5390</v>
      </c>
      <c r="M89" s="550">
        <v>5160</v>
      </c>
      <c r="N89" s="550">
        <v>5017</v>
      </c>
      <c r="O89" s="550">
        <v>5147</v>
      </c>
      <c r="P89" s="550">
        <v>4477</v>
      </c>
      <c r="Q89" s="550">
        <v>4419</v>
      </c>
      <c r="R89" s="550">
        <v>4363</v>
      </c>
      <c r="S89" s="550">
        <v>4392</v>
      </c>
      <c r="T89" s="550">
        <v>4361</v>
      </c>
      <c r="U89" s="550">
        <v>4333</v>
      </c>
      <c r="V89" s="550">
        <v>4309</v>
      </c>
      <c r="W89" s="550">
        <v>4288</v>
      </c>
      <c r="X89" s="550">
        <v>4373</v>
      </c>
      <c r="Y89" s="550">
        <v>4348</v>
      </c>
      <c r="Z89" s="550">
        <v>4323</v>
      </c>
      <c r="AA89" s="550">
        <v>4300</v>
      </c>
      <c r="AB89" s="550">
        <v>4412</v>
      </c>
      <c r="AC89" s="550"/>
      <c r="AD89" s="550">
        <v>4494</v>
      </c>
      <c r="AE89" s="550">
        <v>4548</v>
      </c>
      <c r="AF89" s="778">
        <f t="shared" si="1"/>
        <v>0.99654531992183681</v>
      </c>
    </row>
    <row r="90" spans="3:32">
      <c r="C90" s="549" t="s">
        <v>254</v>
      </c>
      <c r="D90" s="549">
        <v>2204154</v>
      </c>
      <c r="E90" s="549" t="s">
        <v>340</v>
      </c>
      <c r="F90" s="550">
        <v>2094</v>
      </c>
      <c r="G90" s="550">
        <v>2363</v>
      </c>
      <c r="H90" s="550">
        <v>2383</v>
      </c>
      <c r="I90" s="550">
        <v>2405</v>
      </c>
      <c r="J90" s="550">
        <v>2450</v>
      </c>
      <c r="K90" s="550">
        <v>2475</v>
      </c>
      <c r="L90" s="550">
        <v>2500</v>
      </c>
      <c r="M90" s="550">
        <v>2319</v>
      </c>
      <c r="N90" s="550">
        <v>2255</v>
      </c>
      <c r="O90" s="550">
        <v>2315</v>
      </c>
      <c r="P90" s="550">
        <v>2879</v>
      </c>
      <c r="Q90" s="550">
        <v>2921</v>
      </c>
      <c r="R90" s="550">
        <v>2961</v>
      </c>
      <c r="S90" s="550">
        <v>2984</v>
      </c>
      <c r="T90" s="550">
        <v>3078</v>
      </c>
      <c r="U90" s="550">
        <v>3097</v>
      </c>
      <c r="V90" s="550">
        <v>3113</v>
      </c>
      <c r="W90" s="550">
        <v>3128</v>
      </c>
      <c r="X90" s="550">
        <v>3166</v>
      </c>
      <c r="Y90" s="550">
        <v>3184</v>
      </c>
      <c r="Z90" s="550">
        <v>3200</v>
      </c>
      <c r="AA90" s="550">
        <v>3216</v>
      </c>
      <c r="AB90" s="550">
        <v>2929</v>
      </c>
      <c r="AC90" s="550"/>
      <c r="AD90" s="550">
        <v>2986</v>
      </c>
      <c r="AE90" s="550">
        <v>2985</v>
      </c>
      <c r="AF90" s="778">
        <f t="shared" si="1"/>
        <v>1.014281971967709</v>
      </c>
    </row>
    <row r="91" spans="3:32">
      <c r="C91" s="549" t="s">
        <v>254</v>
      </c>
      <c r="D91" s="549">
        <v>2204204</v>
      </c>
      <c r="E91" s="549" t="s">
        <v>341</v>
      </c>
      <c r="F91" s="550">
        <v>6103</v>
      </c>
      <c r="G91" s="550">
        <v>7041</v>
      </c>
      <c r="H91" s="550">
        <v>7042</v>
      </c>
      <c r="I91" s="550">
        <v>7041</v>
      </c>
      <c r="J91" s="550">
        <v>7040</v>
      </c>
      <c r="K91" s="550">
        <v>7039</v>
      </c>
      <c r="L91" s="550">
        <v>7039</v>
      </c>
      <c r="M91" s="550">
        <v>8533</v>
      </c>
      <c r="N91" s="550">
        <v>8293</v>
      </c>
      <c r="O91" s="550">
        <v>8315</v>
      </c>
      <c r="P91" s="550">
        <v>8592</v>
      </c>
      <c r="Q91" s="550">
        <v>8727</v>
      </c>
      <c r="R91" s="550">
        <v>8857</v>
      </c>
      <c r="S91" s="550">
        <v>8924</v>
      </c>
      <c r="T91" s="550">
        <v>8993</v>
      </c>
      <c r="U91" s="550">
        <v>9054</v>
      </c>
      <c r="V91" s="550">
        <v>9108</v>
      </c>
      <c r="W91" s="550">
        <v>9154</v>
      </c>
      <c r="X91" s="550">
        <v>9262</v>
      </c>
      <c r="Y91" s="550">
        <v>9319</v>
      </c>
      <c r="Z91" s="550">
        <v>9372</v>
      </c>
      <c r="AA91" s="550">
        <v>9423</v>
      </c>
      <c r="AB91" s="550">
        <v>8237</v>
      </c>
      <c r="AC91" s="550"/>
      <c r="AD91" s="550">
        <v>8366</v>
      </c>
      <c r="AE91" s="550">
        <v>8349</v>
      </c>
      <c r="AF91" s="778">
        <f t="shared" si="1"/>
        <v>1.0126133382092739</v>
      </c>
    </row>
    <row r="92" spans="3:32">
      <c r="C92" s="549" t="s">
        <v>254</v>
      </c>
      <c r="D92" s="549">
        <v>2204303</v>
      </c>
      <c r="E92" s="549" t="s">
        <v>342</v>
      </c>
      <c r="F92" s="550">
        <v>9817</v>
      </c>
      <c r="G92" s="550">
        <v>10090</v>
      </c>
      <c r="H92" s="550">
        <v>10154</v>
      </c>
      <c r="I92" s="550">
        <v>10220</v>
      </c>
      <c r="J92" s="550">
        <v>10358</v>
      </c>
      <c r="K92" s="550">
        <v>10435</v>
      </c>
      <c r="L92" s="550">
        <v>10511</v>
      </c>
      <c r="M92" s="550">
        <v>11373</v>
      </c>
      <c r="N92" s="550">
        <v>11054</v>
      </c>
      <c r="O92" s="550">
        <v>11502</v>
      </c>
      <c r="P92" s="550">
        <v>11117</v>
      </c>
      <c r="Q92" s="550">
        <v>11202</v>
      </c>
      <c r="R92" s="550">
        <v>11284</v>
      </c>
      <c r="S92" s="550">
        <v>11368</v>
      </c>
      <c r="T92" s="550">
        <v>11411</v>
      </c>
      <c r="U92" s="550">
        <v>11372</v>
      </c>
      <c r="V92" s="550">
        <v>11405</v>
      </c>
      <c r="W92" s="550">
        <v>11432</v>
      </c>
      <c r="X92" s="550">
        <v>11590</v>
      </c>
      <c r="Y92" s="550">
        <v>11625</v>
      </c>
      <c r="Z92" s="550">
        <v>11659</v>
      </c>
      <c r="AA92" s="550">
        <v>11690</v>
      </c>
      <c r="AB92" s="550">
        <v>10259</v>
      </c>
      <c r="AC92" s="550"/>
      <c r="AD92" s="550">
        <v>10382</v>
      </c>
      <c r="AE92" s="550">
        <v>10344</v>
      </c>
      <c r="AF92" s="778">
        <f t="shared" si="1"/>
        <v>1.0020938316006729</v>
      </c>
    </row>
    <row r="93" spans="3:32">
      <c r="C93" s="549" t="s">
        <v>254</v>
      </c>
      <c r="D93" s="549">
        <v>2204352</v>
      </c>
      <c r="E93" s="549" t="s">
        <v>343</v>
      </c>
      <c r="F93" s="550">
        <v>4477</v>
      </c>
      <c r="G93" s="550">
        <v>4854</v>
      </c>
      <c r="H93" s="550">
        <v>4902</v>
      </c>
      <c r="I93" s="550">
        <v>4954</v>
      </c>
      <c r="J93" s="550">
        <v>5063</v>
      </c>
      <c r="K93" s="550">
        <v>5124</v>
      </c>
      <c r="L93" s="550">
        <v>5184</v>
      </c>
      <c r="M93" s="550">
        <v>5406</v>
      </c>
      <c r="N93" s="550">
        <v>5255</v>
      </c>
      <c r="O93" s="550">
        <v>5465</v>
      </c>
      <c r="P93" s="550">
        <v>5475</v>
      </c>
      <c r="Q93" s="550">
        <v>5194</v>
      </c>
      <c r="R93" s="550">
        <v>5237</v>
      </c>
      <c r="S93" s="550">
        <v>5276</v>
      </c>
      <c r="T93" s="550">
        <v>5298</v>
      </c>
      <c r="U93" s="550">
        <v>5319</v>
      </c>
      <c r="V93" s="550">
        <v>5337</v>
      </c>
      <c r="W93" s="550">
        <v>5352</v>
      </c>
      <c r="X93" s="550">
        <v>5424</v>
      </c>
      <c r="Y93" s="550">
        <v>5442</v>
      </c>
      <c r="Z93" s="550">
        <v>5460</v>
      </c>
      <c r="AA93" s="550">
        <v>5477</v>
      </c>
      <c r="AB93" s="550">
        <v>5445</v>
      </c>
      <c r="AC93" s="550"/>
      <c r="AD93" s="550">
        <v>5587</v>
      </c>
      <c r="AE93" s="550">
        <v>5604</v>
      </c>
      <c r="AF93" s="778">
        <f t="shared" si="1"/>
        <v>1.0090215490366461</v>
      </c>
    </row>
    <row r="94" spans="3:32">
      <c r="C94" s="549" t="s">
        <v>254</v>
      </c>
      <c r="D94" s="549">
        <v>2204402</v>
      </c>
      <c r="E94" s="549" t="s">
        <v>344</v>
      </c>
      <c r="F94" s="550">
        <v>10783</v>
      </c>
      <c r="G94" s="550">
        <v>10378</v>
      </c>
      <c r="H94" s="550">
        <v>10498</v>
      </c>
      <c r="I94" s="550">
        <v>10623</v>
      </c>
      <c r="J94" s="550">
        <v>10886</v>
      </c>
      <c r="K94" s="550">
        <v>11031</v>
      </c>
      <c r="L94" s="550">
        <v>11175</v>
      </c>
      <c r="M94" s="550">
        <v>10648</v>
      </c>
      <c r="N94" s="550">
        <v>10351</v>
      </c>
      <c r="O94" s="550">
        <v>10681</v>
      </c>
      <c r="P94" s="550">
        <v>10402</v>
      </c>
      <c r="Q94" s="550">
        <v>10416</v>
      </c>
      <c r="R94" s="550">
        <v>10429</v>
      </c>
      <c r="S94" s="550">
        <v>10504</v>
      </c>
      <c r="T94" s="550">
        <v>10509</v>
      </c>
      <c r="U94" s="550">
        <v>10514</v>
      </c>
      <c r="V94" s="550">
        <v>10518</v>
      </c>
      <c r="W94" s="550">
        <v>10522</v>
      </c>
      <c r="X94" s="550">
        <v>10686</v>
      </c>
      <c r="Y94" s="550">
        <v>10690</v>
      </c>
      <c r="Z94" s="550">
        <v>10694</v>
      </c>
      <c r="AA94" s="550">
        <v>10698</v>
      </c>
      <c r="AB94" s="550">
        <v>10892</v>
      </c>
      <c r="AC94" s="550"/>
      <c r="AD94" s="550">
        <v>11166</v>
      </c>
      <c r="AE94" s="550">
        <v>11193</v>
      </c>
      <c r="AF94" s="778">
        <f t="shared" si="1"/>
        <v>1.0014938251671825</v>
      </c>
    </row>
    <row r="95" spans="3:32">
      <c r="C95" s="549" t="s">
        <v>254</v>
      </c>
      <c r="D95" s="549">
        <v>2204501</v>
      </c>
      <c r="E95" s="549" t="s">
        <v>345</v>
      </c>
      <c r="F95" s="550">
        <v>10811</v>
      </c>
      <c r="G95" s="550">
        <v>10401</v>
      </c>
      <c r="H95" s="550">
        <v>10490</v>
      </c>
      <c r="I95" s="550">
        <v>10574</v>
      </c>
      <c r="J95" s="550">
        <v>10751</v>
      </c>
      <c r="K95" s="550">
        <v>10849</v>
      </c>
      <c r="L95" s="550">
        <v>10911</v>
      </c>
      <c r="M95" s="550">
        <v>9860</v>
      </c>
      <c r="N95" s="550">
        <v>9587</v>
      </c>
      <c r="O95" s="550">
        <v>9809</v>
      </c>
      <c r="P95" s="550">
        <v>10268</v>
      </c>
      <c r="Q95" s="550">
        <v>10268</v>
      </c>
      <c r="R95" s="550">
        <v>10268</v>
      </c>
      <c r="S95" s="550">
        <v>10342</v>
      </c>
      <c r="T95" s="550">
        <v>10340</v>
      </c>
      <c r="U95" s="550">
        <v>10338</v>
      </c>
      <c r="V95" s="550">
        <v>10337</v>
      </c>
      <c r="W95" s="550">
        <v>10335</v>
      </c>
      <c r="X95" s="550">
        <v>10500</v>
      </c>
      <c r="Y95" s="550">
        <v>10499</v>
      </c>
      <c r="Z95" s="550">
        <v>10497</v>
      </c>
      <c r="AA95" s="550">
        <v>10496</v>
      </c>
      <c r="AB95" s="550">
        <v>10270</v>
      </c>
      <c r="AC95" s="550"/>
      <c r="AD95" s="550">
        <v>10478</v>
      </c>
      <c r="AE95" s="550">
        <v>10480</v>
      </c>
      <c r="AF95" s="778">
        <f t="shared" si="1"/>
        <v>0.99875695500455308</v>
      </c>
    </row>
    <row r="96" spans="3:32">
      <c r="C96" s="549" t="s">
        <v>254</v>
      </c>
      <c r="D96" s="549">
        <v>2204550</v>
      </c>
      <c r="E96" s="549" t="s">
        <v>346</v>
      </c>
      <c r="F96" s="550">
        <v>4742</v>
      </c>
      <c r="G96" s="550">
        <v>4260</v>
      </c>
      <c r="H96" s="550">
        <v>4306</v>
      </c>
      <c r="I96" s="550">
        <v>4356</v>
      </c>
      <c r="J96" s="550">
        <v>4460</v>
      </c>
      <c r="K96" s="550">
        <v>4519</v>
      </c>
      <c r="L96" s="550">
        <v>4576</v>
      </c>
      <c r="M96" s="550">
        <v>4468</v>
      </c>
      <c r="N96" s="550">
        <v>4343</v>
      </c>
      <c r="O96" s="550">
        <v>4491</v>
      </c>
      <c r="P96" s="550">
        <v>4401</v>
      </c>
      <c r="Q96" s="550">
        <v>4417</v>
      </c>
      <c r="R96" s="550">
        <v>4432</v>
      </c>
      <c r="S96" s="550">
        <v>4464</v>
      </c>
      <c r="T96" s="550">
        <v>4472</v>
      </c>
      <c r="U96" s="550">
        <v>4478</v>
      </c>
      <c r="V96" s="550">
        <v>4484</v>
      </c>
      <c r="W96" s="550">
        <v>4489</v>
      </c>
      <c r="X96" s="550">
        <v>4556</v>
      </c>
      <c r="Y96" s="550">
        <v>4562</v>
      </c>
      <c r="Z96" s="550">
        <v>4568</v>
      </c>
      <c r="AA96" s="550">
        <v>4573</v>
      </c>
      <c r="AB96" s="550">
        <v>4276</v>
      </c>
      <c r="AC96" s="550"/>
      <c r="AD96" s="550">
        <v>4350</v>
      </c>
      <c r="AE96" s="550">
        <v>4344</v>
      </c>
      <c r="AF96" s="778">
        <f t="shared" si="1"/>
        <v>0.99649960451795205</v>
      </c>
    </row>
    <row r="97" spans="3:32">
      <c r="C97" s="549" t="s">
        <v>254</v>
      </c>
      <c r="D97" s="549">
        <v>2204600</v>
      </c>
      <c r="E97" s="549" t="s">
        <v>347</v>
      </c>
      <c r="F97" s="550">
        <v>3542</v>
      </c>
      <c r="G97" s="550">
        <v>3714</v>
      </c>
      <c r="H97" s="550">
        <v>3718</v>
      </c>
      <c r="I97" s="550">
        <v>3725</v>
      </c>
      <c r="J97" s="550">
        <v>3739</v>
      </c>
      <c r="K97" s="550">
        <v>3747</v>
      </c>
      <c r="L97" s="550">
        <v>3755</v>
      </c>
      <c r="M97" s="550">
        <v>3779</v>
      </c>
      <c r="N97" s="550">
        <v>3674</v>
      </c>
      <c r="O97" s="550">
        <v>3784</v>
      </c>
      <c r="P97" s="550">
        <v>3771</v>
      </c>
      <c r="Q97" s="550">
        <v>3777</v>
      </c>
      <c r="R97" s="550">
        <v>3782</v>
      </c>
      <c r="S97" s="550">
        <v>3809</v>
      </c>
      <c r="T97" s="550">
        <v>3811</v>
      </c>
      <c r="U97" s="550">
        <v>3813</v>
      </c>
      <c r="V97" s="550">
        <v>3815</v>
      </c>
      <c r="W97" s="550">
        <v>3816</v>
      </c>
      <c r="X97" s="550">
        <v>3875</v>
      </c>
      <c r="Y97" s="550">
        <v>3877</v>
      </c>
      <c r="Z97" s="550">
        <v>3879</v>
      </c>
      <c r="AA97" s="550">
        <v>3880</v>
      </c>
      <c r="AB97" s="550">
        <v>3518</v>
      </c>
      <c r="AC97" s="550"/>
      <c r="AD97" s="550">
        <v>3562</v>
      </c>
      <c r="AE97" s="550">
        <v>3550</v>
      </c>
      <c r="AF97" s="778">
        <f t="shared" si="1"/>
        <v>1.00009024663705</v>
      </c>
    </row>
    <row r="98" spans="3:32">
      <c r="C98" s="549" t="s">
        <v>254</v>
      </c>
      <c r="D98" s="549">
        <v>2204659</v>
      </c>
      <c r="E98" s="549" t="s">
        <v>348</v>
      </c>
      <c r="F98" s="550">
        <v>7705</v>
      </c>
      <c r="G98" s="550">
        <v>8018</v>
      </c>
      <c r="H98" s="550">
        <v>8108</v>
      </c>
      <c r="I98" s="550">
        <v>8209</v>
      </c>
      <c r="J98" s="550">
        <v>8422</v>
      </c>
      <c r="K98" s="550">
        <v>8539</v>
      </c>
      <c r="L98" s="550">
        <v>8656</v>
      </c>
      <c r="M98" s="550">
        <v>8663</v>
      </c>
      <c r="N98" s="550">
        <v>8420</v>
      </c>
      <c r="O98" s="550">
        <v>8734</v>
      </c>
      <c r="P98" s="550">
        <v>8914</v>
      </c>
      <c r="Q98" s="550">
        <v>8993</v>
      </c>
      <c r="R98" s="550">
        <v>9069</v>
      </c>
      <c r="S98" s="550">
        <v>9136</v>
      </c>
      <c r="T98" s="550">
        <v>9176</v>
      </c>
      <c r="U98" s="550">
        <v>9211</v>
      </c>
      <c r="V98" s="550">
        <v>9242</v>
      </c>
      <c r="W98" s="550">
        <v>9268</v>
      </c>
      <c r="X98" s="550">
        <v>9394</v>
      </c>
      <c r="Y98" s="550">
        <v>9426</v>
      </c>
      <c r="Z98" s="550">
        <v>9457</v>
      </c>
      <c r="AA98" s="550">
        <v>9487</v>
      </c>
      <c r="AB98" s="550">
        <v>9274</v>
      </c>
      <c r="AC98" s="550"/>
      <c r="AD98" s="550">
        <v>9501</v>
      </c>
      <c r="AE98" s="550">
        <v>9522</v>
      </c>
      <c r="AF98" s="778">
        <f t="shared" si="1"/>
        <v>1.0085053846660326</v>
      </c>
    </row>
    <row r="99" spans="3:32">
      <c r="C99" s="549" t="s">
        <v>254</v>
      </c>
      <c r="D99" s="549">
        <v>2204709</v>
      </c>
      <c r="E99" s="549" t="s">
        <v>349</v>
      </c>
      <c r="F99" s="550">
        <v>14050</v>
      </c>
      <c r="G99" s="550">
        <v>14568</v>
      </c>
      <c r="H99" s="550">
        <v>14689</v>
      </c>
      <c r="I99" s="550">
        <v>14812</v>
      </c>
      <c r="J99" s="550">
        <v>15068</v>
      </c>
      <c r="K99" s="550">
        <v>15210</v>
      </c>
      <c r="L99" s="550">
        <v>15351</v>
      </c>
      <c r="M99" s="550">
        <v>15403</v>
      </c>
      <c r="N99" s="550">
        <v>14973</v>
      </c>
      <c r="O99" s="550">
        <v>15490</v>
      </c>
      <c r="P99" s="550">
        <v>14845</v>
      </c>
      <c r="Q99" s="550">
        <v>14878</v>
      </c>
      <c r="R99" s="550">
        <v>14909</v>
      </c>
      <c r="S99" s="550">
        <v>15017</v>
      </c>
      <c r="T99" s="550">
        <v>15032</v>
      </c>
      <c r="U99" s="550">
        <v>15044</v>
      </c>
      <c r="V99" s="550">
        <v>15056</v>
      </c>
      <c r="W99" s="550">
        <v>15065</v>
      </c>
      <c r="X99" s="550">
        <v>15296</v>
      </c>
      <c r="Y99" s="550">
        <v>15308</v>
      </c>
      <c r="Z99" s="550">
        <v>15319</v>
      </c>
      <c r="AA99" s="550">
        <v>15330</v>
      </c>
      <c r="AB99" s="550">
        <v>14958</v>
      </c>
      <c r="AC99" s="550"/>
      <c r="AD99" s="550">
        <v>15259</v>
      </c>
      <c r="AE99" s="550">
        <v>15268</v>
      </c>
      <c r="AF99" s="778">
        <f t="shared" si="1"/>
        <v>1.003331005072394</v>
      </c>
    </row>
    <row r="100" spans="3:32">
      <c r="C100" s="549" t="s">
        <v>254</v>
      </c>
      <c r="D100" s="549">
        <v>2204808</v>
      </c>
      <c r="E100" s="549" t="s">
        <v>350</v>
      </c>
      <c r="F100" s="550">
        <v>8597</v>
      </c>
      <c r="G100" s="550">
        <v>8528</v>
      </c>
      <c r="H100" s="550">
        <v>8618</v>
      </c>
      <c r="I100" s="550">
        <v>8706</v>
      </c>
      <c r="J100" s="550">
        <v>8891</v>
      </c>
      <c r="K100" s="550">
        <v>8994</v>
      </c>
      <c r="L100" s="550">
        <v>9095</v>
      </c>
      <c r="M100" s="550">
        <v>9624</v>
      </c>
      <c r="N100" s="550">
        <v>9354</v>
      </c>
      <c r="O100" s="550">
        <v>9739</v>
      </c>
      <c r="P100" s="550">
        <v>9327</v>
      </c>
      <c r="Q100" s="550">
        <v>9397</v>
      </c>
      <c r="R100" s="550">
        <v>9463</v>
      </c>
      <c r="S100" s="550">
        <v>9534</v>
      </c>
      <c r="T100" s="550">
        <v>9569</v>
      </c>
      <c r="U100" s="550">
        <v>9599</v>
      </c>
      <c r="V100" s="550">
        <v>9626</v>
      </c>
      <c r="W100" s="550">
        <v>9649</v>
      </c>
      <c r="X100" s="550">
        <v>9782</v>
      </c>
      <c r="Y100" s="550">
        <v>9811</v>
      </c>
      <c r="Z100" s="550">
        <v>9838</v>
      </c>
      <c r="AA100" s="550">
        <v>9863</v>
      </c>
      <c r="AB100" s="550">
        <v>9420</v>
      </c>
      <c r="AC100" s="550"/>
      <c r="AD100" s="550">
        <v>9620</v>
      </c>
      <c r="AE100" s="550">
        <v>9627</v>
      </c>
      <c r="AF100" s="778">
        <f t="shared" si="1"/>
        <v>1.0045365931462833</v>
      </c>
    </row>
    <row r="101" spans="3:32">
      <c r="C101" s="549" t="s">
        <v>254</v>
      </c>
      <c r="D101" s="549">
        <v>2204907</v>
      </c>
      <c r="E101" s="549" t="s">
        <v>351</v>
      </c>
      <c r="F101" s="550">
        <v>6979</v>
      </c>
      <c r="G101" s="550">
        <v>7662</v>
      </c>
      <c r="H101" s="550">
        <v>7662</v>
      </c>
      <c r="I101" s="550">
        <v>7664</v>
      </c>
      <c r="J101" s="550">
        <v>7669</v>
      </c>
      <c r="K101" s="550">
        <v>7671</v>
      </c>
      <c r="L101" s="550">
        <v>7674</v>
      </c>
      <c r="M101" s="550">
        <v>8014</v>
      </c>
      <c r="N101" s="550">
        <v>7790</v>
      </c>
      <c r="O101" s="550">
        <v>8043</v>
      </c>
      <c r="P101" s="550">
        <v>8221</v>
      </c>
      <c r="Q101" s="550">
        <v>8265</v>
      </c>
      <c r="R101" s="550">
        <v>8307</v>
      </c>
      <c r="S101" s="550">
        <v>8368</v>
      </c>
      <c r="T101" s="550">
        <v>8389</v>
      </c>
      <c r="U101" s="550">
        <v>8408</v>
      </c>
      <c r="V101" s="550">
        <v>8424</v>
      </c>
      <c r="W101" s="550">
        <v>8428</v>
      </c>
      <c r="X101" s="550">
        <v>8551</v>
      </c>
      <c r="Y101" s="550">
        <v>8549</v>
      </c>
      <c r="Z101" s="550">
        <v>8566</v>
      </c>
      <c r="AA101" s="550">
        <v>8582</v>
      </c>
      <c r="AB101" s="550">
        <v>7774</v>
      </c>
      <c r="AC101" s="550"/>
      <c r="AD101" s="550">
        <v>7886</v>
      </c>
      <c r="AE101" s="550">
        <v>7867</v>
      </c>
      <c r="AF101" s="778">
        <f t="shared" si="1"/>
        <v>1.00480234066492</v>
      </c>
    </row>
    <row r="102" spans="3:32">
      <c r="C102" s="549" t="s">
        <v>254</v>
      </c>
      <c r="D102" s="549">
        <v>2205003</v>
      </c>
      <c r="E102" s="549" t="s">
        <v>352</v>
      </c>
      <c r="F102" s="550">
        <v>9699</v>
      </c>
      <c r="G102" s="550">
        <v>10349</v>
      </c>
      <c r="H102" s="550">
        <v>10310</v>
      </c>
      <c r="I102" s="550">
        <v>10277</v>
      </c>
      <c r="J102" s="550">
        <v>10208</v>
      </c>
      <c r="K102" s="550">
        <v>10170</v>
      </c>
      <c r="L102" s="550">
        <v>10132</v>
      </c>
      <c r="M102" s="550">
        <v>11403</v>
      </c>
      <c r="N102" s="550">
        <v>11084</v>
      </c>
      <c r="O102" s="550">
        <v>11498</v>
      </c>
      <c r="P102" s="550">
        <v>11109</v>
      </c>
      <c r="Q102" s="550">
        <v>11165</v>
      </c>
      <c r="R102" s="550">
        <v>11219</v>
      </c>
      <c r="S102" s="550">
        <v>11302</v>
      </c>
      <c r="T102" s="550">
        <v>11330</v>
      </c>
      <c r="U102" s="550">
        <v>11354</v>
      </c>
      <c r="V102" s="550">
        <v>11375</v>
      </c>
      <c r="W102" s="550">
        <v>11343</v>
      </c>
      <c r="X102" s="550">
        <v>11507</v>
      </c>
      <c r="Y102" s="550">
        <v>11530</v>
      </c>
      <c r="Z102" s="550">
        <v>11551</v>
      </c>
      <c r="AA102" s="550">
        <v>11571</v>
      </c>
      <c r="AB102" s="550">
        <v>10790</v>
      </c>
      <c r="AC102" s="550"/>
      <c r="AD102" s="550">
        <v>10980</v>
      </c>
      <c r="AE102" s="550">
        <v>10969</v>
      </c>
      <c r="AF102" s="778">
        <f t="shared" si="1"/>
        <v>1.0049341460048016</v>
      </c>
    </row>
    <row r="103" spans="3:32">
      <c r="C103" s="549" t="s">
        <v>254</v>
      </c>
      <c r="D103" s="549">
        <v>2205102</v>
      </c>
      <c r="E103" s="549" t="s">
        <v>353</v>
      </c>
      <c r="F103" s="550">
        <v>9509</v>
      </c>
      <c r="G103" s="550">
        <v>10263</v>
      </c>
      <c r="H103" s="550">
        <v>10208</v>
      </c>
      <c r="I103" s="550">
        <v>10143</v>
      </c>
      <c r="J103" s="550">
        <v>10007</v>
      </c>
      <c r="K103" s="550">
        <v>9932</v>
      </c>
      <c r="L103" s="550">
        <v>9858</v>
      </c>
      <c r="M103" s="550">
        <v>10861</v>
      </c>
      <c r="N103" s="550">
        <v>10558</v>
      </c>
      <c r="O103" s="550">
        <v>10904</v>
      </c>
      <c r="P103" s="550">
        <v>10678</v>
      </c>
      <c r="Q103" s="550">
        <v>10704</v>
      </c>
      <c r="R103" s="550">
        <v>10728</v>
      </c>
      <c r="S103" s="550">
        <v>10806</v>
      </c>
      <c r="T103" s="550">
        <v>10818</v>
      </c>
      <c r="U103" s="550">
        <v>10828</v>
      </c>
      <c r="V103" s="550">
        <v>10837</v>
      </c>
      <c r="W103" s="550">
        <v>10845</v>
      </c>
      <c r="X103" s="550">
        <v>11010</v>
      </c>
      <c r="Y103" s="550">
        <v>11019</v>
      </c>
      <c r="Z103" s="550">
        <v>11028</v>
      </c>
      <c r="AA103" s="550">
        <v>11037</v>
      </c>
      <c r="AB103" s="550">
        <v>10323</v>
      </c>
      <c r="AC103" s="550"/>
      <c r="AD103" s="550">
        <v>10493</v>
      </c>
      <c r="AE103" s="550">
        <v>10477</v>
      </c>
      <c r="AF103" s="778">
        <f t="shared" si="1"/>
        <v>1.003885274578737</v>
      </c>
    </row>
    <row r="104" spans="3:32">
      <c r="C104" s="549" t="s">
        <v>254</v>
      </c>
      <c r="D104" s="549">
        <v>2205151</v>
      </c>
      <c r="E104" s="549" t="s">
        <v>354</v>
      </c>
      <c r="F104" s="550">
        <v>4549</v>
      </c>
      <c r="G104" s="550">
        <v>5713</v>
      </c>
      <c r="H104" s="550">
        <v>5702</v>
      </c>
      <c r="I104" s="550">
        <v>5708</v>
      </c>
      <c r="J104" s="550">
        <v>5694</v>
      </c>
      <c r="K104" s="550">
        <v>5700</v>
      </c>
      <c r="L104" s="550">
        <v>5707</v>
      </c>
      <c r="M104" s="550">
        <v>5773</v>
      </c>
      <c r="N104" s="550">
        <v>5597</v>
      </c>
      <c r="O104" s="550">
        <v>5831</v>
      </c>
      <c r="P104" s="550">
        <v>5722</v>
      </c>
      <c r="Q104" s="550">
        <v>5696</v>
      </c>
      <c r="R104" s="550">
        <v>5670</v>
      </c>
      <c r="S104" s="550">
        <v>5710</v>
      </c>
      <c r="T104" s="550">
        <v>5695</v>
      </c>
      <c r="U104" s="550">
        <v>5682</v>
      </c>
      <c r="V104" s="550">
        <v>5671</v>
      </c>
      <c r="W104" s="550">
        <v>5656</v>
      </c>
      <c r="X104" s="550">
        <v>5753</v>
      </c>
      <c r="Y104" s="550">
        <v>5741</v>
      </c>
      <c r="Z104" s="550">
        <v>5729</v>
      </c>
      <c r="AA104" s="550">
        <v>5718</v>
      </c>
      <c r="AB104" s="550">
        <v>5613</v>
      </c>
      <c r="AC104" s="550"/>
      <c r="AD104" s="550">
        <v>5715</v>
      </c>
      <c r="AE104" s="550">
        <v>5711</v>
      </c>
      <c r="AF104" s="778">
        <f t="shared" si="1"/>
        <v>1.009140994466116</v>
      </c>
    </row>
    <row r="105" spans="3:32">
      <c r="C105" s="549" t="s">
        <v>254</v>
      </c>
      <c r="D105" s="549">
        <v>2205201</v>
      </c>
      <c r="E105" s="549" t="s">
        <v>355</v>
      </c>
      <c r="F105" s="550">
        <v>14949</v>
      </c>
      <c r="G105" s="550">
        <v>16089</v>
      </c>
      <c r="H105" s="550">
        <v>16260</v>
      </c>
      <c r="I105" s="550">
        <v>16446</v>
      </c>
      <c r="J105" s="550">
        <v>16837</v>
      </c>
      <c r="K105" s="550">
        <v>17054</v>
      </c>
      <c r="L105" s="550">
        <v>17268</v>
      </c>
      <c r="M105" s="550">
        <v>17310</v>
      </c>
      <c r="N105" s="550">
        <v>16826</v>
      </c>
      <c r="O105" s="550">
        <v>17786</v>
      </c>
      <c r="P105" s="550">
        <v>18035</v>
      </c>
      <c r="Q105" s="550">
        <v>18202</v>
      </c>
      <c r="R105" s="550">
        <v>18364</v>
      </c>
      <c r="S105" s="550">
        <v>18501</v>
      </c>
      <c r="T105" s="550">
        <v>18585</v>
      </c>
      <c r="U105" s="550">
        <v>18660</v>
      </c>
      <c r="V105" s="550">
        <v>18725</v>
      </c>
      <c r="W105" s="550">
        <v>18782</v>
      </c>
      <c r="X105" s="550">
        <v>19035</v>
      </c>
      <c r="Y105" s="550">
        <v>19104</v>
      </c>
      <c r="Z105" s="550">
        <v>19170</v>
      </c>
      <c r="AA105" s="550">
        <v>19233</v>
      </c>
      <c r="AB105" s="550">
        <v>17527</v>
      </c>
      <c r="AC105" s="550"/>
      <c r="AD105" s="550">
        <v>17811</v>
      </c>
      <c r="AE105" s="550">
        <v>17789</v>
      </c>
      <c r="AF105" s="778">
        <f t="shared" si="1"/>
        <v>1.0069816944114518</v>
      </c>
    </row>
    <row r="106" spans="3:32">
      <c r="C106" s="549" t="s">
        <v>254</v>
      </c>
      <c r="D106" s="549">
        <v>2205250</v>
      </c>
      <c r="E106" s="549" t="s">
        <v>356</v>
      </c>
      <c r="F106" s="550">
        <v>4288</v>
      </c>
      <c r="G106" s="550">
        <v>3940</v>
      </c>
      <c r="H106" s="550">
        <v>3969</v>
      </c>
      <c r="I106" s="550">
        <v>3959</v>
      </c>
      <c r="J106" s="550">
        <v>3939</v>
      </c>
      <c r="K106" s="550">
        <v>3927</v>
      </c>
      <c r="L106" s="550">
        <v>3916</v>
      </c>
      <c r="M106" s="550">
        <v>4291</v>
      </c>
      <c r="N106" s="550">
        <v>4171</v>
      </c>
      <c r="O106" s="550">
        <v>4318</v>
      </c>
      <c r="P106" s="550">
        <v>4309</v>
      </c>
      <c r="Q106" s="550">
        <v>4334</v>
      </c>
      <c r="R106" s="550">
        <v>4358</v>
      </c>
      <c r="S106" s="550">
        <v>4389</v>
      </c>
      <c r="T106" s="550">
        <v>4402</v>
      </c>
      <c r="U106" s="550">
        <v>4412</v>
      </c>
      <c r="V106" s="550">
        <v>4422</v>
      </c>
      <c r="W106" s="550">
        <v>4430</v>
      </c>
      <c r="X106" s="550">
        <v>4494</v>
      </c>
      <c r="Y106" s="550">
        <v>4504</v>
      </c>
      <c r="Z106" s="550">
        <v>4513</v>
      </c>
      <c r="AA106" s="550">
        <v>4522</v>
      </c>
      <c r="AB106" s="550">
        <v>4180</v>
      </c>
      <c r="AC106" s="550"/>
      <c r="AD106" s="550">
        <v>4251</v>
      </c>
      <c r="AE106" s="550">
        <v>4235</v>
      </c>
      <c r="AF106" s="778">
        <f t="shared" si="1"/>
        <v>0.99950263989798172</v>
      </c>
    </row>
    <row r="107" spans="3:32">
      <c r="C107" s="549" t="s">
        <v>254</v>
      </c>
      <c r="D107" s="549">
        <v>2205276</v>
      </c>
      <c r="E107" s="549" t="s">
        <v>357</v>
      </c>
      <c r="F107" s="550">
        <v>3499</v>
      </c>
      <c r="G107" s="550">
        <v>4321</v>
      </c>
      <c r="H107" s="550">
        <v>4388</v>
      </c>
      <c r="I107" s="550">
        <v>4423</v>
      </c>
      <c r="J107" s="550">
        <v>4495</v>
      </c>
      <c r="K107" s="550">
        <v>4535</v>
      </c>
      <c r="L107" s="550">
        <v>4575</v>
      </c>
      <c r="M107" s="550">
        <v>4653</v>
      </c>
      <c r="N107" s="550">
        <v>4523</v>
      </c>
      <c r="O107" s="550">
        <v>4683</v>
      </c>
      <c r="P107" s="550">
        <v>4656</v>
      </c>
      <c r="Q107" s="550">
        <v>4683</v>
      </c>
      <c r="R107" s="550">
        <v>4708</v>
      </c>
      <c r="S107" s="550">
        <v>4743</v>
      </c>
      <c r="T107" s="550">
        <v>4756</v>
      </c>
      <c r="U107" s="550">
        <v>4767</v>
      </c>
      <c r="V107" s="550">
        <v>4777</v>
      </c>
      <c r="W107" s="550">
        <v>4786</v>
      </c>
      <c r="X107" s="550">
        <v>4855</v>
      </c>
      <c r="Y107" s="550">
        <v>4865</v>
      </c>
      <c r="Z107" s="550">
        <v>4875</v>
      </c>
      <c r="AA107" s="550">
        <v>4885</v>
      </c>
      <c r="AB107" s="550">
        <v>4494</v>
      </c>
      <c r="AC107" s="550"/>
      <c r="AD107" s="550">
        <v>4568</v>
      </c>
      <c r="AE107" s="550">
        <v>4560</v>
      </c>
      <c r="AF107" s="778">
        <f t="shared" si="1"/>
        <v>1.0106501295600423</v>
      </c>
    </row>
    <row r="108" spans="3:32">
      <c r="C108" s="549" t="s">
        <v>254</v>
      </c>
      <c r="D108" s="549">
        <v>2205300</v>
      </c>
      <c r="E108" s="549" t="s">
        <v>358</v>
      </c>
      <c r="F108" s="550">
        <v>4764</v>
      </c>
      <c r="G108" s="550">
        <v>4557</v>
      </c>
      <c r="H108" s="550">
        <v>4606</v>
      </c>
      <c r="I108" s="550">
        <v>4648</v>
      </c>
      <c r="J108" s="550">
        <v>4737</v>
      </c>
      <c r="K108" s="550">
        <v>4786</v>
      </c>
      <c r="L108" s="550">
        <v>4835</v>
      </c>
      <c r="M108" s="550">
        <v>4496</v>
      </c>
      <c r="N108" s="550">
        <v>4371</v>
      </c>
      <c r="O108" s="550">
        <v>4490</v>
      </c>
      <c r="P108" s="550">
        <v>4390</v>
      </c>
      <c r="Q108" s="550">
        <v>4381</v>
      </c>
      <c r="R108" s="550">
        <v>4372</v>
      </c>
      <c r="S108" s="550">
        <v>4403</v>
      </c>
      <c r="T108" s="550">
        <v>4397</v>
      </c>
      <c r="U108" s="550">
        <v>4392</v>
      </c>
      <c r="V108" s="550">
        <v>4388</v>
      </c>
      <c r="W108" s="550">
        <v>4384</v>
      </c>
      <c r="X108" s="550">
        <v>4457</v>
      </c>
      <c r="Y108" s="550">
        <v>4452</v>
      </c>
      <c r="Z108" s="550">
        <v>4447</v>
      </c>
      <c r="AA108" s="550">
        <v>4443</v>
      </c>
      <c r="AB108" s="550">
        <v>4497</v>
      </c>
      <c r="AC108" s="550"/>
      <c r="AD108" s="550">
        <v>4600</v>
      </c>
      <c r="AE108" s="550">
        <v>4606</v>
      </c>
      <c r="AF108" s="778">
        <f t="shared" si="1"/>
        <v>0.9986517956413975</v>
      </c>
    </row>
    <row r="109" spans="3:32">
      <c r="C109" s="549" t="s">
        <v>254</v>
      </c>
      <c r="D109" s="549">
        <v>2205359</v>
      </c>
      <c r="E109" s="549" t="s">
        <v>359</v>
      </c>
      <c r="F109" s="550">
        <v>2726</v>
      </c>
      <c r="G109" s="550">
        <v>2947</v>
      </c>
      <c r="H109" s="550">
        <v>3070</v>
      </c>
      <c r="I109" s="550">
        <v>3090</v>
      </c>
      <c r="J109" s="550">
        <v>3134</v>
      </c>
      <c r="K109" s="550">
        <v>3158</v>
      </c>
      <c r="L109" s="550">
        <v>3182</v>
      </c>
      <c r="M109" s="550">
        <v>3291</v>
      </c>
      <c r="N109" s="550">
        <v>3199</v>
      </c>
      <c r="O109" s="550">
        <v>3315</v>
      </c>
      <c r="P109" s="550">
        <v>2960</v>
      </c>
      <c r="Q109" s="550">
        <v>2956</v>
      </c>
      <c r="R109" s="550">
        <v>2951</v>
      </c>
      <c r="S109" s="550">
        <v>2971</v>
      </c>
      <c r="T109" s="550">
        <v>2968</v>
      </c>
      <c r="U109" s="550">
        <v>2965</v>
      </c>
      <c r="V109" s="550">
        <v>2963</v>
      </c>
      <c r="W109" s="550">
        <v>2961</v>
      </c>
      <c r="X109" s="550">
        <v>3010</v>
      </c>
      <c r="Y109" s="550">
        <v>3008</v>
      </c>
      <c r="Z109" s="550">
        <v>3005</v>
      </c>
      <c r="AA109" s="550">
        <v>3003</v>
      </c>
      <c r="AB109" s="550">
        <v>2970</v>
      </c>
      <c r="AC109" s="550"/>
      <c r="AD109" s="550">
        <v>3031</v>
      </c>
      <c r="AE109" s="550">
        <v>3033</v>
      </c>
      <c r="AF109" s="778">
        <f t="shared" si="1"/>
        <v>1.004277799591426</v>
      </c>
    </row>
    <row r="110" spans="3:32">
      <c r="C110" s="549" t="s">
        <v>254</v>
      </c>
      <c r="D110" s="549">
        <v>2205409</v>
      </c>
      <c r="E110" s="549" t="s">
        <v>360</v>
      </c>
      <c r="F110" s="550">
        <v>13546</v>
      </c>
      <c r="G110" s="550">
        <v>13113</v>
      </c>
      <c r="H110" s="550">
        <v>13139</v>
      </c>
      <c r="I110" s="550">
        <v>13169</v>
      </c>
      <c r="J110" s="550">
        <v>13230</v>
      </c>
      <c r="K110" s="550">
        <v>13265</v>
      </c>
      <c r="L110" s="550">
        <v>13298</v>
      </c>
      <c r="M110" s="550">
        <v>14175</v>
      </c>
      <c r="N110" s="550">
        <v>13779</v>
      </c>
      <c r="O110" s="550">
        <v>14276</v>
      </c>
      <c r="P110" s="550">
        <v>13817</v>
      </c>
      <c r="Q110" s="550">
        <v>13874</v>
      </c>
      <c r="R110" s="550">
        <v>13929</v>
      </c>
      <c r="S110" s="550">
        <v>14032</v>
      </c>
      <c r="T110" s="550">
        <v>14059</v>
      </c>
      <c r="U110" s="550">
        <v>14083</v>
      </c>
      <c r="V110" s="550">
        <v>14105</v>
      </c>
      <c r="W110" s="550">
        <v>14123</v>
      </c>
      <c r="X110" s="550">
        <v>14332</v>
      </c>
      <c r="Y110" s="550">
        <v>14354</v>
      </c>
      <c r="Z110" s="550">
        <v>14376</v>
      </c>
      <c r="AA110" s="550">
        <v>14396</v>
      </c>
      <c r="AB110" s="550">
        <v>13886</v>
      </c>
      <c r="AC110" s="550"/>
      <c r="AD110" s="550">
        <v>14175</v>
      </c>
      <c r="AE110" s="550">
        <v>14265</v>
      </c>
      <c r="AF110" s="778">
        <f t="shared" si="1"/>
        <v>1.0020708486062564</v>
      </c>
    </row>
    <row r="111" spans="3:32">
      <c r="C111" s="549" t="s">
        <v>254</v>
      </c>
      <c r="D111" s="549">
        <v>2205458</v>
      </c>
      <c r="E111" s="549" t="s">
        <v>361</v>
      </c>
      <c r="F111" s="550">
        <v>4113</v>
      </c>
      <c r="G111" s="550">
        <v>4383</v>
      </c>
      <c r="H111" s="550">
        <v>4407</v>
      </c>
      <c r="I111" s="550">
        <v>4434</v>
      </c>
      <c r="J111" s="550">
        <v>4491</v>
      </c>
      <c r="K111" s="550">
        <v>4523</v>
      </c>
      <c r="L111" s="550">
        <v>4554</v>
      </c>
      <c r="M111" s="550">
        <v>5500</v>
      </c>
      <c r="N111" s="550">
        <v>5345</v>
      </c>
      <c r="O111" s="550">
        <v>5614</v>
      </c>
      <c r="P111" s="550">
        <v>5100</v>
      </c>
      <c r="Q111" s="550">
        <v>5158</v>
      </c>
      <c r="R111" s="550">
        <v>5214</v>
      </c>
      <c r="S111" s="550">
        <v>5253</v>
      </c>
      <c r="T111" s="550">
        <v>5282</v>
      </c>
      <c r="U111" s="550">
        <v>5308</v>
      </c>
      <c r="V111" s="550">
        <v>5331</v>
      </c>
      <c r="W111" s="550">
        <v>5350</v>
      </c>
      <c r="X111" s="550">
        <v>5419</v>
      </c>
      <c r="Y111" s="550">
        <v>5443</v>
      </c>
      <c r="Z111" s="550">
        <v>5466</v>
      </c>
      <c r="AA111" s="550">
        <v>5488</v>
      </c>
      <c r="AB111" s="550">
        <v>5394</v>
      </c>
      <c r="AC111" s="550"/>
      <c r="AD111" s="550">
        <v>5535</v>
      </c>
      <c r="AE111" s="550">
        <v>5552</v>
      </c>
      <c r="AF111" s="778">
        <f t="shared" si="1"/>
        <v>1.0120725128966519</v>
      </c>
    </row>
    <row r="112" spans="3:32">
      <c r="C112" s="549" t="s">
        <v>254</v>
      </c>
      <c r="D112" s="549">
        <v>2205508</v>
      </c>
      <c r="E112" s="549" t="s">
        <v>362</v>
      </c>
      <c r="F112" s="550">
        <v>29121</v>
      </c>
      <c r="G112" s="550">
        <v>33235</v>
      </c>
      <c r="H112" s="550">
        <v>33575</v>
      </c>
      <c r="I112" s="550">
        <v>33908</v>
      </c>
      <c r="J112" s="550">
        <v>34606</v>
      </c>
      <c r="K112" s="550">
        <v>34993</v>
      </c>
      <c r="L112" s="550">
        <v>35376</v>
      </c>
      <c r="M112" s="550">
        <v>36177</v>
      </c>
      <c r="N112" s="550">
        <v>35164</v>
      </c>
      <c r="O112" s="550">
        <v>36485</v>
      </c>
      <c r="P112" s="550">
        <v>37085</v>
      </c>
      <c r="Q112" s="550">
        <v>37410</v>
      </c>
      <c r="R112" s="550">
        <v>37724</v>
      </c>
      <c r="S112" s="550">
        <v>38005</v>
      </c>
      <c r="T112" s="550">
        <v>38169</v>
      </c>
      <c r="U112" s="550">
        <v>38314</v>
      </c>
      <c r="V112" s="550">
        <v>38440</v>
      </c>
      <c r="W112" s="550">
        <v>38550</v>
      </c>
      <c r="X112" s="550">
        <v>39072</v>
      </c>
      <c r="Y112" s="550">
        <v>39208</v>
      </c>
      <c r="Z112" s="550">
        <v>39336</v>
      </c>
      <c r="AA112" s="550">
        <v>39457</v>
      </c>
      <c r="AB112" s="550">
        <v>42559</v>
      </c>
      <c r="AC112" s="550"/>
      <c r="AD112" s="550">
        <v>44391</v>
      </c>
      <c r="AE112" s="550">
        <v>44689</v>
      </c>
      <c r="AF112" s="778">
        <f t="shared" si="1"/>
        <v>1.0172782850471691</v>
      </c>
    </row>
    <row r="113" spans="3:32">
      <c r="C113" s="549" t="s">
        <v>254</v>
      </c>
      <c r="D113" s="549">
        <v>2205516</v>
      </c>
      <c r="E113" s="549" t="s">
        <v>363</v>
      </c>
      <c r="F113" s="550">
        <v>4739</v>
      </c>
      <c r="G113" s="550">
        <v>4477</v>
      </c>
      <c r="H113" s="550">
        <v>4498</v>
      </c>
      <c r="I113" s="550">
        <v>4486</v>
      </c>
      <c r="J113" s="550">
        <v>4462</v>
      </c>
      <c r="K113" s="550">
        <v>4448</v>
      </c>
      <c r="L113" s="550">
        <v>4435</v>
      </c>
      <c r="M113" s="550">
        <v>4906</v>
      </c>
      <c r="N113" s="550">
        <v>4769</v>
      </c>
      <c r="O113" s="550">
        <v>4941</v>
      </c>
      <c r="P113" s="550">
        <v>4757</v>
      </c>
      <c r="Q113" s="550">
        <v>4775</v>
      </c>
      <c r="R113" s="550">
        <v>4793</v>
      </c>
      <c r="S113" s="550">
        <v>4828</v>
      </c>
      <c r="T113" s="550">
        <v>4837</v>
      </c>
      <c r="U113" s="550">
        <v>5380</v>
      </c>
      <c r="V113" s="550">
        <v>5385</v>
      </c>
      <c r="W113" s="550">
        <v>5391</v>
      </c>
      <c r="X113" s="550">
        <v>5472</v>
      </c>
      <c r="Y113" s="550">
        <v>5478</v>
      </c>
      <c r="Z113" s="550">
        <v>5485</v>
      </c>
      <c r="AA113" s="550">
        <v>5491</v>
      </c>
      <c r="AB113" s="550">
        <v>5214</v>
      </c>
      <c r="AC113" s="550"/>
      <c r="AD113" s="550">
        <v>5311</v>
      </c>
      <c r="AE113" s="550">
        <v>5308</v>
      </c>
      <c r="AF113" s="778">
        <f t="shared" si="1"/>
        <v>1.0045458601548618</v>
      </c>
    </row>
    <row r="114" spans="3:32">
      <c r="C114" s="549" t="s">
        <v>254</v>
      </c>
      <c r="D114" s="549">
        <v>2205524</v>
      </c>
      <c r="E114" s="549" t="s">
        <v>364</v>
      </c>
      <c r="F114" s="550">
        <v>4399</v>
      </c>
      <c r="G114" s="550">
        <v>4947</v>
      </c>
      <c r="H114" s="550">
        <v>5005</v>
      </c>
      <c r="I114" s="550">
        <v>5070</v>
      </c>
      <c r="J114" s="550">
        <v>5280</v>
      </c>
      <c r="K114" s="550">
        <v>5356</v>
      </c>
      <c r="L114" s="550">
        <v>5431</v>
      </c>
      <c r="M114" s="550">
        <v>5401</v>
      </c>
      <c r="N114" s="550">
        <v>5250</v>
      </c>
      <c r="O114" s="550">
        <v>5444</v>
      </c>
      <c r="P114" s="550">
        <v>5373</v>
      </c>
      <c r="Q114" s="550">
        <v>5407</v>
      </c>
      <c r="R114" s="550">
        <v>5439</v>
      </c>
      <c r="S114" s="550">
        <v>5479</v>
      </c>
      <c r="T114" s="550">
        <v>5496</v>
      </c>
      <c r="U114" s="550">
        <v>5510</v>
      </c>
      <c r="V114" s="550">
        <v>5523</v>
      </c>
      <c r="W114" s="550">
        <v>5534</v>
      </c>
      <c r="X114" s="550">
        <v>5614</v>
      </c>
      <c r="Y114" s="550">
        <v>5627</v>
      </c>
      <c r="Z114" s="550">
        <v>5640</v>
      </c>
      <c r="AA114" s="550">
        <v>5653</v>
      </c>
      <c r="AB114" s="550">
        <v>5388</v>
      </c>
      <c r="AC114" s="550"/>
      <c r="AD114" s="550">
        <v>5499</v>
      </c>
      <c r="AE114" s="550">
        <v>5501</v>
      </c>
      <c r="AF114" s="778">
        <f t="shared" si="1"/>
        <v>1.0089822061287046</v>
      </c>
    </row>
    <row r="115" spans="3:32">
      <c r="C115" s="549" t="s">
        <v>254</v>
      </c>
      <c r="D115" s="549">
        <v>2205532</v>
      </c>
      <c r="E115" s="549" t="s">
        <v>365</v>
      </c>
      <c r="F115" s="550">
        <v>4109</v>
      </c>
      <c r="G115" s="550">
        <v>4060</v>
      </c>
      <c r="H115" s="550">
        <v>4077</v>
      </c>
      <c r="I115" s="550">
        <v>4091</v>
      </c>
      <c r="J115" s="550">
        <v>4121</v>
      </c>
      <c r="K115" s="550">
        <v>4137</v>
      </c>
      <c r="L115" s="550">
        <v>4153</v>
      </c>
      <c r="M115" s="550">
        <v>4515</v>
      </c>
      <c r="N115" s="550">
        <v>4388</v>
      </c>
      <c r="O115" s="550">
        <v>4559</v>
      </c>
      <c r="P115" s="550">
        <v>4517</v>
      </c>
      <c r="Q115" s="550">
        <v>4554</v>
      </c>
      <c r="R115" s="550">
        <v>4588</v>
      </c>
      <c r="S115" s="550">
        <v>4623</v>
      </c>
      <c r="T115" s="550">
        <v>4641</v>
      </c>
      <c r="U115" s="550">
        <v>4657</v>
      </c>
      <c r="V115" s="550">
        <v>4671</v>
      </c>
      <c r="W115" s="550">
        <v>4683</v>
      </c>
      <c r="X115" s="550">
        <v>4748</v>
      </c>
      <c r="Y115" s="550">
        <v>4763</v>
      </c>
      <c r="Z115" s="550">
        <v>4777</v>
      </c>
      <c r="AA115" s="550">
        <v>4790</v>
      </c>
      <c r="AB115" s="550">
        <v>4425</v>
      </c>
      <c r="AC115" s="550"/>
      <c r="AD115" s="550">
        <v>4505</v>
      </c>
      <c r="AE115" s="550">
        <v>4501</v>
      </c>
      <c r="AF115" s="778">
        <f t="shared" si="1"/>
        <v>1.0036514465232296</v>
      </c>
    </row>
    <row r="116" spans="3:32">
      <c r="C116" s="549" t="s">
        <v>254</v>
      </c>
      <c r="D116" s="549">
        <v>2205540</v>
      </c>
      <c r="E116" s="549" t="s">
        <v>366</v>
      </c>
      <c r="F116" s="550">
        <v>2384</v>
      </c>
      <c r="G116" s="550">
        <v>2245</v>
      </c>
      <c r="H116" s="550">
        <v>2252</v>
      </c>
      <c r="I116" s="550">
        <v>2261</v>
      </c>
      <c r="J116" s="550">
        <v>2282</v>
      </c>
      <c r="K116" s="550">
        <v>2293</v>
      </c>
      <c r="L116" s="550">
        <v>2304</v>
      </c>
      <c r="M116" s="550">
        <v>2637</v>
      </c>
      <c r="N116" s="550">
        <v>2563</v>
      </c>
      <c r="O116" s="550">
        <v>2676</v>
      </c>
      <c r="P116" s="550">
        <v>2656</v>
      </c>
      <c r="Q116" s="550">
        <v>2689</v>
      </c>
      <c r="R116" s="550">
        <v>2721</v>
      </c>
      <c r="S116" s="550">
        <v>2741</v>
      </c>
      <c r="T116" s="550">
        <v>2757</v>
      </c>
      <c r="U116" s="550">
        <v>2772</v>
      </c>
      <c r="V116" s="550">
        <v>2785</v>
      </c>
      <c r="W116" s="550">
        <v>2796</v>
      </c>
      <c r="X116" s="550">
        <v>2831</v>
      </c>
      <c r="Y116" s="550">
        <v>2845</v>
      </c>
      <c r="Z116" s="550">
        <v>2858</v>
      </c>
      <c r="AA116" s="550">
        <v>2870</v>
      </c>
      <c r="AB116" s="550">
        <v>2939</v>
      </c>
      <c r="AC116" s="550"/>
      <c r="AD116" s="550">
        <v>3029</v>
      </c>
      <c r="AE116" s="550">
        <v>3044</v>
      </c>
      <c r="AF116" s="778">
        <f t="shared" si="1"/>
        <v>1.009823645944677</v>
      </c>
    </row>
    <row r="117" spans="3:32">
      <c r="C117" s="549" t="s">
        <v>254</v>
      </c>
      <c r="D117" s="549">
        <v>2205557</v>
      </c>
      <c r="E117" s="549" t="s">
        <v>367</v>
      </c>
      <c r="F117" s="550">
        <v>7130</v>
      </c>
      <c r="G117" s="550">
        <v>7025</v>
      </c>
      <c r="H117" s="550">
        <v>7149</v>
      </c>
      <c r="I117" s="550">
        <v>7289</v>
      </c>
      <c r="J117" s="550">
        <v>7582</v>
      </c>
      <c r="K117" s="550">
        <v>7744</v>
      </c>
      <c r="L117" s="550">
        <v>7904</v>
      </c>
      <c r="M117" s="550">
        <v>8090</v>
      </c>
      <c r="N117" s="550">
        <v>7862</v>
      </c>
      <c r="O117" s="550">
        <v>8210</v>
      </c>
      <c r="P117" s="550">
        <v>8008</v>
      </c>
      <c r="Q117" s="550">
        <v>8097</v>
      </c>
      <c r="R117" s="550">
        <v>8184</v>
      </c>
      <c r="S117" s="550">
        <v>8245</v>
      </c>
      <c r="T117" s="550">
        <v>8290</v>
      </c>
      <c r="U117" s="550">
        <v>8330</v>
      </c>
      <c r="V117" s="550">
        <v>8365</v>
      </c>
      <c r="W117" s="550">
        <v>8395</v>
      </c>
      <c r="X117" s="550">
        <v>8504</v>
      </c>
      <c r="Y117" s="550">
        <v>8542</v>
      </c>
      <c r="Z117" s="550">
        <v>8577</v>
      </c>
      <c r="AA117" s="550">
        <v>8610</v>
      </c>
      <c r="AB117" s="550">
        <v>8256</v>
      </c>
      <c r="AC117" s="550"/>
      <c r="AD117" s="550">
        <v>8449</v>
      </c>
      <c r="AE117" s="550">
        <v>8464</v>
      </c>
      <c r="AF117" s="778">
        <f t="shared" si="1"/>
        <v>1.0068840122547351</v>
      </c>
    </row>
    <row r="118" spans="3:32">
      <c r="C118" s="549" t="s">
        <v>254</v>
      </c>
      <c r="D118" s="549">
        <v>2205565</v>
      </c>
      <c r="E118" s="549" t="s">
        <v>368</v>
      </c>
      <c r="F118" s="550">
        <v>5168</v>
      </c>
      <c r="G118" s="550">
        <v>4545</v>
      </c>
      <c r="H118" s="550">
        <v>4632</v>
      </c>
      <c r="I118" s="550">
        <v>4716</v>
      </c>
      <c r="J118" s="550">
        <v>4893</v>
      </c>
      <c r="K118" s="550">
        <v>4991</v>
      </c>
      <c r="L118" s="550">
        <v>5088</v>
      </c>
      <c r="M118" s="550">
        <v>4673</v>
      </c>
      <c r="N118" s="550">
        <v>4543</v>
      </c>
      <c r="O118" s="550">
        <v>4692</v>
      </c>
      <c r="P118" s="550">
        <v>4523</v>
      </c>
      <c r="Q118" s="550">
        <v>4529</v>
      </c>
      <c r="R118" s="550">
        <v>4535</v>
      </c>
      <c r="S118" s="550">
        <v>4568</v>
      </c>
      <c r="T118" s="550">
        <v>4570</v>
      </c>
      <c r="U118" s="550">
        <v>4579</v>
      </c>
      <c r="V118" s="550">
        <v>4580</v>
      </c>
      <c r="W118" s="550">
        <v>4582</v>
      </c>
      <c r="X118" s="550">
        <v>4653</v>
      </c>
      <c r="Y118" s="550">
        <v>4655</v>
      </c>
      <c r="Z118" s="550">
        <v>4656</v>
      </c>
      <c r="AA118" s="550">
        <v>4658</v>
      </c>
      <c r="AB118" s="550">
        <v>4995</v>
      </c>
      <c r="AC118" s="550"/>
      <c r="AD118" s="550">
        <v>5146</v>
      </c>
      <c r="AE118" s="550">
        <v>5171</v>
      </c>
      <c r="AF118" s="778">
        <f t="shared" si="1"/>
        <v>1.000023213346777</v>
      </c>
    </row>
    <row r="119" spans="3:32">
      <c r="C119" s="549" t="s">
        <v>254</v>
      </c>
      <c r="D119" s="549">
        <v>2205573</v>
      </c>
      <c r="E119" s="549" t="s">
        <v>369</v>
      </c>
      <c r="F119" s="550">
        <v>5484</v>
      </c>
      <c r="G119" s="550">
        <v>5869</v>
      </c>
      <c r="H119" s="550">
        <v>5917</v>
      </c>
      <c r="I119" s="550">
        <v>5974</v>
      </c>
      <c r="J119" s="550">
        <v>6094</v>
      </c>
      <c r="K119" s="550">
        <v>6160</v>
      </c>
      <c r="L119" s="550">
        <v>6225</v>
      </c>
      <c r="M119" s="550">
        <v>6708</v>
      </c>
      <c r="N119" s="550">
        <v>6520</v>
      </c>
      <c r="O119" s="550">
        <v>6796</v>
      </c>
      <c r="P119" s="550">
        <v>6422</v>
      </c>
      <c r="Q119" s="550">
        <v>6471</v>
      </c>
      <c r="R119" s="550">
        <v>6517</v>
      </c>
      <c r="S119" s="550">
        <v>6566</v>
      </c>
      <c r="T119" s="550">
        <v>6590</v>
      </c>
      <c r="U119" s="550">
        <v>6611</v>
      </c>
      <c r="V119" s="550">
        <v>6630</v>
      </c>
      <c r="W119" s="550">
        <v>6646</v>
      </c>
      <c r="X119" s="550">
        <v>6738</v>
      </c>
      <c r="Y119" s="550">
        <v>6758</v>
      </c>
      <c r="Z119" s="550">
        <v>6777</v>
      </c>
      <c r="AA119" s="550">
        <v>6795</v>
      </c>
      <c r="AB119" s="550">
        <v>6331</v>
      </c>
      <c r="AC119" s="550"/>
      <c r="AD119" s="550">
        <v>6449</v>
      </c>
      <c r="AE119" s="550">
        <v>6446</v>
      </c>
      <c r="AF119" s="778">
        <f t="shared" si="1"/>
        <v>1.0064859440941702</v>
      </c>
    </row>
    <row r="120" spans="3:32">
      <c r="C120" s="549" t="s">
        <v>254</v>
      </c>
      <c r="D120" s="549">
        <v>2205581</v>
      </c>
      <c r="E120" s="549" t="s">
        <v>370</v>
      </c>
      <c r="F120" s="550">
        <v>3030</v>
      </c>
      <c r="G120" s="550">
        <v>3573</v>
      </c>
      <c r="H120" s="550">
        <v>3635</v>
      </c>
      <c r="I120" s="550">
        <v>3704</v>
      </c>
      <c r="J120" s="550">
        <v>3847</v>
      </c>
      <c r="K120" s="550">
        <v>3927</v>
      </c>
      <c r="L120" s="550">
        <v>4005</v>
      </c>
      <c r="M120" s="550">
        <v>3790</v>
      </c>
      <c r="N120" s="550">
        <v>3684</v>
      </c>
      <c r="O120" s="550">
        <v>3817</v>
      </c>
      <c r="P120" s="550">
        <v>3863</v>
      </c>
      <c r="Q120" s="550">
        <v>3892</v>
      </c>
      <c r="R120" s="550">
        <v>3920</v>
      </c>
      <c r="S120" s="550">
        <v>3948</v>
      </c>
      <c r="T120" s="550">
        <v>3963</v>
      </c>
      <c r="U120" s="550">
        <v>3975</v>
      </c>
      <c r="V120" s="550">
        <v>3987</v>
      </c>
      <c r="W120" s="550">
        <v>3996</v>
      </c>
      <c r="X120" s="550">
        <v>4052</v>
      </c>
      <c r="Y120" s="550">
        <v>4064</v>
      </c>
      <c r="Z120" s="550">
        <v>4075</v>
      </c>
      <c r="AA120" s="550">
        <v>4086</v>
      </c>
      <c r="AB120" s="550">
        <v>4810</v>
      </c>
      <c r="AC120" s="550"/>
      <c r="AD120" s="550">
        <v>5009</v>
      </c>
      <c r="AE120" s="550">
        <v>5017</v>
      </c>
      <c r="AF120" s="778">
        <f t="shared" si="1"/>
        <v>1.0203755859503594</v>
      </c>
    </row>
    <row r="121" spans="3:32">
      <c r="C121" s="549" t="s">
        <v>254</v>
      </c>
      <c r="D121" s="549">
        <v>2205599</v>
      </c>
      <c r="E121" s="549" t="s">
        <v>371</v>
      </c>
      <c r="F121" s="550">
        <v>3582</v>
      </c>
      <c r="G121" s="550">
        <v>4197</v>
      </c>
      <c r="H121" s="550">
        <v>4268</v>
      </c>
      <c r="I121" s="550">
        <v>4329</v>
      </c>
      <c r="J121" s="550">
        <v>4456</v>
      </c>
      <c r="K121" s="550">
        <v>4526</v>
      </c>
      <c r="L121" s="550">
        <v>4596</v>
      </c>
      <c r="M121" s="550">
        <v>5188</v>
      </c>
      <c r="N121" s="550">
        <v>5042</v>
      </c>
      <c r="O121" s="550">
        <v>5292</v>
      </c>
      <c r="P121" s="550">
        <v>4850</v>
      </c>
      <c r="Q121" s="550">
        <v>4905</v>
      </c>
      <c r="R121" s="550">
        <v>4958</v>
      </c>
      <c r="S121" s="550">
        <v>4995</v>
      </c>
      <c r="T121" s="550">
        <v>5022</v>
      </c>
      <c r="U121" s="550">
        <v>5047</v>
      </c>
      <c r="V121" s="550">
        <v>5068</v>
      </c>
      <c r="W121" s="550">
        <v>5087</v>
      </c>
      <c r="X121" s="550">
        <v>5154</v>
      </c>
      <c r="Y121" s="550">
        <v>5177</v>
      </c>
      <c r="Z121" s="550">
        <v>5198</v>
      </c>
      <c r="AA121" s="550">
        <v>5219</v>
      </c>
      <c r="AB121" s="550">
        <v>4520</v>
      </c>
      <c r="AC121" s="550"/>
      <c r="AD121" s="550">
        <v>4575</v>
      </c>
      <c r="AE121" s="550">
        <v>4559</v>
      </c>
      <c r="AF121" s="778">
        <f t="shared" si="1"/>
        <v>1.0096939649155023</v>
      </c>
    </row>
    <row r="122" spans="3:32">
      <c r="C122" s="549" t="s">
        <v>254</v>
      </c>
      <c r="D122" s="549">
        <v>2205607</v>
      </c>
      <c r="E122" s="549" t="s">
        <v>372</v>
      </c>
      <c r="F122" s="550">
        <v>5189</v>
      </c>
      <c r="G122" s="550">
        <v>5621</v>
      </c>
      <c r="H122" s="550">
        <v>5617</v>
      </c>
      <c r="I122" s="550">
        <v>5612</v>
      </c>
      <c r="J122" s="550">
        <v>5601</v>
      </c>
      <c r="K122" s="550">
        <v>5595</v>
      </c>
      <c r="L122" s="550">
        <v>5589</v>
      </c>
      <c r="M122" s="550">
        <v>5746</v>
      </c>
      <c r="N122" s="550">
        <v>5586</v>
      </c>
      <c r="O122" s="550">
        <v>5753</v>
      </c>
      <c r="P122" s="550">
        <v>5281</v>
      </c>
      <c r="Q122" s="550">
        <v>5255</v>
      </c>
      <c r="R122" s="550">
        <v>5229</v>
      </c>
      <c r="S122" s="550">
        <v>5266</v>
      </c>
      <c r="T122" s="550">
        <v>5251</v>
      </c>
      <c r="U122" s="550">
        <v>5238</v>
      </c>
      <c r="V122" s="550">
        <v>5227</v>
      </c>
      <c r="W122" s="550">
        <v>5217</v>
      </c>
      <c r="X122" s="550">
        <v>5307</v>
      </c>
      <c r="Y122" s="550">
        <v>5295</v>
      </c>
      <c r="Z122" s="550">
        <v>5283</v>
      </c>
      <c r="AA122" s="550">
        <v>5272</v>
      </c>
      <c r="AB122" s="550">
        <v>5213</v>
      </c>
      <c r="AC122" s="550"/>
      <c r="AD122" s="550">
        <v>5311</v>
      </c>
      <c r="AE122" s="550">
        <v>5309</v>
      </c>
      <c r="AF122" s="778">
        <f t="shared" si="1"/>
        <v>1.0009149180110108</v>
      </c>
    </row>
    <row r="123" spans="3:32">
      <c r="C123" s="549" t="s">
        <v>254</v>
      </c>
      <c r="D123" s="549">
        <v>2205706</v>
      </c>
      <c r="E123" s="549" t="s">
        <v>373</v>
      </c>
      <c r="F123" s="550">
        <v>22825</v>
      </c>
      <c r="G123" s="550">
        <v>24503</v>
      </c>
      <c r="H123" s="550">
        <v>24659</v>
      </c>
      <c r="I123" s="550">
        <v>24847</v>
      </c>
      <c r="J123" s="550">
        <v>25243</v>
      </c>
      <c r="K123" s="550">
        <v>25462</v>
      </c>
      <c r="L123" s="550">
        <v>25679</v>
      </c>
      <c r="M123" s="550">
        <v>26900</v>
      </c>
      <c r="N123" s="550">
        <v>26147</v>
      </c>
      <c r="O123" s="550">
        <v>27148</v>
      </c>
      <c r="P123" s="550">
        <v>28406</v>
      </c>
      <c r="Q123" s="550">
        <v>28725</v>
      </c>
      <c r="R123" s="550">
        <v>29034</v>
      </c>
      <c r="S123" s="550">
        <v>29252</v>
      </c>
      <c r="T123" s="550">
        <v>29415</v>
      </c>
      <c r="U123" s="550">
        <v>29558</v>
      </c>
      <c r="V123" s="550">
        <v>29683</v>
      </c>
      <c r="W123" s="550">
        <v>29792</v>
      </c>
      <c r="X123" s="550">
        <v>30177</v>
      </c>
      <c r="Y123" s="550">
        <v>30311</v>
      </c>
      <c r="Z123" s="550">
        <v>30438</v>
      </c>
      <c r="AA123" s="550">
        <v>30558</v>
      </c>
      <c r="AB123" s="550">
        <v>30641</v>
      </c>
      <c r="AC123" s="550"/>
      <c r="AD123" s="550">
        <v>31775</v>
      </c>
      <c r="AE123" s="550">
        <v>31901</v>
      </c>
      <c r="AF123" s="778">
        <f t="shared" si="1"/>
        <v>1.0134813014231445</v>
      </c>
    </row>
    <row r="124" spans="3:32">
      <c r="C124" s="549" t="s">
        <v>254</v>
      </c>
      <c r="D124" s="549">
        <v>2205805</v>
      </c>
      <c r="E124" s="549" t="s">
        <v>374</v>
      </c>
      <c r="F124" s="550">
        <v>25864</v>
      </c>
      <c r="G124" s="550">
        <v>23841</v>
      </c>
      <c r="H124" s="550">
        <v>23714</v>
      </c>
      <c r="I124" s="550">
        <v>23561</v>
      </c>
      <c r="J124" s="550">
        <v>23241</v>
      </c>
      <c r="K124" s="550">
        <v>23064</v>
      </c>
      <c r="L124" s="550">
        <v>22888</v>
      </c>
      <c r="M124" s="550">
        <v>25021</v>
      </c>
      <c r="N124" s="550">
        <v>24323</v>
      </c>
      <c r="O124" s="550">
        <v>25099</v>
      </c>
      <c r="P124" s="550">
        <v>24721</v>
      </c>
      <c r="Q124" s="550">
        <v>24774</v>
      </c>
      <c r="R124" s="550">
        <v>24824</v>
      </c>
      <c r="S124" s="550">
        <v>25005</v>
      </c>
      <c r="T124" s="550">
        <v>25028</v>
      </c>
      <c r="U124" s="550">
        <v>25049</v>
      </c>
      <c r="V124" s="550">
        <v>25067</v>
      </c>
      <c r="W124" s="550">
        <v>25082</v>
      </c>
      <c r="X124" s="550">
        <v>25467</v>
      </c>
      <c r="Y124" s="550">
        <v>25486</v>
      </c>
      <c r="Z124" s="550">
        <v>25504</v>
      </c>
      <c r="AA124" s="550">
        <v>25521</v>
      </c>
      <c r="AB124" s="550">
        <v>25375</v>
      </c>
      <c r="AC124" s="550"/>
      <c r="AD124" s="550">
        <v>26204</v>
      </c>
      <c r="AE124" s="550">
        <v>26143</v>
      </c>
      <c r="AF124" s="778">
        <f t="shared" si="1"/>
        <v>1.0004292692228307</v>
      </c>
    </row>
    <row r="125" spans="3:32">
      <c r="C125" s="549" t="s">
        <v>254</v>
      </c>
      <c r="D125" s="549">
        <v>2205854</v>
      </c>
      <c r="E125" s="549" t="s">
        <v>375</v>
      </c>
      <c r="F125" s="550">
        <v>5838</v>
      </c>
      <c r="G125" s="550">
        <v>6889</v>
      </c>
      <c r="H125" s="550">
        <v>6980</v>
      </c>
      <c r="I125" s="550">
        <v>7077</v>
      </c>
      <c r="J125" s="550">
        <v>7280</v>
      </c>
      <c r="K125" s="550">
        <v>7392</v>
      </c>
      <c r="L125" s="550">
        <v>7504</v>
      </c>
      <c r="M125" s="550">
        <v>7902</v>
      </c>
      <c r="N125" s="550">
        <v>7680</v>
      </c>
      <c r="O125" s="550">
        <v>8012</v>
      </c>
      <c r="P125" s="550">
        <v>7816</v>
      </c>
      <c r="Q125" s="550">
        <v>7897</v>
      </c>
      <c r="R125" s="550">
        <v>7974</v>
      </c>
      <c r="S125" s="550">
        <v>8034</v>
      </c>
      <c r="T125" s="550">
        <v>8075</v>
      </c>
      <c r="U125" s="550">
        <v>8111</v>
      </c>
      <c r="V125" s="550">
        <v>8143</v>
      </c>
      <c r="W125" s="550">
        <v>8170</v>
      </c>
      <c r="X125" s="550">
        <v>8276</v>
      </c>
      <c r="Y125" s="550">
        <v>8310</v>
      </c>
      <c r="Z125" s="550">
        <v>8342</v>
      </c>
      <c r="AA125" s="550">
        <v>8372</v>
      </c>
      <c r="AB125" s="550">
        <v>8032</v>
      </c>
      <c r="AC125" s="550"/>
      <c r="AD125" s="550">
        <v>8218</v>
      </c>
      <c r="AE125" s="550">
        <v>8231</v>
      </c>
      <c r="AF125" s="778">
        <f t="shared" si="1"/>
        <v>1.0138356079235153</v>
      </c>
    </row>
    <row r="126" spans="3:32">
      <c r="C126" s="549" t="s">
        <v>254</v>
      </c>
      <c r="D126" s="549">
        <v>2205904</v>
      </c>
      <c r="E126" s="549" t="s">
        <v>376</v>
      </c>
      <c r="F126" s="550">
        <v>4447</v>
      </c>
      <c r="G126" s="550">
        <v>5125</v>
      </c>
      <c r="H126" s="550">
        <v>5106</v>
      </c>
      <c r="I126" s="550">
        <v>5085</v>
      </c>
      <c r="J126" s="550">
        <v>5042</v>
      </c>
      <c r="K126" s="550">
        <v>5018</v>
      </c>
      <c r="L126" s="550">
        <v>4994</v>
      </c>
      <c r="M126" s="550">
        <v>5511</v>
      </c>
      <c r="N126" s="550">
        <v>5357</v>
      </c>
      <c r="O126" s="550">
        <v>5543</v>
      </c>
      <c r="P126" s="550">
        <v>5213</v>
      </c>
      <c r="Q126" s="550">
        <v>5218</v>
      </c>
      <c r="R126" s="550">
        <v>5223</v>
      </c>
      <c r="S126" s="550">
        <v>5260</v>
      </c>
      <c r="T126" s="550">
        <v>5262</v>
      </c>
      <c r="U126" s="550">
        <v>5263</v>
      </c>
      <c r="V126" s="550">
        <v>5265</v>
      </c>
      <c r="W126" s="550">
        <v>5266</v>
      </c>
      <c r="X126" s="550">
        <v>5348</v>
      </c>
      <c r="Y126" s="550">
        <v>5349</v>
      </c>
      <c r="Z126" s="550">
        <v>5351</v>
      </c>
      <c r="AA126" s="550">
        <v>5352</v>
      </c>
      <c r="AB126" s="550">
        <v>5209</v>
      </c>
      <c r="AC126" s="550"/>
      <c r="AD126" s="550">
        <v>5314</v>
      </c>
      <c r="AE126" s="550">
        <v>5315</v>
      </c>
      <c r="AF126" s="778">
        <f t="shared" si="1"/>
        <v>1.0071576262374797</v>
      </c>
    </row>
    <row r="127" spans="3:32">
      <c r="C127" s="549" t="s">
        <v>254</v>
      </c>
      <c r="D127" s="549">
        <v>2205953</v>
      </c>
      <c r="E127" s="549" t="s">
        <v>377</v>
      </c>
      <c r="F127" s="550">
        <v>6556</v>
      </c>
      <c r="G127" s="550">
        <v>6344</v>
      </c>
      <c r="H127" s="550">
        <v>6469</v>
      </c>
      <c r="I127" s="550">
        <v>6604</v>
      </c>
      <c r="J127" s="550">
        <v>6888</v>
      </c>
      <c r="K127" s="550">
        <v>7044</v>
      </c>
      <c r="L127" s="550">
        <v>7200</v>
      </c>
      <c r="M127" s="550">
        <v>7361</v>
      </c>
      <c r="N127" s="550">
        <v>7154</v>
      </c>
      <c r="O127" s="550">
        <v>7477</v>
      </c>
      <c r="P127" s="550">
        <v>7812</v>
      </c>
      <c r="Q127" s="550">
        <v>7938</v>
      </c>
      <c r="R127" s="550">
        <v>8059</v>
      </c>
      <c r="S127" s="550">
        <v>8121</v>
      </c>
      <c r="T127" s="550">
        <v>8186</v>
      </c>
      <c r="U127" s="550">
        <v>8249</v>
      </c>
      <c r="V127" s="550">
        <v>8299</v>
      </c>
      <c r="W127" s="550">
        <v>8342</v>
      </c>
      <c r="X127" s="550">
        <v>8439</v>
      </c>
      <c r="Y127" s="550">
        <v>8492</v>
      </c>
      <c r="Z127" s="550">
        <v>8543</v>
      </c>
      <c r="AA127" s="550">
        <v>8590</v>
      </c>
      <c r="AB127" s="550">
        <v>8533</v>
      </c>
      <c r="AC127" s="550"/>
      <c r="AD127" s="550">
        <v>8783</v>
      </c>
      <c r="AE127" s="550">
        <v>8822</v>
      </c>
      <c r="AF127" s="778">
        <f t="shared" si="1"/>
        <v>1.0119455019954342</v>
      </c>
    </row>
    <row r="128" spans="3:32">
      <c r="C128" s="549" t="s">
        <v>254</v>
      </c>
      <c r="D128" s="549">
        <v>2206001</v>
      </c>
      <c r="E128" s="549" t="s">
        <v>378</v>
      </c>
      <c r="F128" s="550">
        <v>4630</v>
      </c>
      <c r="G128" s="550">
        <v>4308</v>
      </c>
      <c r="H128" s="550">
        <v>4341</v>
      </c>
      <c r="I128" s="550">
        <v>4370</v>
      </c>
      <c r="J128" s="550">
        <v>4430</v>
      </c>
      <c r="K128" s="550">
        <v>4464</v>
      </c>
      <c r="L128" s="550">
        <v>4713</v>
      </c>
      <c r="M128" s="550">
        <v>4318</v>
      </c>
      <c r="N128" s="550">
        <v>4198</v>
      </c>
      <c r="O128" s="550">
        <v>4297</v>
      </c>
      <c r="P128" s="550">
        <v>4456</v>
      </c>
      <c r="Q128" s="550">
        <v>4455</v>
      </c>
      <c r="R128" s="550">
        <v>4453</v>
      </c>
      <c r="S128" s="550">
        <v>4484</v>
      </c>
      <c r="T128" s="550">
        <v>4482</v>
      </c>
      <c r="U128" s="550">
        <v>4481</v>
      </c>
      <c r="V128" s="550">
        <v>4479</v>
      </c>
      <c r="W128" s="550">
        <v>4478</v>
      </c>
      <c r="X128" s="550">
        <v>4550</v>
      </c>
      <c r="Y128" s="550">
        <v>4549</v>
      </c>
      <c r="Z128" s="550">
        <v>4547</v>
      </c>
      <c r="AA128" s="550">
        <v>4546</v>
      </c>
      <c r="AB128" s="550">
        <v>4724</v>
      </c>
      <c r="AC128" s="550"/>
      <c r="AD128" s="550">
        <v>4848</v>
      </c>
      <c r="AE128" s="550">
        <v>4863</v>
      </c>
      <c r="AF128" s="778">
        <f t="shared" si="1"/>
        <v>1.0019658763390709</v>
      </c>
    </row>
    <row r="129" spans="3:32">
      <c r="C129" s="549" t="s">
        <v>254</v>
      </c>
      <c r="D129" s="549">
        <v>2206050</v>
      </c>
      <c r="E129" s="549" t="s">
        <v>379</v>
      </c>
      <c r="F129" s="550">
        <v>5711</v>
      </c>
      <c r="G129" s="550">
        <v>6035</v>
      </c>
      <c r="H129" s="550">
        <v>6126</v>
      </c>
      <c r="I129" s="550">
        <v>6191</v>
      </c>
      <c r="J129" s="550">
        <v>6326</v>
      </c>
      <c r="K129" s="550">
        <v>6400</v>
      </c>
      <c r="L129" s="550">
        <v>6474</v>
      </c>
      <c r="M129" s="550">
        <v>6613</v>
      </c>
      <c r="N129" s="550">
        <v>6428</v>
      </c>
      <c r="O129" s="550">
        <v>6672</v>
      </c>
      <c r="P129" s="550">
        <v>6220</v>
      </c>
      <c r="Q129" s="550">
        <v>6240</v>
      </c>
      <c r="R129" s="550">
        <v>6260</v>
      </c>
      <c r="S129" s="550">
        <v>6305</v>
      </c>
      <c r="T129" s="550">
        <v>6315</v>
      </c>
      <c r="U129" s="550">
        <v>6323</v>
      </c>
      <c r="V129" s="550">
        <v>6332</v>
      </c>
      <c r="W129" s="550">
        <v>6338</v>
      </c>
      <c r="X129" s="550">
        <v>6434</v>
      </c>
      <c r="Y129" s="550">
        <v>6441</v>
      </c>
      <c r="Z129" s="550">
        <v>6449</v>
      </c>
      <c r="AA129" s="550">
        <v>6456</v>
      </c>
      <c r="AB129" s="550">
        <v>5218</v>
      </c>
      <c r="AC129" s="550"/>
      <c r="AD129" s="550">
        <v>5215</v>
      </c>
      <c r="AE129" s="550">
        <v>5165</v>
      </c>
      <c r="AF129" s="778">
        <f t="shared" si="1"/>
        <v>0.99598850613976164</v>
      </c>
    </row>
    <row r="130" spans="3:32">
      <c r="C130" s="549" t="s">
        <v>254</v>
      </c>
      <c r="D130" s="549">
        <v>2206100</v>
      </c>
      <c r="E130" s="549" t="s">
        <v>380</v>
      </c>
      <c r="F130" s="550">
        <v>9128</v>
      </c>
      <c r="G130" s="550">
        <v>9868</v>
      </c>
      <c r="H130" s="550">
        <v>9984</v>
      </c>
      <c r="I130" s="550">
        <v>10103</v>
      </c>
      <c r="J130" s="550">
        <v>10353</v>
      </c>
      <c r="K130" s="550">
        <v>10492</v>
      </c>
      <c r="L130" s="550">
        <v>10629</v>
      </c>
      <c r="M130" s="550">
        <v>10766</v>
      </c>
      <c r="N130" s="550">
        <v>10465</v>
      </c>
      <c r="O130" s="550">
        <v>10863</v>
      </c>
      <c r="P130" s="550">
        <v>10473</v>
      </c>
      <c r="Q130" s="550">
        <v>10531</v>
      </c>
      <c r="R130" s="550">
        <v>10586</v>
      </c>
      <c r="S130" s="550">
        <v>10664</v>
      </c>
      <c r="T130" s="550">
        <v>10693</v>
      </c>
      <c r="U130" s="550">
        <v>10718</v>
      </c>
      <c r="V130" s="550">
        <v>10740</v>
      </c>
      <c r="W130" s="550">
        <v>10759</v>
      </c>
      <c r="X130" s="550">
        <v>10913</v>
      </c>
      <c r="Y130" s="550">
        <v>10936</v>
      </c>
      <c r="Z130" s="550">
        <v>10958</v>
      </c>
      <c r="AA130" s="550">
        <v>10979</v>
      </c>
      <c r="AB130" s="550">
        <v>10641</v>
      </c>
      <c r="AC130" s="550"/>
      <c r="AD130" s="550">
        <v>10875</v>
      </c>
      <c r="AE130" s="550">
        <v>10886</v>
      </c>
      <c r="AF130" s="778">
        <f t="shared" si="1"/>
        <v>1.0070701139715807</v>
      </c>
    </row>
    <row r="131" spans="3:32">
      <c r="C131" s="549" t="s">
        <v>254</v>
      </c>
      <c r="D131" s="549">
        <v>2206209</v>
      </c>
      <c r="E131" s="549" t="s">
        <v>381</v>
      </c>
      <c r="F131" s="550">
        <v>28216</v>
      </c>
      <c r="G131" s="550">
        <v>30104</v>
      </c>
      <c r="H131" s="550">
        <v>30306</v>
      </c>
      <c r="I131" s="550">
        <v>30517</v>
      </c>
      <c r="J131" s="550">
        <v>30962</v>
      </c>
      <c r="K131" s="550">
        <v>31209</v>
      </c>
      <c r="L131" s="550">
        <v>31453</v>
      </c>
      <c r="M131" s="550">
        <v>33104</v>
      </c>
      <c r="N131" s="550">
        <v>32178</v>
      </c>
      <c r="O131" s="550">
        <v>33410</v>
      </c>
      <c r="P131" s="550">
        <v>32289</v>
      </c>
      <c r="Q131" s="550">
        <v>32477</v>
      </c>
      <c r="R131" s="550">
        <v>32658</v>
      </c>
      <c r="S131" s="550">
        <v>32900</v>
      </c>
      <c r="T131" s="550">
        <v>32993</v>
      </c>
      <c r="U131" s="550">
        <v>33075</v>
      </c>
      <c r="V131" s="550">
        <v>33146</v>
      </c>
      <c r="W131" s="550">
        <v>33209</v>
      </c>
      <c r="X131" s="550">
        <v>33684</v>
      </c>
      <c r="Y131" s="550">
        <v>33760</v>
      </c>
      <c r="Z131" s="550">
        <v>33833</v>
      </c>
      <c r="AA131" s="550">
        <v>33901</v>
      </c>
      <c r="AB131" s="550">
        <v>32150</v>
      </c>
      <c r="AC131" s="550"/>
      <c r="AD131" s="550">
        <v>33071</v>
      </c>
      <c r="AE131" s="550">
        <v>33074</v>
      </c>
      <c r="AF131" s="778">
        <f t="shared" si="1"/>
        <v>1.0063745628849001</v>
      </c>
    </row>
    <row r="132" spans="3:32">
      <c r="C132" s="549" t="s">
        <v>254</v>
      </c>
      <c r="D132" s="549">
        <v>2206308</v>
      </c>
      <c r="E132" s="549" t="s">
        <v>382</v>
      </c>
      <c r="F132" s="550">
        <v>1676</v>
      </c>
      <c r="G132" s="550">
        <v>1382</v>
      </c>
      <c r="H132" s="550">
        <v>1394</v>
      </c>
      <c r="I132" s="550">
        <v>1406</v>
      </c>
      <c r="J132" s="550">
        <v>1430</v>
      </c>
      <c r="K132" s="550">
        <v>1443</v>
      </c>
      <c r="L132" s="550">
        <v>1456</v>
      </c>
      <c r="M132" s="550">
        <v>1228</v>
      </c>
      <c r="N132" s="550">
        <v>1194</v>
      </c>
      <c r="O132" s="550">
        <v>1212</v>
      </c>
      <c r="P132" s="550">
        <v>1253</v>
      </c>
      <c r="Q132" s="550">
        <v>1245</v>
      </c>
      <c r="R132" s="550">
        <v>1236</v>
      </c>
      <c r="S132" s="550">
        <v>1244</v>
      </c>
      <c r="T132" s="550">
        <v>1239</v>
      </c>
      <c r="U132" s="550">
        <v>1235</v>
      </c>
      <c r="V132" s="550">
        <v>1231</v>
      </c>
      <c r="W132" s="550">
        <v>1228</v>
      </c>
      <c r="X132" s="550">
        <v>1250</v>
      </c>
      <c r="Y132" s="550">
        <v>1246</v>
      </c>
      <c r="Z132" s="550">
        <v>1242</v>
      </c>
      <c r="AA132" s="550">
        <v>1239</v>
      </c>
      <c r="AB132" s="550">
        <v>1318</v>
      </c>
      <c r="AC132" s="550"/>
      <c r="AD132" s="550">
        <v>1352</v>
      </c>
      <c r="AE132" s="550">
        <v>1355</v>
      </c>
      <c r="AF132" s="778">
        <f t="shared" si="1"/>
        <v>0.99153171771300352</v>
      </c>
    </row>
    <row r="133" spans="3:32">
      <c r="C133" s="549" t="s">
        <v>254</v>
      </c>
      <c r="D133" s="549">
        <v>2206357</v>
      </c>
      <c r="E133" s="549" t="s">
        <v>383</v>
      </c>
      <c r="F133" s="550">
        <v>5569</v>
      </c>
      <c r="G133" s="550">
        <v>7110</v>
      </c>
      <c r="H133" s="550">
        <v>7237</v>
      </c>
      <c r="I133" s="550">
        <v>7393</v>
      </c>
      <c r="J133" s="550">
        <v>7721</v>
      </c>
      <c r="K133" s="550">
        <v>7903</v>
      </c>
      <c r="L133" s="550">
        <v>8083</v>
      </c>
      <c r="M133" s="550">
        <v>7220</v>
      </c>
      <c r="N133" s="550">
        <v>7018</v>
      </c>
      <c r="O133" s="550">
        <v>7246</v>
      </c>
      <c r="P133" s="550">
        <v>6769</v>
      </c>
      <c r="Q133" s="550">
        <v>6759</v>
      </c>
      <c r="R133" s="550">
        <v>6750</v>
      </c>
      <c r="S133" s="550">
        <v>6797</v>
      </c>
      <c r="T133" s="550">
        <v>6791</v>
      </c>
      <c r="U133" s="550">
        <v>6517</v>
      </c>
      <c r="V133" s="550">
        <v>6513</v>
      </c>
      <c r="W133" s="550">
        <v>6511</v>
      </c>
      <c r="X133" s="550">
        <v>6617</v>
      </c>
      <c r="Y133" s="550">
        <v>6613</v>
      </c>
      <c r="Z133" s="550">
        <v>6608</v>
      </c>
      <c r="AA133" s="550">
        <v>6603</v>
      </c>
      <c r="AB133" s="550">
        <v>6542</v>
      </c>
      <c r="AC133" s="550"/>
      <c r="AD133" s="550">
        <v>6678</v>
      </c>
      <c r="AE133" s="550">
        <v>6681</v>
      </c>
      <c r="AF133" s="778">
        <f t="shared" si="1"/>
        <v>1.0073086657655761</v>
      </c>
    </row>
    <row r="134" spans="3:32">
      <c r="C134" s="549" t="s">
        <v>254</v>
      </c>
      <c r="D134" s="549">
        <v>2206407</v>
      </c>
      <c r="E134" s="549" t="s">
        <v>384</v>
      </c>
      <c r="F134" s="550">
        <v>10668</v>
      </c>
      <c r="G134" s="550">
        <v>10392</v>
      </c>
      <c r="H134" s="550">
        <v>10468</v>
      </c>
      <c r="I134" s="550">
        <v>10542</v>
      </c>
      <c r="J134" s="550">
        <v>10696</v>
      </c>
      <c r="K134" s="550">
        <v>10782</v>
      </c>
      <c r="L134" s="550">
        <v>10867</v>
      </c>
      <c r="M134" s="550">
        <v>10616</v>
      </c>
      <c r="N134" s="550">
        <v>10321</v>
      </c>
      <c r="O134" s="550">
        <v>10639</v>
      </c>
      <c r="P134" s="550">
        <v>10333</v>
      </c>
      <c r="Q134" s="550">
        <v>10335</v>
      </c>
      <c r="R134" s="550">
        <v>10337</v>
      </c>
      <c r="S134" s="550">
        <v>10411</v>
      </c>
      <c r="T134" s="550">
        <v>10410</v>
      </c>
      <c r="U134" s="550">
        <v>10410</v>
      </c>
      <c r="V134" s="550">
        <v>10409</v>
      </c>
      <c r="W134" s="550">
        <v>10409</v>
      </c>
      <c r="X134" s="550">
        <v>10565</v>
      </c>
      <c r="Y134" s="550">
        <v>10564</v>
      </c>
      <c r="Z134" s="550">
        <v>10564</v>
      </c>
      <c r="AA134" s="550">
        <v>10563</v>
      </c>
      <c r="AB134" s="550">
        <v>10255</v>
      </c>
      <c r="AC134" s="550"/>
      <c r="AD134" s="550">
        <v>10455</v>
      </c>
      <c r="AE134" s="550">
        <v>10513</v>
      </c>
      <c r="AF134" s="778">
        <f t="shared" ref="AF134:AF197" si="2">(AE134/F134)^(1/($AE$4-$F$4))</f>
        <v>0.99941473054797825</v>
      </c>
    </row>
    <row r="135" spans="3:32">
      <c r="C135" s="549" t="s">
        <v>254</v>
      </c>
      <c r="D135" s="549">
        <v>2206506</v>
      </c>
      <c r="E135" s="549" t="s">
        <v>385</v>
      </c>
      <c r="F135" s="550">
        <v>6750</v>
      </c>
      <c r="G135" s="550">
        <v>6812</v>
      </c>
      <c r="H135" s="550">
        <v>6867</v>
      </c>
      <c r="I135" s="550">
        <v>6914</v>
      </c>
      <c r="J135" s="550">
        <v>7014</v>
      </c>
      <c r="K135" s="550">
        <v>7070</v>
      </c>
      <c r="L135" s="550">
        <v>7125</v>
      </c>
      <c r="M135" s="550">
        <v>7369</v>
      </c>
      <c r="N135" s="550">
        <v>7163</v>
      </c>
      <c r="O135" s="550">
        <v>7425</v>
      </c>
      <c r="P135" s="550">
        <v>7391</v>
      </c>
      <c r="Q135" s="550">
        <v>7440</v>
      </c>
      <c r="R135" s="550">
        <v>7486</v>
      </c>
      <c r="S135" s="550">
        <v>7541</v>
      </c>
      <c r="T135" s="550">
        <v>7565</v>
      </c>
      <c r="U135" s="550">
        <v>7586</v>
      </c>
      <c r="V135" s="550">
        <v>7605</v>
      </c>
      <c r="W135" s="550">
        <v>7621</v>
      </c>
      <c r="X135" s="550">
        <v>7729</v>
      </c>
      <c r="Y135" s="550">
        <v>7749</v>
      </c>
      <c r="Z135" s="550">
        <v>7767</v>
      </c>
      <c r="AA135" s="550">
        <v>7785</v>
      </c>
      <c r="AB135" s="550">
        <v>7577</v>
      </c>
      <c r="AC135" s="550"/>
      <c r="AD135" s="550">
        <v>7751</v>
      </c>
      <c r="AE135" s="550">
        <v>7762</v>
      </c>
      <c r="AF135" s="778">
        <f t="shared" si="2"/>
        <v>1.0056035425626704</v>
      </c>
    </row>
    <row r="136" spans="3:32">
      <c r="C136" s="549" t="s">
        <v>254</v>
      </c>
      <c r="D136" s="549">
        <v>2206605</v>
      </c>
      <c r="E136" s="549" t="s">
        <v>386</v>
      </c>
      <c r="F136" s="550">
        <v>9315</v>
      </c>
      <c r="G136" s="550">
        <v>10332</v>
      </c>
      <c r="H136" s="550">
        <v>10395</v>
      </c>
      <c r="I136" s="550">
        <v>10472</v>
      </c>
      <c r="J136" s="550">
        <v>10632</v>
      </c>
      <c r="K136" s="550">
        <v>10721</v>
      </c>
      <c r="L136" s="550">
        <v>10809</v>
      </c>
      <c r="M136" s="550">
        <v>10632</v>
      </c>
      <c r="N136" s="550">
        <v>10335</v>
      </c>
      <c r="O136" s="550">
        <v>10663</v>
      </c>
      <c r="P136" s="550">
        <v>10345</v>
      </c>
      <c r="Q136" s="550">
        <v>10354</v>
      </c>
      <c r="R136" s="550">
        <v>10363</v>
      </c>
      <c r="S136" s="550">
        <v>10438</v>
      </c>
      <c r="T136" s="550">
        <v>10441</v>
      </c>
      <c r="U136" s="550">
        <v>10444</v>
      </c>
      <c r="V136" s="550">
        <v>10446</v>
      </c>
      <c r="W136" s="550">
        <v>10448</v>
      </c>
      <c r="X136" s="550">
        <v>10611</v>
      </c>
      <c r="Y136" s="550">
        <v>10613</v>
      </c>
      <c r="Z136" s="550">
        <v>10615</v>
      </c>
      <c r="AA136" s="550">
        <v>10618</v>
      </c>
      <c r="AB136" s="550">
        <v>10660</v>
      </c>
      <c r="AC136" s="550"/>
      <c r="AD136" s="550">
        <v>10910</v>
      </c>
      <c r="AE136" s="550">
        <v>10928</v>
      </c>
      <c r="AF136" s="778">
        <f t="shared" si="2"/>
        <v>1.0064085393271007</v>
      </c>
    </row>
    <row r="137" spans="3:32">
      <c r="C137" s="549" t="s">
        <v>254</v>
      </c>
      <c r="D137" s="549">
        <v>2206654</v>
      </c>
      <c r="E137" s="549" t="s">
        <v>387</v>
      </c>
      <c r="F137" s="550">
        <v>4462</v>
      </c>
      <c r="G137" s="550">
        <v>4478</v>
      </c>
      <c r="H137" s="550">
        <v>4509</v>
      </c>
      <c r="I137" s="550">
        <v>4547</v>
      </c>
      <c r="J137" s="550">
        <v>4358</v>
      </c>
      <c r="K137" s="550">
        <v>4400</v>
      </c>
      <c r="L137" s="550">
        <v>4442</v>
      </c>
      <c r="M137" s="550">
        <v>4362</v>
      </c>
      <c r="N137" s="550">
        <v>4241</v>
      </c>
      <c r="O137" s="550">
        <v>4378</v>
      </c>
      <c r="P137" s="550">
        <v>4068</v>
      </c>
      <c r="Q137" s="550">
        <v>4061</v>
      </c>
      <c r="R137" s="550">
        <v>4053</v>
      </c>
      <c r="S137" s="550">
        <v>4082</v>
      </c>
      <c r="T137" s="550">
        <v>4077</v>
      </c>
      <c r="U137" s="550">
        <v>4073</v>
      </c>
      <c r="V137" s="550">
        <v>4070</v>
      </c>
      <c r="W137" s="550">
        <v>4066</v>
      </c>
      <c r="X137" s="550">
        <v>4533</v>
      </c>
      <c r="Y137" s="550">
        <v>4532</v>
      </c>
      <c r="Z137" s="550">
        <v>4530</v>
      </c>
      <c r="AA137" s="550">
        <v>4527</v>
      </c>
      <c r="AB137" s="550">
        <v>4377</v>
      </c>
      <c r="AC137" s="550"/>
      <c r="AD137" s="550">
        <v>4458</v>
      </c>
      <c r="AE137" s="550">
        <v>4456</v>
      </c>
      <c r="AF137" s="778">
        <f t="shared" si="2"/>
        <v>0.99994617771305694</v>
      </c>
    </row>
    <row r="138" spans="3:32">
      <c r="C138" s="549" t="s">
        <v>254</v>
      </c>
      <c r="D138" s="549">
        <v>2206670</v>
      </c>
      <c r="E138" s="549" t="s">
        <v>388</v>
      </c>
      <c r="F138" s="550">
        <v>4863</v>
      </c>
      <c r="G138" s="550">
        <v>6189</v>
      </c>
      <c r="H138" s="550">
        <v>6308</v>
      </c>
      <c r="I138" s="550">
        <v>6448</v>
      </c>
      <c r="J138" s="550">
        <v>6742</v>
      </c>
      <c r="K138" s="550">
        <v>6904</v>
      </c>
      <c r="L138" s="550">
        <v>7066</v>
      </c>
      <c r="M138" s="550">
        <v>6560</v>
      </c>
      <c r="N138" s="550">
        <v>6377</v>
      </c>
      <c r="O138" s="550">
        <v>6611</v>
      </c>
      <c r="P138" s="550">
        <v>6499</v>
      </c>
      <c r="Q138" s="550">
        <v>6537</v>
      </c>
      <c r="R138" s="550">
        <v>6574</v>
      </c>
      <c r="S138" s="550">
        <v>6622</v>
      </c>
      <c r="T138" s="550">
        <v>6641</v>
      </c>
      <c r="U138" s="550">
        <v>6657</v>
      </c>
      <c r="V138" s="550">
        <v>6672</v>
      </c>
      <c r="W138" s="550">
        <v>6684</v>
      </c>
      <c r="X138" s="550">
        <v>6781</v>
      </c>
      <c r="Y138" s="550">
        <v>6796</v>
      </c>
      <c r="Z138" s="550">
        <v>6811</v>
      </c>
      <c r="AA138" s="550">
        <v>6825</v>
      </c>
      <c r="AB138" s="550">
        <v>6425</v>
      </c>
      <c r="AC138" s="550"/>
      <c r="AD138" s="550">
        <v>6547</v>
      </c>
      <c r="AE138" s="550">
        <v>6548</v>
      </c>
      <c r="AF138" s="778">
        <f t="shared" si="2"/>
        <v>1.0119712537975949</v>
      </c>
    </row>
    <row r="139" spans="3:32">
      <c r="C139" s="549" t="s">
        <v>254</v>
      </c>
      <c r="D139" s="549">
        <v>2206696</v>
      </c>
      <c r="E139" s="549" t="s">
        <v>389</v>
      </c>
      <c r="F139" s="550">
        <v>5918</v>
      </c>
      <c r="G139" s="550">
        <v>6394</v>
      </c>
      <c r="H139" s="550">
        <v>6400</v>
      </c>
      <c r="I139" s="550">
        <v>6411</v>
      </c>
      <c r="J139" s="550">
        <v>6436</v>
      </c>
      <c r="K139" s="550">
        <v>6449</v>
      </c>
      <c r="L139" s="550">
        <v>6462</v>
      </c>
      <c r="M139" s="550">
        <v>7877</v>
      </c>
      <c r="N139" s="550">
        <v>7655</v>
      </c>
      <c r="O139" s="550">
        <v>8024</v>
      </c>
      <c r="P139" s="550">
        <v>8464</v>
      </c>
      <c r="Q139" s="550">
        <v>8591</v>
      </c>
      <c r="R139" s="550">
        <v>8714</v>
      </c>
      <c r="S139" s="550">
        <v>8781</v>
      </c>
      <c r="T139" s="550">
        <v>8846</v>
      </c>
      <c r="U139" s="550">
        <v>8903</v>
      </c>
      <c r="V139" s="550">
        <v>8954</v>
      </c>
      <c r="W139" s="550">
        <v>8997</v>
      </c>
      <c r="X139" s="550">
        <v>9105</v>
      </c>
      <c r="Y139" s="550">
        <v>9159</v>
      </c>
      <c r="Z139" s="550">
        <v>9209</v>
      </c>
      <c r="AA139" s="550">
        <v>9258</v>
      </c>
      <c r="AB139" s="550">
        <v>9797</v>
      </c>
      <c r="AC139" s="550"/>
      <c r="AD139" s="550">
        <v>10139</v>
      </c>
      <c r="AE139" s="550">
        <v>10210</v>
      </c>
      <c r="AF139" s="778">
        <f t="shared" si="2"/>
        <v>1.0220544447662112</v>
      </c>
    </row>
    <row r="140" spans="3:32">
      <c r="C140" s="549" t="s">
        <v>254</v>
      </c>
      <c r="D140" s="549">
        <v>2206704</v>
      </c>
      <c r="E140" s="549" t="s">
        <v>390</v>
      </c>
      <c r="F140" s="550">
        <v>8334</v>
      </c>
      <c r="G140" s="550">
        <v>7793</v>
      </c>
      <c r="H140" s="550">
        <v>7800</v>
      </c>
      <c r="I140" s="550">
        <v>7797</v>
      </c>
      <c r="J140" s="550">
        <v>7792</v>
      </c>
      <c r="K140" s="550">
        <v>7789</v>
      </c>
      <c r="L140" s="550">
        <v>7786</v>
      </c>
      <c r="M140" s="550">
        <v>7144</v>
      </c>
      <c r="N140" s="550">
        <v>6947</v>
      </c>
      <c r="O140" s="550">
        <v>7070</v>
      </c>
      <c r="P140" s="550">
        <v>7321</v>
      </c>
      <c r="Q140" s="550">
        <v>7284</v>
      </c>
      <c r="R140" s="550">
        <v>7248</v>
      </c>
      <c r="S140" s="550">
        <v>7300</v>
      </c>
      <c r="T140" s="550">
        <v>7279</v>
      </c>
      <c r="U140" s="550">
        <v>7261</v>
      </c>
      <c r="V140" s="550">
        <v>7245</v>
      </c>
      <c r="W140" s="550">
        <v>7231</v>
      </c>
      <c r="X140" s="550">
        <v>7356</v>
      </c>
      <c r="Y140" s="550">
        <v>7339</v>
      </c>
      <c r="Z140" s="550">
        <v>7322</v>
      </c>
      <c r="AA140" s="550">
        <v>7307</v>
      </c>
      <c r="AB140" s="550">
        <v>6665</v>
      </c>
      <c r="AC140" s="550"/>
      <c r="AD140" s="550">
        <v>6729</v>
      </c>
      <c r="AE140" s="550">
        <v>6697</v>
      </c>
      <c r="AF140" s="778">
        <f t="shared" si="2"/>
        <v>0.99129079207553916</v>
      </c>
    </row>
    <row r="141" spans="3:32">
      <c r="C141" s="549" t="s">
        <v>254</v>
      </c>
      <c r="D141" s="549">
        <v>2206720</v>
      </c>
      <c r="E141" s="549" t="s">
        <v>391</v>
      </c>
      <c r="F141" s="549"/>
      <c r="G141" s="549"/>
      <c r="H141" s="549"/>
      <c r="I141" s="549"/>
      <c r="J141" s="549"/>
      <c r="K141" s="549"/>
      <c r="L141" s="549"/>
      <c r="M141" s="550">
        <v>7817</v>
      </c>
      <c r="N141" s="550"/>
      <c r="O141" s="550">
        <v>7895</v>
      </c>
      <c r="P141" s="550">
        <v>8068</v>
      </c>
      <c r="Q141" s="550">
        <v>8149</v>
      </c>
      <c r="R141" s="550">
        <v>8227</v>
      </c>
      <c r="S141" s="550">
        <v>8289</v>
      </c>
      <c r="T141" s="550">
        <v>8330</v>
      </c>
      <c r="U141" s="550">
        <v>8366</v>
      </c>
      <c r="V141" s="550">
        <v>8398</v>
      </c>
      <c r="W141" s="550">
        <v>8425</v>
      </c>
      <c r="X141" s="550">
        <v>8536</v>
      </c>
      <c r="Y141" s="550">
        <v>8570</v>
      </c>
      <c r="Z141" s="550">
        <v>8602</v>
      </c>
      <c r="AA141" s="550">
        <v>8632</v>
      </c>
      <c r="AB141" s="550">
        <v>10262</v>
      </c>
      <c r="AC141" s="550"/>
      <c r="AD141" s="550">
        <v>10706</v>
      </c>
      <c r="AE141" s="550">
        <v>10821</v>
      </c>
      <c r="AF141" s="778">
        <f>(AE141/M141)^(1/($AE$4-$F$4))</f>
        <v>1.0130924793576255</v>
      </c>
    </row>
    <row r="142" spans="3:32">
      <c r="C142" s="549" t="s">
        <v>254</v>
      </c>
      <c r="D142" s="549">
        <v>2206753</v>
      </c>
      <c r="E142" s="549" t="s">
        <v>392</v>
      </c>
      <c r="F142" s="550">
        <v>3250</v>
      </c>
      <c r="G142" s="550">
        <v>3893</v>
      </c>
      <c r="H142" s="550">
        <v>3904</v>
      </c>
      <c r="I142" s="550">
        <v>3922</v>
      </c>
      <c r="J142" s="550">
        <v>3960</v>
      </c>
      <c r="K142" s="550">
        <v>3982</v>
      </c>
      <c r="L142" s="550">
        <v>4002</v>
      </c>
      <c r="M142" s="550">
        <v>4165</v>
      </c>
      <c r="N142" s="550">
        <v>4048</v>
      </c>
      <c r="O142" s="550">
        <v>4192</v>
      </c>
      <c r="P142" s="550">
        <v>4556</v>
      </c>
      <c r="Q142" s="550">
        <v>4610</v>
      </c>
      <c r="R142" s="550">
        <v>4661</v>
      </c>
      <c r="S142" s="550">
        <v>4696</v>
      </c>
      <c r="T142" s="550">
        <v>4723</v>
      </c>
      <c r="U142" s="550">
        <v>4747</v>
      </c>
      <c r="V142" s="550">
        <v>4768</v>
      </c>
      <c r="W142" s="550">
        <v>4786</v>
      </c>
      <c r="X142" s="550">
        <v>4847</v>
      </c>
      <c r="Y142" s="550">
        <v>4870</v>
      </c>
      <c r="Z142" s="550">
        <v>4891</v>
      </c>
      <c r="AA142" s="550">
        <v>4911</v>
      </c>
      <c r="AB142" s="550">
        <v>5228</v>
      </c>
      <c r="AC142" s="550"/>
      <c r="AD142" s="550">
        <v>5406</v>
      </c>
      <c r="AE142" s="550">
        <v>5442</v>
      </c>
      <c r="AF142" s="778">
        <f t="shared" si="2"/>
        <v>1.020833719778073</v>
      </c>
    </row>
    <row r="143" spans="3:32">
      <c r="C143" s="549" t="s">
        <v>254</v>
      </c>
      <c r="D143" s="549">
        <v>2206803</v>
      </c>
      <c r="E143" s="549" t="s">
        <v>393</v>
      </c>
      <c r="F143" s="550">
        <v>8246</v>
      </c>
      <c r="G143" s="550">
        <v>7346</v>
      </c>
      <c r="H143" s="550">
        <v>7453</v>
      </c>
      <c r="I143" s="550">
        <v>7564</v>
      </c>
      <c r="J143" s="550">
        <v>7797</v>
      </c>
      <c r="K143" s="550">
        <v>7926</v>
      </c>
      <c r="L143" s="550">
        <v>8054</v>
      </c>
      <c r="M143" s="550">
        <v>8276</v>
      </c>
      <c r="N143" s="550">
        <v>8044</v>
      </c>
      <c r="O143" s="550">
        <v>8378</v>
      </c>
      <c r="P143" s="550">
        <v>8206</v>
      </c>
      <c r="Q143" s="550">
        <v>8283</v>
      </c>
      <c r="R143" s="550">
        <v>8356</v>
      </c>
      <c r="S143" s="550">
        <v>8419</v>
      </c>
      <c r="T143" s="550">
        <v>8457</v>
      </c>
      <c r="U143" s="550">
        <v>8491</v>
      </c>
      <c r="V143" s="550">
        <v>8521</v>
      </c>
      <c r="W143" s="550">
        <v>8547</v>
      </c>
      <c r="X143" s="550">
        <v>8661</v>
      </c>
      <c r="Y143" s="550">
        <v>8692</v>
      </c>
      <c r="Z143" s="550">
        <v>8723</v>
      </c>
      <c r="AA143" s="550">
        <v>8751</v>
      </c>
      <c r="AB143" s="550">
        <v>8525</v>
      </c>
      <c r="AC143" s="550"/>
      <c r="AD143" s="550">
        <v>8732</v>
      </c>
      <c r="AE143" s="550">
        <v>8751</v>
      </c>
      <c r="AF143" s="778">
        <f t="shared" si="2"/>
        <v>1.0023804185188052</v>
      </c>
    </row>
    <row r="144" spans="3:32">
      <c r="C144" s="549" t="s">
        <v>254</v>
      </c>
      <c r="D144" s="549">
        <v>2206902</v>
      </c>
      <c r="E144" s="549" t="s">
        <v>394</v>
      </c>
      <c r="F144" s="550">
        <v>6037</v>
      </c>
      <c r="G144" s="550">
        <v>6766</v>
      </c>
      <c r="H144" s="550">
        <v>6769</v>
      </c>
      <c r="I144" s="550">
        <v>6773</v>
      </c>
      <c r="J144" s="550">
        <v>6782</v>
      </c>
      <c r="K144" s="550">
        <v>6787</v>
      </c>
      <c r="L144" s="550">
        <v>6792</v>
      </c>
      <c r="M144" s="550">
        <v>6367</v>
      </c>
      <c r="N144" s="550">
        <v>6191</v>
      </c>
      <c r="O144" s="550">
        <v>6321</v>
      </c>
      <c r="P144" s="550">
        <v>6498</v>
      </c>
      <c r="Q144" s="550">
        <v>6478</v>
      </c>
      <c r="R144" s="550">
        <v>6459</v>
      </c>
      <c r="S144" s="550">
        <v>6505</v>
      </c>
      <c r="T144" s="550">
        <v>6493</v>
      </c>
      <c r="U144" s="550">
        <v>6483</v>
      </c>
      <c r="V144" s="550">
        <v>6474</v>
      </c>
      <c r="W144" s="550">
        <v>6466</v>
      </c>
      <c r="X144" s="550">
        <v>6575</v>
      </c>
      <c r="Y144" s="550">
        <v>6565</v>
      </c>
      <c r="Z144" s="550">
        <v>6556</v>
      </c>
      <c r="AA144" s="550">
        <v>6548</v>
      </c>
      <c r="AB144" s="550">
        <v>6097</v>
      </c>
      <c r="AC144" s="550"/>
      <c r="AD144" s="550">
        <v>6178</v>
      </c>
      <c r="AE144" s="550">
        <v>6158</v>
      </c>
      <c r="AF144" s="778">
        <f t="shared" si="2"/>
        <v>1.0007941091253474</v>
      </c>
    </row>
    <row r="145" spans="3:32">
      <c r="C145" s="549" t="s">
        <v>254</v>
      </c>
      <c r="D145" s="549">
        <v>2206951</v>
      </c>
      <c r="E145" s="549" t="s">
        <v>395</v>
      </c>
      <c r="F145" s="550">
        <v>3244</v>
      </c>
      <c r="G145" s="550">
        <v>3153</v>
      </c>
      <c r="H145" s="550">
        <v>3144</v>
      </c>
      <c r="I145" s="550">
        <v>3139</v>
      </c>
      <c r="J145" s="550">
        <v>3129</v>
      </c>
      <c r="K145" s="550">
        <v>2779</v>
      </c>
      <c r="L145" s="550">
        <v>2774</v>
      </c>
      <c r="M145" s="550">
        <v>3481</v>
      </c>
      <c r="N145" s="550">
        <v>3383</v>
      </c>
      <c r="O145" s="550">
        <v>3547</v>
      </c>
      <c r="P145" s="550">
        <v>3260</v>
      </c>
      <c r="Q145" s="550">
        <v>3295</v>
      </c>
      <c r="R145" s="550">
        <v>3329</v>
      </c>
      <c r="S145" s="550">
        <v>3354</v>
      </c>
      <c r="T145" s="550">
        <v>3371</v>
      </c>
      <c r="U145" s="550">
        <v>3387</v>
      </c>
      <c r="V145" s="550">
        <v>2930</v>
      </c>
      <c r="W145" s="550">
        <v>2940</v>
      </c>
      <c r="X145" s="550">
        <v>2979</v>
      </c>
      <c r="Y145" s="550">
        <v>2991</v>
      </c>
      <c r="Z145" s="550">
        <v>3003</v>
      </c>
      <c r="AA145" s="550">
        <v>3014</v>
      </c>
      <c r="AB145" s="550">
        <v>2827</v>
      </c>
      <c r="AC145" s="550"/>
      <c r="AD145" s="550">
        <v>2886</v>
      </c>
      <c r="AE145" s="550">
        <v>2888</v>
      </c>
      <c r="AF145" s="778">
        <f t="shared" si="2"/>
        <v>0.99536107658845185</v>
      </c>
    </row>
    <row r="146" spans="3:32">
      <c r="C146" s="549" t="s">
        <v>254</v>
      </c>
      <c r="D146" s="549">
        <v>2207009</v>
      </c>
      <c r="E146" s="549" t="s">
        <v>396</v>
      </c>
      <c r="F146" s="550">
        <v>32309</v>
      </c>
      <c r="G146" s="550">
        <v>34138</v>
      </c>
      <c r="H146" s="550">
        <v>34339</v>
      </c>
      <c r="I146" s="550">
        <v>34538</v>
      </c>
      <c r="J146" s="550">
        <v>34760</v>
      </c>
      <c r="K146" s="550">
        <v>34989</v>
      </c>
      <c r="L146" s="550">
        <v>35218</v>
      </c>
      <c r="M146" s="550">
        <v>36082</v>
      </c>
      <c r="N146" s="550">
        <v>35075</v>
      </c>
      <c r="O146" s="550">
        <v>36293</v>
      </c>
      <c r="P146" s="550">
        <v>35640</v>
      </c>
      <c r="Q146" s="550">
        <v>35788</v>
      </c>
      <c r="R146" s="550">
        <v>35931</v>
      </c>
      <c r="S146" s="550">
        <v>36195</v>
      </c>
      <c r="T146" s="550">
        <v>36266</v>
      </c>
      <c r="U146" s="550">
        <v>36329</v>
      </c>
      <c r="V146" s="550">
        <v>36385</v>
      </c>
      <c r="W146" s="550">
        <v>36432</v>
      </c>
      <c r="X146" s="550">
        <v>36971</v>
      </c>
      <c r="Y146" s="550">
        <v>37029</v>
      </c>
      <c r="Z146" s="550">
        <v>37085</v>
      </c>
      <c r="AA146" s="550">
        <v>37138</v>
      </c>
      <c r="AB146" s="550">
        <v>38161</v>
      </c>
      <c r="AC146" s="550"/>
      <c r="AD146" s="550">
        <v>39545</v>
      </c>
      <c r="AE146" s="550">
        <v>39687</v>
      </c>
      <c r="AF146" s="778">
        <f t="shared" si="2"/>
        <v>1.0082610496609463</v>
      </c>
    </row>
    <row r="147" spans="3:32">
      <c r="C147" s="549" t="s">
        <v>254</v>
      </c>
      <c r="D147" s="549">
        <v>2207108</v>
      </c>
      <c r="E147" s="549" t="s">
        <v>397</v>
      </c>
      <c r="F147" s="550">
        <v>2910</v>
      </c>
      <c r="G147" s="550">
        <v>2247</v>
      </c>
      <c r="H147" s="550">
        <v>2213</v>
      </c>
      <c r="I147" s="550">
        <v>2181</v>
      </c>
      <c r="J147" s="550">
        <v>2113</v>
      </c>
      <c r="K147" s="550">
        <v>2076</v>
      </c>
      <c r="L147" s="550">
        <v>2038</v>
      </c>
      <c r="M147" s="550">
        <v>2713</v>
      </c>
      <c r="N147" s="550">
        <v>2637</v>
      </c>
      <c r="O147" s="550">
        <v>2755</v>
      </c>
      <c r="P147" s="550">
        <v>2626</v>
      </c>
      <c r="Q147" s="550">
        <v>2653</v>
      </c>
      <c r="R147" s="550">
        <v>2678</v>
      </c>
      <c r="S147" s="550">
        <v>2698</v>
      </c>
      <c r="T147" s="550">
        <v>2390</v>
      </c>
      <c r="U147" s="550">
        <v>2400</v>
      </c>
      <c r="V147" s="550">
        <v>2409</v>
      </c>
      <c r="W147" s="550">
        <v>2417</v>
      </c>
      <c r="X147" s="550">
        <v>2449</v>
      </c>
      <c r="Y147" s="550">
        <v>2459</v>
      </c>
      <c r="Z147" s="550">
        <v>2468</v>
      </c>
      <c r="AA147" s="550">
        <v>2477</v>
      </c>
      <c r="AB147" s="550">
        <v>2637</v>
      </c>
      <c r="AC147" s="550"/>
      <c r="AD147" s="550">
        <v>2725</v>
      </c>
      <c r="AE147" s="550">
        <v>2730</v>
      </c>
      <c r="AF147" s="778">
        <f t="shared" si="2"/>
        <v>0.99744919995391068</v>
      </c>
    </row>
    <row r="148" spans="3:32">
      <c r="C148" s="549" t="s">
        <v>254</v>
      </c>
      <c r="D148" s="549">
        <v>2207207</v>
      </c>
      <c r="E148" s="549" t="s">
        <v>398</v>
      </c>
      <c r="F148" s="550">
        <v>6570</v>
      </c>
      <c r="G148" s="550">
        <v>7237</v>
      </c>
      <c r="H148" s="550">
        <v>7291</v>
      </c>
      <c r="I148" s="550">
        <v>7343</v>
      </c>
      <c r="J148" s="550">
        <v>7453</v>
      </c>
      <c r="K148" s="550">
        <v>7514</v>
      </c>
      <c r="L148" s="550">
        <v>7574</v>
      </c>
      <c r="M148" s="550">
        <v>7551</v>
      </c>
      <c r="N148" s="550">
        <v>7340</v>
      </c>
      <c r="O148" s="550">
        <v>7582</v>
      </c>
      <c r="P148" s="550">
        <v>6657</v>
      </c>
      <c r="Q148" s="550">
        <v>6673</v>
      </c>
      <c r="R148" s="550">
        <v>6687</v>
      </c>
      <c r="S148" s="550">
        <v>6735</v>
      </c>
      <c r="T148" s="550">
        <v>6742</v>
      </c>
      <c r="U148" s="550">
        <v>6748</v>
      </c>
      <c r="V148" s="550">
        <v>6753</v>
      </c>
      <c r="W148" s="550">
        <v>6758</v>
      </c>
      <c r="X148" s="550">
        <v>6862</v>
      </c>
      <c r="Y148" s="550">
        <v>6868</v>
      </c>
      <c r="Z148" s="550">
        <v>6873</v>
      </c>
      <c r="AA148" s="550">
        <v>6879</v>
      </c>
      <c r="AB148" s="550">
        <v>6382</v>
      </c>
      <c r="AC148" s="550"/>
      <c r="AD148" s="550">
        <v>6481</v>
      </c>
      <c r="AE148" s="550">
        <v>6468</v>
      </c>
      <c r="AF148" s="778">
        <f t="shared" si="2"/>
        <v>0.99937432018803163</v>
      </c>
    </row>
    <row r="149" spans="3:32">
      <c r="C149" s="549" t="s">
        <v>254</v>
      </c>
      <c r="D149" s="549">
        <v>2207306</v>
      </c>
      <c r="E149" s="549" t="s">
        <v>399</v>
      </c>
      <c r="F149" s="550">
        <v>3528</v>
      </c>
      <c r="G149" s="550">
        <v>4156</v>
      </c>
      <c r="H149" s="550">
        <v>4157</v>
      </c>
      <c r="I149" s="550">
        <v>4144</v>
      </c>
      <c r="J149" s="550">
        <v>4117</v>
      </c>
      <c r="K149" s="550">
        <v>4103</v>
      </c>
      <c r="L149" s="550">
        <v>4088</v>
      </c>
      <c r="M149" s="550">
        <v>4517</v>
      </c>
      <c r="N149" s="550">
        <v>4462</v>
      </c>
      <c r="O149" s="550">
        <v>4562</v>
      </c>
      <c r="P149" s="550">
        <v>4059</v>
      </c>
      <c r="Q149" s="550">
        <v>4054</v>
      </c>
      <c r="R149" s="550">
        <v>4049</v>
      </c>
      <c r="S149" s="550">
        <v>4077</v>
      </c>
      <c r="T149" s="550">
        <v>4074</v>
      </c>
      <c r="U149" s="550">
        <v>4071</v>
      </c>
      <c r="V149" s="550">
        <v>4068</v>
      </c>
      <c r="W149" s="550">
        <v>4065</v>
      </c>
      <c r="X149" s="550">
        <v>4132</v>
      </c>
      <c r="Y149" s="550">
        <v>4129</v>
      </c>
      <c r="Z149" s="550">
        <v>4126</v>
      </c>
      <c r="AA149" s="550">
        <v>4124</v>
      </c>
      <c r="AB149" s="550">
        <v>4088</v>
      </c>
      <c r="AC149" s="550"/>
      <c r="AD149" s="550">
        <v>4174</v>
      </c>
      <c r="AE149" s="550">
        <v>4176</v>
      </c>
      <c r="AF149" s="778">
        <f t="shared" si="2"/>
        <v>1.0067677066210137</v>
      </c>
    </row>
    <row r="150" spans="3:32">
      <c r="C150" s="549" t="s">
        <v>254</v>
      </c>
      <c r="D150" s="549">
        <v>2207355</v>
      </c>
      <c r="E150" s="549" t="s">
        <v>400</v>
      </c>
      <c r="F150" s="550">
        <v>3048</v>
      </c>
      <c r="G150" s="550">
        <v>2827</v>
      </c>
      <c r="H150" s="550">
        <v>2802</v>
      </c>
      <c r="I150" s="550">
        <v>2759</v>
      </c>
      <c r="J150" s="550">
        <v>2670</v>
      </c>
      <c r="K150" s="550">
        <v>2620</v>
      </c>
      <c r="L150" s="550">
        <v>2571</v>
      </c>
      <c r="M150" s="550">
        <v>3721</v>
      </c>
      <c r="N150" s="550">
        <v>3616</v>
      </c>
      <c r="O150" s="550">
        <v>3802</v>
      </c>
      <c r="P150" s="550">
        <v>3363</v>
      </c>
      <c r="Q150" s="550">
        <v>3399</v>
      </c>
      <c r="R150" s="550">
        <v>3434</v>
      </c>
      <c r="S150" s="550">
        <v>3460</v>
      </c>
      <c r="T150" s="550">
        <v>3479</v>
      </c>
      <c r="U150" s="550">
        <v>3308</v>
      </c>
      <c r="V150" s="550">
        <v>3321</v>
      </c>
      <c r="W150" s="550">
        <v>3333</v>
      </c>
      <c r="X150" s="550">
        <v>3375</v>
      </c>
      <c r="Y150" s="550">
        <v>3389</v>
      </c>
      <c r="Z150" s="550">
        <v>3404</v>
      </c>
      <c r="AA150" s="550">
        <v>3416</v>
      </c>
      <c r="AB150" s="550">
        <v>3000</v>
      </c>
      <c r="AC150" s="550"/>
      <c r="AD150" s="550">
        <v>3041</v>
      </c>
      <c r="AE150" s="550">
        <v>3032</v>
      </c>
      <c r="AF150" s="778">
        <f t="shared" si="2"/>
        <v>0.9997894953574411</v>
      </c>
    </row>
    <row r="151" spans="3:32">
      <c r="C151" s="549" t="s">
        <v>254</v>
      </c>
      <c r="D151" s="549">
        <v>2207405</v>
      </c>
      <c r="E151" s="549" t="s">
        <v>401</v>
      </c>
      <c r="F151" s="550">
        <v>5367</v>
      </c>
      <c r="G151" s="550">
        <v>5279</v>
      </c>
      <c r="H151" s="550">
        <v>5358</v>
      </c>
      <c r="I151" s="550">
        <v>5431</v>
      </c>
      <c r="J151" s="550">
        <v>5586</v>
      </c>
      <c r="K151" s="550">
        <v>5671</v>
      </c>
      <c r="L151" s="550">
        <v>5756</v>
      </c>
      <c r="M151" s="550">
        <v>5128</v>
      </c>
      <c r="N151" s="550">
        <v>4985</v>
      </c>
      <c r="O151" s="550">
        <v>5116</v>
      </c>
      <c r="P151" s="550">
        <v>4993</v>
      </c>
      <c r="Q151" s="550">
        <v>4978</v>
      </c>
      <c r="R151" s="550">
        <v>4962</v>
      </c>
      <c r="S151" s="550">
        <v>4997</v>
      </c>
      <c r="T151" s="550">
        <v>4988</v>
      </c>
      <c r="U151" s="550">
        <v>4980</v>
      </c>
      <c r="V151" s="550">
        <v>4973</v>
      </c>
      <c r="W151" s="550">
        <v>4967</v>
      </c>
      <c r="X151" s="550">
        <v>5051</v>
      </c>
      <c r="Y151" s="550">
        <v>5043</v>
      </c>
      <c r="Z151" s="550">
        <v>5036</v>
      </c>
      <c r="AA151" s="550">
        <v>5029</v>
      </c>
      <c r="AB151" s="550">
        <v>4952</v>
      </c>
      <c r="AC151" s="550"/>
      <c r="AD151" s="550">
        <v>5048</v>
      </c>
      <c r="AE151" s="550">
        <v>5047</v>
      </c>
      <c r="AF151" s="778">
        <f t="shared" si="2"/>
        <v>0.99754401743886112</v>
      </c>
    </row>
    <row r="152" spans="3:32">
      <c r="C152" s="549" t="s">
        <v>254</v>
      </c>
      <c r="D152" s="549">
        <v>2207504</v>
      </c>
      <c r="E152" s="549" t="s">
        <v>402</v>
      </c>
      <c r="F152" s="550">
        <v>12061</v>
      </c>
      <c r="G152" s="550">
        <v>12270</v>
      </c>
      <c r="H152" s="550">
        <v>12346</v>
      </c>
      <c r="I152" s="550">
        <v>12435</v>
      </c>
      <c r="J152" s="550">
        <v>12622</v>
      </c>
      <c r="K152" s="550">
        <v>12725</v>
      </c>
      <c r="L152" s="550">
        <v>12828</v>
      </c>
      <c r="M152" s="550">
        <v>14117</v>
      </c>
      <c r="N152" s="550">
        <v>13721</v>
      </c>
      <c r="O152" s="550">
        <v>14306</v>
      </c>
      <c r="P152" s="550">
        <v>13745</v>
      </c>
      <c r="Q152" s="550">
        <v>13868</v>
      </c>
      <c r="R152" s="550">
        <v>13986</v>
      </c>
      <c r="S152" s="550">
        <v>14090</v>
      </c>
      <c r="T152" s="550">
        <v>14151</v>
      </c>
      <c r="U152" s="550">
        <v>14206</v>
      </c>
      <c r="V152" s="550">
        <v>14253</v>
      </c>
      <c r="W152" s="550">
        <v>14295</v>
      </c>
      <c r="X152" s="550">
        <v>14488</v>
      </c>
      <c r="Y152" s="550">
        <v>14539</v>
      </c>
      <c r="Z152" s="550">
        <v>14587</v>
      </c>
      <c r="AA152" s="550">
        <v>14633</v>
      </c>
      <c r="AB152" s="550">
        <v>13264</v>
      </c>
      <c r="AC152" s="550"/>
      <c r="AD152" s="550">
        <v>13480</v>
      </c>
      <c r="AE152" s="550">
        <v>13458</v>
      </c>
      <c r="AF152" s="778">
        <f t="shared" si="2"/>
        <v>1.00439348791869</v>
      </c>
    </row>
    <row r="153" spans="3:32">
      <c r="C153" s="549" t="s">
        <v>254</v>
      </c>
      <c r="D153" s="549">
        <v>2207553</v>
      </c>
      <c r="E153" s="549" t="s">
        <v>403</v>
      </c>
      <c r="F153" s="550">
        <v>4550</v>
      </c>
      <c r="G153" s="550">
        <v>4386</v>
      </c>
      <c r="H153" s="550">
        <v>4399</v>
      </c>
      <c r="I153" s="550">
        <v>4404</v>
      </c>
      <c r="J153" s="550">
        <v>4417</v>
      </c>
      <c r="K153" s="550">
        <v>4424</v>
      </c>
      <c r="L153" s="550">
        <v>4430</v>
      </c>
      <c r="M153" s="550">
        <v>4662</v>
      </c>
      <c r="N153" s="550">
        <v>4531</v>
      </c>
      <c r="O153" s="550">
        <v>4686</v>
      </c>
      <c r="P153" s="550">
        <v>4147</v>
      </c>
      <c r="Q153" s="550">
        <v>3908</v>
      </c>
      <c r="R153" s="550">
        <v>3891</v>
      </c>
      <c r="S153" s="550">
        <v>3919</v>
      </c>
      <c r="T153" s="550">
        <v>3909</v>
      </c>
      <c r="U153" s="550">
        <v>3900</v>
      </c>
      <c r="V153" s="550">
        <v>3893</v>
      </c>
      <c r="W153" s="550">
        <v>3886</v>
      </c>
      <c r="X153" s="550">
        <v>3953</v>
      </c>
      <c r="Y153" s="550">
        <v>3945</v>
      </c>
      <c r="Z153" s="550">
        <v>3937</v>
      </c>
      <c r="AA153" s="550">
        <v>3931</v>
      </c>
      <c r="AB153" s="550">
        <v>3813</v>
      </c>
      <c r="AC153" s="550"/>
      <c r="AD153" s="550">
        <v>3878</v>
      </c>
      <c r="AE153" s="550">
        <v>3873</v>
      </c>
      <c r="AF153" s="778">
        <f t="shared" si="2"/>
        <v>0.99357680418763628</v>
      </c>
    </row>
    <row r="154" spans="3:32">
      <c r="C154" s="549" t="s">
        <v>254</v>
      </c>
      <c r="D154" s="549">
        <v>2207603</v>
      </c>
      <c r="E154" s="549" t="s">
        <v>404</v>
      </c>
      <c r="F154" s="550">
        <v>9748</v>
      </c>
      <c r="G154" s="550">
        <v>9423</v>
      </c>
      <c r="H154" s="550">
        <v>9498</v>
      </c>
      <c r="I154" s="550">
        <v>9569</v>
      </c>
      <c r="J154" s="550">
        <v>9719</v>
      </c>
      <c r="K154" s="550">
        <v>9801</v>
      </c>
      <c r="L154" s="550">
        <v>9883</v>
      </c>
      <c r="M154" s="550">
        <v>10611</v>
      </c>
      <c r="N154" s="550">
        <v>10313</v>
      </c>
      <c r="O154" s="550">
        <v>10731</v>
      </c>
      <c r="P154" s="550">
        <v>10276</v>
      </c>
      <c r="Q154" s="550">
        <v>10348</v>
      </c>
      <c r="R154" s="550">
        <v>10417</v>
      </c>
      <c r="S154" s="550">
        <v>10494</v>
      </c>
      <c r="T154" s="550">
        <v>10530</v>
      </c>
      <c r="U154" s="550">
        <v>10561</v>
      </c>
      <c r="V154" s="550">
        <v>10589</v>
      </c>
      <c r="W154" s="550">
        <v>10613</v>
      </c>
      <c r="X154" s="550">
        <v>10762</v>
      </c>
      <c r="Y154" s="550">
        <v>10791</v>
      </c>
      <c r="Z154" s="550">
        <v>10819</v>
      </c>
      <c r="AA154" s="550">
        <v>10846</v>
      </c>
      <c r="AB154" s="550">
        <v>10103</v>
      </c>
      <c r="AC154" s="550"/>
      <c r="AD154" s="550">
        <v>10289</v>
      </c>
      <c r="AE154" s="550">
        <v>10282</v>
      </c>
      <c r="AF154" s="778">
        <f t="shared" si="2"/>
        <v>1.0021355834317052</v>
      </c>
    </row>
    <row r="155" spans="3:32">
      <c r="C155" s="549" t="s">
        <v>254</v>
      </c>
      <c r="D155" s="549">
        <v>2207702</v>
      </c>
      <c r="E155" s="549" t="s">
        <v>405</v>
      </c>
      <c r="F155" s="550">
        <v>131386</v>
      </c>
      <c r="G155" s="550">
        <v>134122</v>
      </c>
      <c r="H155" s="550">
        <v>135525</v>
      </c>
      <c r="I155" s="550">
        <v>137030</v>
      </c>
      <c r="J155" s="550">
        <v>140190</v>
      </c>
      <c r="K155" s="550">
        <v>141939</v>
      </c>
      <c r="L155" s="550">
        <v>143675</v>
      </c>
      <c r="M155" s="550">
        <v>144892</v>
      </c>
      <c r="N155" s="550">
        <v>140839</v>
      </c>
      <c r="O155" s="550">
        <v>146059</v>
      </c>
      <c r="P155" s="550">
        <v>145705</v>
      </c>
      <c r="Q155" s="550">
        <v>146736</v>
      </c>
      <c r="R155" s="550">
        <v>147732</v>
      </c>
      <c r="S155" s="550">
        <v>148832</v>
      </c>
      <c r="T155" s="550">
        <v>149348</v>
      </c>
      <c r="U155" s="550">
        <v>149803</v>
      </c>
      <c r="V155" s="550">
        <v>150201</v>
      </c>
      <c r="W155" s="550">
        <v>150547</v>
      </c>
      <c r="X155" s="550">
        <v>152653</v>
      </c>
      <c r="Y155" s="550">
        <v>153078</v>
      </c>
      <c r="Z155" s="550">
        <v>153482</v>
      </c>
      <c r="AA155" s="550">
        <v>153863</v>
      </c>
      <c r="AB155" s="550">
        <v>162159</v>
      </c>
      <c r="AC155" s="550"/>
      <c r="AD155" s="550">
        <v>169552</v>
      </c>
      <c r="AE155" s="550">
        <v>170491</v>
      </c>
      <c r="AF155" s="778">
        <f t="shared" si="2"/>
        <v>1.0104762134088714</v>
      </c>
    </row>
    <row r="156" spans="3:32">
      <c r="C156" s="549" t="s">
        <v>254</v>
      </c>
      <c r="D156" s="549">
        <v>2207751</v>
      </c>
      <c r="E156" s="549" t="s">
        <v>406</v>
      </c>
      <c r="F156" s="550">
        <v>3644</v>
      </c>
      <c r="G156" s="550">
        <v>4179</v>
      </c>
      <c r="H156" s="550">
        <v>4183</v>
      </c>
      <c r="I156" s="550">
        <v>4177</v>
      </c>
      <c r="J156" s="550">
        <v>4165</v>
      </c>
      <c r="K156" s="550">
        <v>4158</v>
      </c>
      <c r="L156" s="550">
        <v>4151</v>
      </c>
      <c r="M156" s="550">
        <v>4245</v>
      </c>
      <c r="N156" s="550">
        <v>4127</v>
      </c>
      <c r="O156" s="550">
        <v>4246</v>
      </c>
      <c r="P156" s="550">
        <v>4546</v>
      </c>
      <c r="Q156" s="550">
        <v>4573</v>
      </c>
      <c r="R156" s="550">
        <v>4424</v>
      </c>
      <c r="S156" s="550">
        <v>4457</v>
      </c>
      <c r="T156" s="550">
        <v>4470</v>
      </c>
      <c r="U156" s="550">
        <v>4482</v>
      </c>
      <c r="V156" s="550">
        <v>4491</v>
      </c>
      <c r="W156" s="550">
        <v>4500</v>
      </c>
      <c r="X156" s="550">
        <v>4302</v>
      </c>
      <c r="Y156" s="550">
        <v>4313</v>
      </c>
      <c r="Z156" s="550">
        <v>4323</v>
      </c>
      <c r="AA156" s="550">
        <v>4331</v>
      </c>
      <c r="AB156" s="550">
        <v>4135</v>
      </c>
      <c r="AC156" s="550"/>
      <c r="AD156" s="550">
        <v>4220</v>
      </c>
      <c r="AE156" s="550">
        <v>4222</v>
      </c>
      <c r="AF156" s="778">
        <f t="shared" si="2"/>
        <v>1.0059064535159765</v>
      </c>
    </row>
    <row r="157" spans="3:32">
      <c r="C157" s="549" t="s">
        <v>254</v>
      </c>
      <c r="D157" s="549">
        <v>2207777</v>
      </c>
      <c r="E157" s="549" t="s">
        <v>407</v>
      </c>
      <c r="F157" s="550">
        <v>5706</v>
      </c>
      <c r="G157" s="550">
        <v>5652</v>
      </c>
      <c r="H157" s="550">
        <v>5684</v>
      </c>
      <c r="I157" s="550">
        <v>5707</v>
      </c>
      <c r="J157" s="550">
        <v>5756</v>
      </c>
      <c r="K157" s="550">
        <v>5782</v>
      </c>
      <c r="L157" s="550">
        <v>5809</v>
      </c>
      <c r="M157" s="550">
        <v>6349</v>
      </c>
      <c r="N157" s="550">
        <v>6171</v>
      </c>
      <c r="O157" s="550">
        <v>6417</v>
      </c>
      <c r="P157" s="550">
        <v>6105</v>
      </c>
      <c r="Q157" s="550">
        <v>6142</v>
      </c>
      <c r="R157" s="550">
        <v>6178</v>
      </c>
      <c r="S157" s="550">
        <v>6223</v>
      </c>
      <c r="T157" s="550">
        <v>6241</v>
      </c>
      <c r="U157" s="550">
        <v>6257</v>
      </c>
      <c r="V157" s="550">
        <v>6271</v>
      </c>
      <c r="W157" s="550">
        <v>6288</v>
      </c>
      <c r="X157" s="550">
        <v>6377</v>
      </c>
      <c r="Y157" s="550">
        <v>6392</v>
      </c>
      <c r="Z157" s="550">
        <v>6406</v>
      </c>
      <c r="AA157" s="550">
        <v>6420</v>
      </c>
      <c r="AB157" s="550">
        <v>5425</v>
      </c>
      <c r="AC157" s="550"/>
      <c r="AD157" s="550">
        <v>5461</v>
      </c>
      <c r="AE157" s="550">
        <v>5427</v>
      </c>
      <c r="AF157" s="778">
        <f t="shared" si="2"/>
        <v>0.99799673890287499</v>
      </c>
    </row>
    <row r="158" spans="3:32">
      <c r="C158" s="549" t="s">
        <v>254</v>
      </c>
      <c r="D158" s="549">
        <v>2207793</v>
      </c>
      <c r="E158" s="549" t="s">
        <v>408</v>
      </c>
      <c r="F158" s="549"/>
      <c r="G158" s="550">
        <v>3030</v>
      </c>
      <c r="H158" s="550">
        <v>3059</v>
      </c>
      <c r="I158" s="550">
        <v>3090</v>
      </c>
      <c r="J158" s="550">
        <v>3154</v>
      </c>
      <c r="K158" s="550">
        <v>3190</v>
      </c>
      <c r="L158" s="550">
        <v>3226</v>
      </c>
      <c r="M158" s="550">
        <v>3821</v>
      </c>
      <c r="N158" s="550">
        <v>3713</v>
      </c>
      <c r="O158" s="550">
        <v>3903</v>
      </c>
      <c r="P158" s="550">
        <v>3757</v>
      </c>
      <c r="Q158" s="550">
        <v>3809</v>
      </c>
      <c r="R158" s="550">
        <v>3858</v>
      </c>
      <c r="S158" s="550">
        <v>3888</v>
      </c>
      <c r="T158" s="550">
        <v>3914</v>
      </c>
      <c r="U158" s="550">
        <v>3937</v>
      </c>
      <c r="V158" s="550">
        <v>3957</v>
      </c>
      <c r="W158" s="550">
        <v>3975</v>
      </c>
      <c r="X158" s="550">
        <v>4023</v>
      </c>
      <c r="Y158" s="550">
        <v>4045</v>
      </c>
      <c r="Z158" s="550">
        <v>4065</v>
      </c>
      <c r="AA158" s="550">
        <v>4084</v>
      </c>
      <c r="AB158" s="550">
        <v>3880</v>
      </c>
      <c r="AC158" s="550"/>
      <c r="AD158" s="550">
        <v>3972</v>
      </c>
      <c r="AE158" s="550">
        <v>3979</v>
      </c>
      <c r="AF158" s="778">
        <f>(AE158/G158)^(1/($AE$4-$F$4))</f>
        <v>1.0109583238384567</v>
      </c>
    </row>
    <row r="159" spans="3:32">
      <c r="C159" s="549" t="s">
        <v>254</v>
      </c>
      <c r="D159" s="549">
        <v>2207801</v>
      </c>
      <c r="E159" s="549" t="s">
        <v>409</v>
      </c>
      <c r="F159" s="550">
        <v>15752</v>
      </c>
      <c r="G159" s="550">
        <v>16769</v>
      </c>
      <c r="H159" s="550">
        <v>16925</v>
      </c>
      <c r="I159" s="550">
        <v>17108</v>
      </c>
      <c r="J159" s="550">
        <v>17436</v>
      </c>
      <c r="K159" s="550">
        <v>17648</v>
      </c>
      <c r="L159" s="550">
        <v>17859</v>
      </c>
      <c r="M159" s="550">
        <v>20186</v>
      </c>
      <c r="N159" s="550">
        <v>16930</v>
      </c>
      <c r="O159" s="550">
        <v>20390</v>
      </c>
      <c r="P159" s="550">
        <v>19785</v>
      </c>
      <c r="Q159" s="550">
        <v>19867</v>
      </c>
      <c r="R159" s="550">
        <v>19947</v>
      </c>
      <c r="S159" s="550">
        <v>20093</v>
      </c>
      <c r="T159" s="550">
        <v>20133</v>
      </c>
      <c r="U159" s="550">
        <v>20168</v>
      </c>
      <c r="V159" s="550">
        <v>20198</v>
      </c>
      <c r="W159" s="550">
        <v>20192</v>
      </c>
      <c r="X159" s="550">
        <v>20490</v>
      </c>
      <c r="Y159" s="550">
        <v>20523</v>
      </c>
      <c r="Z159" s="550">
        <v>20554</v>
      </c>
      <c r="AA159" s="550">
        <v>20583</v>
      </c>
      <c r="AB159" s="550">
        <v>21055</v>
      </c>
      <c r="AC159" s="550"/>
      <c r="AD159" s="550">
        <v>21601</v>
      </c>
      <c r="AE159" s="550">
        <v>21633</v>
      </c>
      <c r="AF159" s="778">
        <f t="shared" si="2"/>
        <v>1.0127709644559102</v>
      </c>
    </row>
    <row r="160" spans="3:32">
      <c r="C160" s="549" t="s">
        <v>254</v>
      </c>
      <c r="D160" s="549">
        <v>2207850</v>
      </c>
      <c r="E160" s="549" t="s">
        <v>410</v>
      </c>
      <c r="F160" s="550">
        <v>3829</v>
      </c>
      <c r="G160" s="550">
        <v>3985</v>
      </c>
      <c r="H160" s="550">
        <v>3910</v>
      </c>
      <c r="I160" s="550">
        <v>3919</v>
      </c>
      <c r="J160" s="550">
        <v>3939</v>
      </c>
      <c r="K160" s="550">
        <v>3951</v>
      </c>
      <c r="L160" s="550">
        <v>3961</v>
      </c>
      <c r="M160" s="550">
        <v>4415</v>
      </c>
      <c r="N160" s="550">
        <v>4291</v>
      </c>
      <c r="O160" s="550">
        <v>4465</v>
      </c>
      <c r="P160" s="550">
        <v>3663</v>
      </c>
      <c r="Q160" s="550">
        <v>3646</v>
      </c>
      <c r="R160" s="550">
        <v>3629</v>
      </c>
      <c r="S160" s="550">
        <v>3655</v>
      </c>
      <c r="T160" s="550">
        <v>3645</v>
      </c>
      <c r="U160" s="550">
        <v>3637</v>
      </c>
      <c r="V160" s="550">
        <v>3629</v>
      </c>
      <c r="W160" s="550">
        <v>3623</v>
      </c>
      <c r="X160" s="550">
        <v>3685</v>
      </c>
      <c r="Y160" s="550">
        <v>3677</v>
      </c>
      <c r="Z160" s="550">
        <v>3669</v>
      </c>
      <c r="AA160" s="550">
        <v>3662</v>
      </c>
      <c r="AB160" s="550">
        <v>3628</v>
      </c>
      <c r="AC160" s="550"/>
      <c r="AD160" s="550">
        <v>3698</v>
      </c>
      <c r="AE160" s="550">
        <v>3697</v>
      </c>
      <c r="AF160" s="778">
        <f t="shared" si="2"/>
        <v>0.99859770443494056</v>
      </c>
    </row>
    <row r="161" spans="3:32">
      <c r="C161" s="549" t="s">
        <v>254</v>
      </c>
      <c r="D161" s="549">
        <v>2207900</v>
      </c>
      <c r="E161" s="549" t="s">
        <v>411</v>
      </c>
      <c r="F161" s="550">
        <v>36087</v>
      </c>
      <c r="G161" s="550">
        <v>36346</v>
      </c>
      <c r="H161" s="550">
        <v>36594</v>
      </c>
      <c r="I161" s="550">
        <v>36776</v>
      </c>
      <c r="J161" s="550">
        <v>37158</v>
      </c>
      <c r="K161" s="550">
        <v>37370</v>
      </c>
      <c r="L161" s="550">
        <v>37580</v>
      </c>
      <c r="M161" s="550">
        <v>37727</v>
      </c>
      <c r="N161" s="550">
        <v>36675</v>
      </c>
      <c r="O161" s="550">
        <v>37850</v>
      </c>
      <c r="P161" s="550">
        <v>37496</v>
      </c>
      <c r="Q161" s="550">
        <v>37596</v>
      </c>
      <c r="R161" s="550">
        <v>37692</v>
      </c>
      <c r="S161" s="550">
        <v>37968</v>
      </c>
      <c r="T161" s="550">
        <v>38014</v>
      </c>
      <c r="U161" s="550">
        <v>38055</v>
      </c>
      <c r="V161" s="550">
        <v>38090</v>
      </c>
      <c r="W161" s="550">
        <v>38127</v>
      </c>
      <c r="X161" s="550">
        <v>38704</v>
      </c>
      <c r="Y161" s="550">
        <v>38742</v>
      </c>
      <c r="Z161" s="550">
        <v>38778</v>
      </c>
      <c r="AA161" s="550">
        <v>38812</v>
      </c>
      <c r="AB161" s="550">
        <v>37894</v>
      </c>
      <c r="AC161" s="550"/>
      <c r="AD161" s="550">
        <v>39039</v>
      </c>
      <c r="AE161" s="550">
        <v>39072</v>
      </c>
      <c r="AF161" s="778">
        <f t="shared" si="2"/>
        <v>1.0031839945064784</v>
      </c>
    </row>
    <row r="162" spans="3:32">
      <c r="C162" s="549" t="s">
        <v>254</v>
      </c>
      <c r="D162" s="549">
        <v>2207934</v>
      </c>
      <c r="E162" s="549" t="s">
        <v>412</v>
      </c>
      <c r="F162" s="550">
        <v>1434</v>
      </c>
      <c r="G162" s="550">
        <v>2066</v>
      </c>
      <c r="H162" s="550">
        <v>2108</v>
      </c>
      <c r="I162" s="550">
        <v>2157</v>
      </c>
      <c r="J162" s="550">
        <v>2260</v>
      </c>
      <c r="K162" s="550">
        <v>2317</v>
      </c>
      <c r="L162" s="550">
        <v>2373</v>
      </c>
      <c r="M162" s="550">
        <v>2394</v>
      </c>
      <c r="N162" s="550">
        <v>2105</v>
      </c>
      <c r="O162" s="550">
        <v>2418</v>
      </c>
      <c r="P162" s="550">
        <v>2407</v>
      </c>
      <c r="Q162" s="550">
        <v>2427</v>
      </c>
      <c r="R162" s="550">
        <v>2445</v>
      </c>
      <c r="S162" s="550">
        <v>2463</v>
      </c>
      <c r="T162" s="550">
        <v>2472</v>
      </c>
      <c r="U162" s="550">
        <v>2481</v>
      </c>
      <c r="V162" s="550">
        <v>2488</v>
      </c>
      <c r="W162" s="550">
        <v>2495</v>
      </c>
      <c r="X162" s="550">
        <v>2529</v>
      </c>
      <c r="Y162" s="550">
        <v>2536</v>
      </c>
      <c r="Z162" s="550">
        <v>2544</v>
      </c>
      <c r="AA162" s="550">
        <v>2551</v>
      </c>
      <c r="AB162" s="550">
        <v>2458</v>
      </c>
      <c r="AC162" s="550"/>
      <c r="AD162" s="550">
        <v>2514</v>
      </c>
      <c r="AE162" s="550">
        <v>2517</v>
      </c>
      <c r="AF162" s="778">
        <f t="shared" si="2"/>
        <v>1.0227591241281031</v>
      </c>
    </row>
    <row r="163" spans="3:32">
      <c r="C163" s="549" t="s">
        <v>254</v>
      </c>
      <c r="D163" s="549">
        <v>2207959</v>
      </c>
      <c r="E163" s="549" t="s">
        <v>413</v>
      </c>
      <c r="F163" s="550">
        <v>3540</v>
      </c>
      <c r="G163" s="550">
        <v>4205</v>
      </c>
      <c r="H163" s="550">
        <v>4254</v>
      </c>
      <c r="I163" s="550">
        <v>4303</v>
      </c>
      <c r="J163" s="550">
        <v>4404</v>
      </c>
      <c r="K163" s="550">
        <v>4461</v>
      </c>
      <c r="L163" s="550">
        <v>4517</v>
      </c>
      <c r="M163" s="550">
        <v>4157</v>
      </c>
      <c r="N163" s="550">
        <v>4284</v>
      </c>
      <c r="O163" s="550">
        <v>4199</v>
      </c>
      <c r="P163" s="550">
        <v>4187</v>
      </c>
      <c r="Q163" s="550">
        <v>4211</v>
      </c>
      <c r="R163" s="550">
        <v>4233</v>
      </c>
      <c r="S163" s="550">
        <v>4264</v>
      </c>
      <c r="T163" s="550">
        <v>4276</v>
      </c>
      <c r="U163" s="550">
        <v>4286</v>
      </c>
      <c r="V163" s="550">
        <v>4295</v>
      </c>
      <c r="W163" s="550">
        <v>4302</v>
      </c>
      <c r="X163" s="550">
        <v>4365</v>
      </c>
      <c r="Y163" s="550">
        <v>4374</v>
      </c>
      <c r="Z163" s="550">
        <v>4383</v>
      </c>
      <c r="AA163" s="550">
        <v>4392</v>
      </c>
      <c r="AB163" s="550">
        <v>4076</v>
      </c>
      <c r="AC163" s="550"/>
      <c r="AD163" s="550">
        <v>4147</v>
      </c>
      <c r="AE163" s="550">
        <v>4142</v>
      </c>
      <c r="AF163" s="778">
        <f t="shared" si="2"/>
        <v>1.0063018550915663</v>
      </c>
    </row>
    <row r="164" spans="3:32">
      <c r="C164" s="549" t="s">
        <v>254</v>
      </c>
      <c r="D164" s="549">
        <v>2208007</v>
      </c>
      <c r="E164" s="549" t="s">
        <v>414</v>
      </c>
      <c r="F164" s="550">
        <v>64766</v>
      </c>
      <c r="G164" s="550">
        <v>69836</v>
      </c>
      <c r="H164" s="550">
        <v>70531</v>
      </c>
      <c r="I164" s="550">
        <v>71254</v>
      </c>
      <c r="J164" s="550">
        <v>70211</v>
      </c>
      <c r="K164" s="550">
        <v>71020</v>
      </c>
      <c r="L164" s="550">
        <v>71825</v>
      </c>
      <c r="M164" s="550">
        <v>72477</v>
      </c>
      <c r="N164" s="550">
        <v>70450</v>
      </c>
      <c r="O164" s="550">
        <v>73021</v>
      </c>
      <c r="P164" s="550">
        <v>73414</v>
      </c>
      <c r="Q164" s="550">
        <v>74967</v>
      </c>
      <c r="R164" s="550">
        <v>75481</v>
      </c>
      <c r="S164" s="550">
        <v>76042</v>
      </c>
      <c r="T164" s="550">
        <v>76309</v>
      </c>
      <c r="U164" s="550">
        <v>76544</v>
      </c>
      <c r="V164" s="550">
        <v>76749</v>
      </c>
      <c r="W164" s="550">
        <v>76928</v>
      </c>
      <c r="X164" s="550">
        <v>78002</v>
      </c>
      <c r="Y164" s="550">
        <v>78222</v>
      </c>
      <c r="Z164" s="550">
        <v>78431</v>
      </c>
      <c r="AA164" s="550">
        <v>78627</v>
      </c>
      <c r="AB164" s="550">
        <v>83090</v>
      </c>
      <c r="AC164" s="550"/>
      <c r="AD164" s="550">
        <v>86228</v>
      </c>
      <c r="AE164" s="550">
        <v>86701</v>
      </c>
      <c r="AF164" s="778">
        <f t="shared" si="2"/>
        <v>1.0117357151660855</v>
      </c>
    </row>
    <row r="165" spans="3:32">
      <c r="C165" s="549" t="s">
        <v>254</v>
      </c>
      <c r="D165" s="549">
        <v>2208106</v>
      </c>
      <c r="E165" s="549" t="s">
        <v>415</v>
      </c>
      <c r="F165" s="550">
        <v>8690</v>
      </c>
      <c r="G165" s="550">
        <v>11498</v>
      </c>
      <c r="H165" s="550">
        <v>11647</v>
      </c>
      <c r="I165" s="550">
        <v>11805</v>
      </c>
      <c r="J165" s="550">
        <v>12138</v>
      </c>
      <c r="K165" s="550">
        <v>12322</v>
      </c>
      <c r="L165" s="550">
        <v>12504</v>
      </c>
      <c r="M165" s="550">
        <v>12058</v>
      </c>
      <c r="N165" s="550">
        <v>11722</v>
      </c>
      <c r="O165" s="550">
        <v>12125</v>
      </c>
      <c r="P165" s="550">
        <v>11733</v>
      </c>
      <c r="Q165" s="550">
        <v>11766</v>
      </c>
      <c r="R165" s="550">
        <v>11798</v>
      </c>
      <c r="S165" s="550">
        <v>11884</v>
      </c>
      <c r="T165" s="550">
        <v>11900</v>
      </c>
      <c r="U165" s="550">
        <v>11913</v>
      </c>
      <c r="V165" s="550">
        <v>11925</v>
      </c>
      <c r="W165" s="550">
        <v>11935</v>
      </c>
      <c r="X165" s="550">
        <v>12115</v>
      </c>
      <c r="Y165" s="550">
        <v>12127</v>
      </c>
      <c r="Z165" s="550">
        <v>12139</v>
      </c>
      <c r="AA165" s="550">
        <v>12150</v>
      </c>
      <c r="AB165" s="550">
        <v>11341</v>
      </c>
      <c r="AC165" s="550"/>
      <c r="AD165" s="550">
        <v>11528</v>
      </c>
      <c r="AE165" s="550">
        <v>11487</v>
      </c>
      <c r="AF165" s="778">
        <f t="shared" si="2"/>
        <v>1.0112242452920477</v>
      </c>
    </row>
    <row r="166" spans="3:32">
      <c r="C166" s="549" t="s">
        <v>254</v>
      </c>
      <c r="D166" s="549">
        <v>2208205</v>
      </c>
      <c r="E166" s="549" t="s">
        <v>416</v>
      </c>
      <c r="F166" s="550">
        <v>14809</v>
      </c>
      <c r="G166" s="550">
        <v>16541</v>
      </c>
      <c r="H166" s="550">
        <v>16585</v>
      </c>
      <c r="I166" s="550">
        <v>16622</v>
      </c>
      <c r="J166" s="550">
        <v>16699</v>
      </c>
      <c r="K166" s="550">
        <v>16742</v>
      </c>
      <c r="L166" s="550">
        <v>16785</v>
      </c>
      <c r="M166" s="550">
        <v>17615</v>
      </c>
      <c r="N166" s="550">
        <v>17123</v>
      </c>
      <c r="O166" s="550">
        <v>17714</v>
      </c>
      <c r="P166" s="550">
        <v>17671</v>
      </c>
      <c r="Q166" s="550">
        <v>17761</v>
      </c>
      <c r="R166" s="550">
        <v>17848</v>
      </c>
      <c r="S166" s="550">
        <v>17979</v>
      </c>
      <c r="T166" s="550">
        <v>18023</v>
      </c>
      <c r="U166" s="550">
        <v>18061</v>
      </c>
      <c r="V166" s="550">
        <v>18095</v>
      </c>
      <c r="W166" s="550">
        <v>18125</v>
      </c>
      <c r="X166" s="550">
        <v>18389</v>
      </c>
      <c r="Y166" s="550">
        <v>18425</v>
      </c>
      <c r="Z166" s="550">
        <v>18459</v>
      </c>
      <c r="AA166" s="550">
        <v>18492</v>
      </c>
      <c r="AB166" s="550">
        <v>17613</v>
      </c>
      <c r="AC166" s="550"/>
      <c r="AD166" s="550">
        <v>17947</v>
      </c>
      <c r="AE166" s="550">
        <v>17948</v>
      </c>
      <c r="AF166" s="778">
        <f t="shared" si="2"/>
        <v>1.0077193853699207</v>
      </c>
    </row>
    <row r="167" spans="3:32">
      <c r="C167" s="549" t="s">
        <v>254</v>
      </c>
      <c r="D167" s="549">
        <v>2208304</v>
      </c>
      <c r="E167" s="549" t="s">
        <v>417</v>
      </c>
      <c r="F167" s="550">
        <v>25072</v>
      </c>
      <c r="G167" s="550">
        <v>25227</v>
      </c>
      <c r="H167" s="550">
        <v>25593</v>
      </c>
      <c r="I167" s="550">
        <v>25968</v>
      </c>
      <c r="J167" s="550">
        <v>26754</v>
      </c>
      <c r="K167" s="550">
        <v>27189</v>
      </c>
      <c r="L167" s="550">
        <v>27621</v>
      </c>
      <c r="M167" s="550">
        <v>26361</v>
      </c>
      <c r="N167" s="550">
        <v>25625</v>
      </c>
      <c r="O167" s="550">
        <v>26499</v>
      </c>
      <c r="P167" s="550">
        <v>27553</v>
      </c>
      <c r="Q167" s="550">
        <v>27766</v>
      </c>
      <c r="R167" s="550">
        <v>27971</v>
      </c>
      <c r="S167" s="550">
        <v>28179</v>
      </c>
      <c r="T167" s="550">
        <v>28066</v>
      </c>
      <c r="U167" s="550">
        <v>28160</v>
      </c>
      <c r="V167" s="550">
        <v>28242</v>
      </c>
      <c r="W167" s="550">
        <v>28312</v>
      </c>
      <c r="X167" s="550">
        <v>28703</v>
      </c>
      <c r="Y167" s="550">
        <v>28791</v>
      </c>
      <c r="Z167" s="550">
        <v>28874</v>
      </c>
      <c r="AA167" s="550">
        <v>28952</v>
      </c>
      <c r="AB167" s="550">
        <v>28846</v>
      </c>
      <c r="AC167" s="550"/>
      <c r="AD167" s="550">
        <v>29849</v>
      </c>
      <c r="AE167" s="550">
        <v>29721</v>
      </c>
      <c r="AF167" s="778">
        <f t="shared" si="2"/>
        <v>1.0068272876327229</v>
      </c>
    </row>
    <row r="168" spans="3:32">
      <c r="C168" s="549" t="s">
        <v>254</v>
      </c>
      <c r="D168" s="549">
        <v>2208403</v>
      </c>
      <c r="E168" s="549" t="s">
        <v>418</v>
      </c>
      <c r="F168" s="550">
        <v>60405</v>
      </c>
      <c r="G168" s="550">
        <v>60506</v>
      </c>
      <c r="H168" s="550">
        <v>60762</v>
      </c>
      <c r="I168" s="550">
        <v>61045</v>
      </c>
      <c r="J168" s="550">
        <v>61637</v>
      </c>
      <c r="K168" s="550">
        <v>61965</v>
      </c>
      <c r="L168" s="550">
        <v>62291</v>
      </c>
      <c r="M168" s="550">
        <v>61975</v>
      </c>
      <c r="N168" s="550">
        <v>60249</v>
      </c>
      <c r="O168" s="550">
        <v>62107</v>
      </c>
      <c r="P168" s="550">
        <v>61834</v>
      </c>
      <c r="Q168" s="550">
        <v>61963</v>
      </c>
      <c r="R168" s="550">
        <v>62088</v>
      </c>
      <c r="S168" s="550">
        <v>62542</v>
      </c>
      <c r="T168" s="550">
        <v>62600</v>
      </c>
      <c r="U168" s="550">
        <v>62650</v>
      </c>
      <c r="V168" s="550">
        <v>62695</v>
      </c>
      <c r="W168" s="550">
        <v>62733</v>
      </c>
      <c r="X168" s="550">
        <v>63694</v>
      </c>
      <c r="Y168" s="550">
        <v>63742</v>
      </c>
      <c r="Z168" s="550">
        <v>63787</v>
      </c>
      <c r="AA168" s="550">
        <v>63829</v>
      </c>
      <c r="AB168" s="550">
        <v>65538</v>
      </c>
      <c r="AC168" s="550"/>
      <c r="AD168" s="550">
        <v>67676</v>
      </c>
      <c r="AE168" s="550">
        <v>67887</v>
      </c>
      <c r="AF168" s="778">
        <f t="shared" si="2"/>
        <v>1.0046818326999309</v>
      </c>
    </row>
    <row r="169" spans="3:32">
      <c r="C169" s="549" t="s">
        <v>254</v>
      </c>
      <c r="D169" s="549">
        <v>2208502</v>
      </c>
      <c r="E169" s="549" t="s">
        <v>419</v>
      </c>
      <c r="F169" s="550">
        <v>10587</v>
      </c>
      <c r="G169" s="550">
        <v>10679</v>
      </c>
      <c r="H169" s="550">
        <v>10796</v>
      </c>
      <c r="I169" s="550">
        <v>10899</v>
      </c>
      <c r="J169" s="550">
        <v>11116</v>
      </c>
      <c r="K169" s="550">
        <v>11236</v>
      </c>
      <c r="L169" s="550">
        <v>11356</v>
      </c>
      <c r="M169" s="550">
        <v>11824</v>
      </c>
      <c r="N169" s="550">
        <v>11492</v>
      </c>
      <c r="O169" s="550">
        <v>11941</v>
      </c>
      <c r="P169" s="550">
        <v>11897</v>
      </c>
      <c r="Q169" s="550">
        <v>11999</v>
      </c>
      <c r="R169" s="550">
        <v>12097</v>
      </c>
      <c r="S169" s="550">
        <v>12188</v>
      </c>
      <c r="T169" s="550">
        <v>12239</v>
      </c>
      <c r="U169" s="550">
        <v>12284</v>
      </c>
      <c r="V169" s="550">
        <v>12324</v>
      </c>
      <c r="W169" s="550">
        <v>12358</v>
      </c>
      <c r="X169" s="550">
        <v>12526</v>
      </c>
      <c r="Y169" s="550">
        <v>12568</v>
      </c>
      <c r="Z169" s="550">
        <v>12608</v>
      </c>
      <c r="AA169" s="550">
        <v>12646</v>
      </c>
      <c r="AB169" s="550">
        <v>12052</v>
      </c>
      <c r="AC169" s="550"/>
      <c r="AD169" s="550">
        <v>12312</v>
      </c>
      <c r="AE169" s="550">
        <v>12323</v>
      </c>
      <c r="AF169" s="778">
        <f t="shared" si="2"/>
        <v>1.0060921059167536</v>
      </c>
    </row>
    <row r="170" spans="3:32">
      <c r="C170" s="549" t="s">
        <v>254</v>
      </c>
      <c r="D170" s="549">
        <v>2208551</v>
      </c>
      <c r="E170" s="549" t="s">
        <v>420</v>
      </c>
      <c r="F170" s="550">
        <v>1883</v>
      </c>
      <c r="G170" s="550">
        <v>2443</v>
      </c>
      <c r="H170" s="550">
        <v>2461</v>
      </c>
      <c r="I170" s="550">
        <v>2480</v>
      </c>
      <c r="J170" s="550">
        <v>2520</v>
      </c>
      <c r="K170" s="550">
        <v>2541</v>
      </c>
      <c r="L170" s="550">
        <v>2383</v>
      </c>
      <c r="M170" s="550">
        <v>2540</v>
      </c>
      <c r="N170" s="550">
        <v>2468</v>
      </c>
      <c r="O170" s="550">
        <v>2567</v>
      </c>
      <c r="P170" s="550">
        <v>2559</v>
      </c>
      <c r="Q170" s="550">
        <v>2583</v>
      </c>
      <c r="R170" s="550">
        <v>2606</v>
      </c>
      <c r="S170" s="550">
        <v>2625</v>
      </c>
      <c r="T170" s="550">
        <v>2637</v>
      </c>
      <c r="U170" s="550">
        <v>2647</v>
      </c>
      <c r="V170" s="550">
        <v>2656</v>
      </c>
      <c r="W170" s="550">
        <v>2664</v>
      </c>
      <c r="X170" s="550">
        <v>2700</v>
      </c>
      <c r="Y170" s="550">
        <v>2710</v>
      </c>
      <c r="Z170" s="550">
        <v>2720</v>
      </c>
      <c r="AA170" s="550">
        <v>2728</v>
      </c>
      <c r="AB170" s="550">
        <v>2364</v>
      </c>
      <c r="AC170" s="550"/>
      <c r="AD170" s="550">
        <v>2391</v>
      </c>
      <c r="AE170" s="550">
        <v>2382</v>
      </c>
      <c r="AF170" s="778">
        <f t="shared" si="2"/>
        <v>1.0094473156501325</v>
      </c>
    </row>
    <row r="171" spans="3:32">
      <c r="C171" s="549" t="s">
        <v>254</v>
      </c>
      <c r="D171" s="549">
        <v>2208601</v>
      </c>
      <c r="E171" s="549" t="s">
        <v>421</v>
      </c>
      <c r="F171" s="550">
        <v>3209</v>
      </c>
      <c r="G171" s="550">
        <v>3162</v>
      </c>
      <c r="H171" s="550">
        <v>3203</v>
      </c>
      <c r="I171" s="550">
        <v>3242</v>
      </c>
      <c r="J171" s="550">
        <v>3326</v>
      </c>
      <c r="K171" s="550">
        <v>3372</v>
      </c>
      <c r="L171" s="550">
        <v>3418</v>
      </c>
      <c r="M171" s="550">
        <v>3249</v>
      </c>
      <c r="N171" s="550">
        <v>3159</v>
      </c>
      <c r="O171" s="550">
        <v>3260</v>
      </c>
      <c r="P171" s="550">
        <v>3085</v>
      </c>
      <c r="Q171" s="550">
        <v>3083</v>
      </c>
      <c r="R171" s="550">
        <v>3088</v>
      </c>
      <c r="S171" s="550">
        <v>3109</v>
      </c>
      <c r="T171" s="550">
        <v>3107</v>
      </c>
      <c r="U171" s="550">
        <v>3106</v>
      </c>
      <c r="V171" s="550">
        <v>3104</v>
      </c>
      <c r="W171" s="550">
        <v>3103</v>
      </c>
      <c r="X171" s="550">
        <v>3153</v>
      </c>
      <c r="Y171" s="550">
        <v>3151</v>
      </c>
      <c r="Z171" s="550">
        <v>3150</v>
      </c>
      <c r="AA171" s="550">
        <v>3149</v>
      </c>
      <c r="AB171" s="550">
        <v>3042</v>
      </c>
      <c r="AC171" s="550"/>
      <c r="AD171" s="550">
        <v>3098</v>
      </c>
      <c r="AE171" s="550">
        <v>3096</v>
      </c>
      <c r="AF171" s="778">
        <f t="shared" si="2"/>
        <v>0.99856709133935617</v>
      </c>
    </row>
    <row r="172" spans="3:32">
      <c r="C172" s="549" t="s">
        <v>254</v>
      </c>
      <c r="D172" s="549">
        <v>2208650</v>
      </c>
      <c r="E172" s="549" t="s">
        <v>422</v>
      </c>
      <c r="F172" s="550">
        <v>7999</v>
      </c>
      <c r="G172" s="550">
        <v>8388</v>
      </c>
      <c r="H172" s="550">
        <v>8513</v>
      </c>
      <c r="I172" s="550">
        <v>8598</v>
      </c>
      <c r="J172" s="550">
        <v>8774</v>
      </c>
      <c r="K172" s="550">
        <v>8872</v>
      </c>
      <c r="L172" s="550">
        <v>8969</v>
      </c>
      <c r="M172" s="550">
        <v>9026</v>
      </c>
      <c r="N172" s="550">
        <v>9146</v>
      </c>
      <c r="O172" s="550">
        <v>9116</v>
      </c>
      <c r="P172" s="550">
        <v>8553</v>
      </c>
      <c r="Q172" s="550">
        <v>8617</v>
      </c>
      <c r="R172" s="550">
        <v>8679</v>
      </c>
      <c r="S172" s="550">
        <v>8743</v>
      </c>
      <c r="T172" s="550">
        <v>8775</v>
      </c>
      <c r="U172" s="550">
        <v>8796</v>
      </c>
      <c r="V172" s="550">
        <v>8821</v>
      </c>
      <c r="W172" s="550">
        <v>8842</v>
      </c>
      <c r="X172" s="550">
        <v>8966</v>
      </c>
      <c r="Y172" s="550">
        <v>8992</v>
      </c>
      <c r="Z172" s="550">
        <v>9017</v>
      </c>
      <c r="AA172" s="550">
        <v>9041</v>
      </c>
      <c r="AB172" s="550">
        <v>8738</v>
      </c>
      <c r="AC172" s="550"/>
      <c r="AD172" s="550">
        <v>8936</v>
      </c>
      <c r="AE172" s="550">
        <v>8948</v>
      </c>
      <c r="AF172" s="778">
        <f t="shared" si="2"/>
        <v>1.0044946109900807</v>
      </c>
    </row>
    <row r="173" spans="3:32">
      <c r="C173" s="549" t="s">
        <v>254</v>
      </c>
      <c r="D173" s="549">
        <v>2208700</v>
      </c>
      <c r="E173" s="549" t="s">
        <v>423</v>
      </c>
      <c r="F173" s="550">
        <v>8172</v>
      </c>
      <c r="G173" s="550">
        <v>7880</v>
      </c>
      <c r="H173" s="550">
        <v>7970</v>
      </c>
      <c r="I173" s="550">
        <v>8058</v>
      </c>
      <c r="J173" s="550">
        <v>8242</v>
      </c>
      <c r="K173" s="550">
        <v>8344</v>
      </c>
      <c r="L173" s="550">
        <v>8445</v>
      </c>
      <c r="M173" s="550">
        <v>8500</v>
      </c>
      <c r="N173" s="550">
        <v>8263</v>
      </c>
      <c r="O173" s="550">
        <v>8567</v>
      </c>
      <c r="P173" s="550">
        <v>8400</v>
      </c>
      <c r="Q173" s="550">
        <v>8448</v>
      </c>
      <c r="R173" s="550">
        <v>8494</v>
      </c>
      <c r="S173" s="550">
        <v>8556</v>
      </c>
      <c r="T173" s="550">
        <v>8580</v>
      </c>
      <c r="U173" s="550">
        <v>8600</v>
      </c>
      <c r="V173" s="550">
        <v>8618</v>
      </c>
      <c r="W173" s="550">
        <v>8634</v>
      </c>
      <c r="X173" s="550">
        <v>8758</v>
      </c>
      <c r="Y173" s="550">
        <v>8778</v>
      </c>
      <c r="Z173" s="550">
        <v>8796</v>
      </c>
      <c r="AA173" s="550">
        <v>8814</v>
      </c>
      <c r="AB173" s="550">
        <v>8394</v>
      </c>
      <c r="AC173" s="550"/>
      <c r="AD173" s="550">
        <v>8563</v>
      </c>
      <c r="AE173" s="550">
        <v>8565</v>
      </c>
      <c r="AF173" s="778">
        <f t="shared" si="2"/>
        <v>1.0018805842776066</v>
      </c>
    </row>
    <row r="174" spans="3:32">
      <c r="C174" s="549" t="s">
        <v>254</v>
      </c>
      <c r="D174" s="549">
        <v>2208809</v>
      </c>
      <c r="E174" s="549" t="s">
        <v>424</v>
      </c>
      <c r="F174" s="550">
        <v>16734</v>
      </c>
      <c r="G174" s="550">
        <v>17599</v>
      </c>
      <c r="H174" s="550">
        <v>17686</v>
      </c>
      <c r="I174" s="550">
        <v>17786</v>
      </c>
      <c r="J174" s="550">
        <v>17996</v>
      </c>
      <c r="K174" s="550">
        <v>18113</v>
      </c>
      <c r="L174" s="550">
        <v>18228</v>
      </c>
      <c r="M174" s="550">
        <v>18138</v>
      </c>
      <c r="N174" s="550">
        <v>17633</v>
      </c>
      <c r="O174" s="550">
        <v>18190</v>
      </c>
      <c r="P174" s="550">
        <v>17556</v>
      </c>
      <c r="Q174" s="550">
        <v>17563</v>
      </c>
      <c r="R174" s="550">
        <v>17569</v>
      </c>
      <c r="S174" s="550">
        <v>17696</v>
      </c>
      <c r="T174" s="550">
        <v>17696</v>
      </c>
      <c r="U174" s="550">
        <v>17697</v>
      </c>
      <c r="V174" s="550">
        <v>17697</v>
      </c>
      <c r="W174" s="550">
        <v>17698</v>
      </c>
      <c r="X174" s="550">
        <v>17978</v>
      </c>
      <c r="Y174" s="550">
        <v>17978</v>
      </c>
      <c r="Z174" s="550">
        <v>17979</v>
      </c>
      <c r="AA174" s="550">
        <v>17979</v>
      </c>
      <c r="AB174" s="550">
        <v>17133</v>
      </c>
      <c r="AC174" s="550"/>
      <c r="AD174" s="550">
        <v>17418</v>
      </c>
      <c r="AE174" s="550">
        <v>17400</v>
      </c>
      <c r="AF174" s="778">
        <f t="shared" si="2"/>
        <v>1.0015623242928318</v>
      </c>
    </row>
    <row r="175" spans="3:32">
      <c r="C175" s="549" t="s">
        <v>254</v>
      </c>
      <c r="D175" s="549">
        <v>2208858</v>
      </c>
      <c r="E175" s="549" t="s">
        <v>425</v>
      </c>
      <c r="F175" s="550">
        <v>4581</v>
      </c>
      <c r="G175" s="550">
        <v>4352</v>
      </c>
      <c r="H175" s="550">
        <v>4378</v>
      </c>
      <c r="I175" s="550">
        <v>4405</v>
      </c>
      <c r="J175" s="550">
        <v>4461</v>
      </c>
      <c r="K175" s="550">
        <v>4491</v>
      </c>
      <c r="L175" s="550">
        <v>4522</v>
      </c>
      <c r="M175" s="550">
        <v>5025</v>
      </c>
      <c r="N175" s="550">
        <v>4884</v>
      </c>
      <c r="O175" s="550">
        <v>5093</v>
      </c>
      <c r="P175" s="550">
        <v>4241</v>
      </c>
      <c r="Q175" s="550">
        <v>4235</v>
      </c>
      <c r="R175" s="550">
        <v>4229</v>
      </c>
      <c r="S175" s="550">
        <v>4259</v>
      </c>
      <c r="T175" s="550">
        <v>4255</v>
      </c>
      <c r="U175" s="550">
        <v>4252</v>
      </c>
      <c r="V175" s="550">
        <v>4248</v>
      </c>
      <c r="W175" s="550">
        <v>4246</v>
      </c>
      <c r="X175" s="550">
        <v>4316</v>
      </c>
      <c r="Y175" s="550">
        <v>4312</v>
      </c>
      <c r="Z175" s="550">
        <v>4309</v>
      </c>
      <c r="AA175" s="550">
        <v>4306</v>
      </c>
      <c r="AB175" s="550">
        <v>4165</v>
      </c>
      <c r="AC175" s="550"/>
      <c r="AD175" s="550">
        <v>4241</v>
      </c>
      <c r="AE175" s="550">
        <v>4238</v>
      </c>
      <c r="AF175" s="778">
        <f t="shared" si="2"/>
        <v>0.99689180626448359</v>
      </c>
    </row>
    <row r="176" spans="3:32">
      <c r="C176" s="549" t="s">
        <v>254</v>
      </c>
      <c r="D176" s="549">
        <v>2208874</v>
      </c>
      <c r="E176" s="549" t="s">
        <v>426</v>
      </c>
      <c r="F176" s="550">
        <v>3529</v>
      </c>
      <c r="G176" s="550">
        <v>3907</v>
      </c>
      <c r="H176" s="550">
        <v>3925</v>
      </c>
      <c r="I176" s="550">
        <v>3946</v>
      </c>
      <c r="J176" s="550">
        <v>3991</v>
      </c>
      <c r="K176" s="550">
        <v>4016</v>
      </c>
      <c r="L176" s="550">
        <v>4041</v>
      </c>
      <c r="M176" s="550">
        <v>4221</v>
      </c>
      <c r="N176" s="550">
        <v>4103</v>
      </c>
      <c r="O176" s="550">
        <v>4252</v>
      </c>
      <c r="P176" s="550">
        <v>4263</v>
      </c>
      <c r="Q176" s="550">
        <v>4293</v>
      </c>
      <c r="R176" s="550">
        <v>4321</v>
      </c>
      <c r="S176" s="550">
        <v>4354</v>
      </c>
      <c r="T176" s="550">
        <v>4368</v>
      </c>
      <c r="U176" s="550">
        <v>4381</v>
      </c>
      <c r="V176" s="550">
        <v>4393</v>
      </c>
      <c r="W176" s="550">
        <v>4403</v>
      </c>
      <c r="X176" s="550">
        <v>4464</v>
      </c>
      <c r="Y176" s="550">
        <v>4477</v>
      </c>
      <c r="Z176" s="550">
        <v>4488</v>
      </c>
      <c r="AA176" s="550">
        <v>4499</v>
      </c>
      <c r="AB176" s="550">
        <v>4055</v>
      </c>
      <c r="AC176" s="550"/>
      <c r="AD176" s="550">
        <v>4114</v>
      </c>
      <c r="AE176" s="550">
        <v>4105</v>
      </c>
      <c r="AF176" s="778">
        <f t="shared" si="2"/>
        <v>1.0060659718714786</v>
      </c>
    </row>
    <row r="177" spans="3:32">
      <c r="C177" s="549" t="s">
        <v>254</v>
      </c>
      <c r="D177" s="549">
        <v>2208908</v>
      </c>
      <c r="E177" s="549" t="s">
        <v>427</v>
      </c>
      <c r="F177" s="550">
        <v>6058</v>
      </c>
      <c r="G177" s="550">
        <v>5718</v>
      </c>
      <c r="H177" s="550">
        <v>5718</v>
      </c>
      <c r="I177" s="550">
        <v>5716</v>
      </c>
      <c r="J177" s="550">
        <v>5711</v>
      </c>
      <c r="K177" s="550">
        <v>5709</v>
      </c>
      <c r="L177" s="550">
        <v>5706</v>
      </c>
      <c r="M177" s="550">
        <v>6767</v>
      </c>
      <c r="N177" s="550">
        <v>6577</v>
      </c>
      <c r="O177" s="550">
        <v>6869</v>
      </c>
      <c r="P177" s="550">
        <v>6845</v>
      </c>
      <c r="Q177" s="550">
        <v>6932</v>
      </c>
      <c r="R177" s="550">
        <v>7015</v>
      </c>
      <c r="S177" s="550">
        <v>7068</v>
      </c>
      <c r="T177" s="550">
        <v>7112</v>
      </c>
      <c r="U177" s="550">
        <v>7151</v>
      </c>
      <c r="V177" s="550">
        <v>7185</v>
      </c>
      <c r="W177" s="550">
        <v>7214</v>
      </c>
      <c r="X177" s="550">
        <v>7305</v>
      </c>
      <c r="Y177" s="550">
        <v>7341</v>
      </c>
      <c r="Z177" s="550">
        <v>7376</v>
      </c>
      <c r="AA177" s="550">
        <v>7408</v>
      </c>
      <c r="AB177" s="550">
        <v>6164</v>
      </c>
      <c r="AC177" s="550"/>
      <c r="AD177" s="550">
        <v>6215</v>
      </c>
      <c r="AE177" s="550">
        <v>6182</v>
      </c>
      <c r="AF177" s="778">
        <f t="shared" si="2"/>
        <v>1.0008108137761114</v>
      </c>
    </row>
    <row r="178" spans="3:32">
      <c r="C178" s="549" t="s">
        <v>254</v>
      </c>
      <c r="D178" s="549">
        <v>2209005</v>
      </c>
      <c r="E178" s="549" t="s">
        <v>428</v>
      </c>
      <c r="F178" s="550">
        <v>5849</v>
      </c>
      <c r="G178" s="550">
        <v>6155</v>
      </c>
      <c r="H178" s="550">
        <v>6260</v>
      </c>
      <c r="I178" s="550">
        <v>6282</v>
      </c>
      <c r="J178" s="550">
        <v>6326</v>
      </c>
      <c r="K178" s="550">
        <v>6351</v>
      </c>
      <c r="L178" s="550">
        <v>6376</v>
      </c>
      <c r="M178" s="550">
        <v>6615</v>
      </c>
      <c r="N178" s="550">
        <v>6430</v>
      </c>
      <c r="O178" s="550">
        <v>6650</v>
      </c>
      <c r="P178" s="550">
        <v>6273</v>
      </c>
      <c r="Q178" s="550">
        <v>6278</v>
      </c>
      <c r="R178" s="550">
        <v>6282</v>
      </c>
      <c r="S178" s="550">
        <v>6327</v>
      </c>
      <c r="T178" s="550">
        <v>6328</v>
      </c>
      <c r="U178" s="550">
        <v>6329</v>
      </c>
      <c r="V178" s="550">
        <v>6330</v>
      </c>
      <c r="W178" s="550">
        <v>6331</v>
      </c>
      <c r="X178" s="550">
        <v>6431</v>
      </c>
      <c r="Y178" s="550">
        <v>6432</v>
      </c>
      <c r="Z178" s="550">
        <v>6433</v>
      </c>
      <c r="AA178" s="550">
        <v>6434</v>
      </c>
      <c r="AB178" s="550">
        <v>5801</v>
      </c>
      <c r="AC178" s="550"/>
      <c r="AD178" s="550">
        <v>5868</v>
      </c>
      <c r="AE178" s="550">
        <v>5845</v>
      </c>
      <c r="AF178" s="778">
        <f t="shared" si="2"/>
        <v>0.99997263591292918</v>
      </c>
    </row>
    <row r="179" spans="3:32">
      <c r="C179" s="549" t="s">
        <v>254</v>
      </c>
      <c r="D179" s="549">
        <v>2209104</v>
      </c>
      <c r="E179" s="549" t="s">
        <v>429</v>
      </c>
      <c r="F179" s="550">
        <v>6280</v>
      </c>
      <c r="G179" s="550">
        <v>5755</v>
      </c>
      <c r="H179" s="550">
        <v>5737</v>
      </c>
      <c r="I179" s="550">
        <v>5719</v>
      </c>
      <c r="J179" s="550">
        <v>5682</v>
      </c>
      <c r="K179" s="550">
        <v>5661</v>
      </c>
      <c r="L179" s="550">
        <v>5640</v>
      </c>
      <c r="M179" s="550">
        <v>5956</v>
      </c>
      <c r="N179" s="550">
        <v>5790</v>
      </c>
      <c r="O179" s="550">
        <v>5969</v>
      </c>
      <c r="P179" s="550">
        <v>6027</v>
      </c>
      <c r="Q179" s="550">
        <v>6047</v>
      </c>
      <c r="R179" s="550">
        <v>6065</v>
      </c>
      <c r="S179" s="550">
        <v>6110</v>
      </c>
      <c r="T179" s="550">
        <v>6119</v>
      </c>
      <c r="U179" s="550">
        <v>6127</v>
      </c>
      <c r="V179" s="550">
        <v>6134</v>
      </c>
      <c r="W179" s="550">
        <v>6140</v>
      </c>
      <c r="X179" s="550">
        <v>6232</v>
      </c>
      <c r="Y179" s="550">
        <v>6240</v>
      </c>
      <c r="Z179" s="550">
        <v>6247</v>
      </c>
      <c r="AA179" s="550">
        <v>6254</v>
      </c>
      <c r="AB179" s="550">
        <v>5831</v>
      </c>
      <c r="AC179" s="550"/>
      <c r="AD179" s="550">
        <v>5928</v>
      </c>
      <c r="AE179" s="550">
        <v>5872</v>
      </c>
      <c r="AF179" s="778">
        <f t="shared" si="2"/>
        <v>0.99731661915324898</v>
      </c>
    </row>
    <row r="180" spans="3:32">
      <c r="C180" s="549" t="s">
        <v>254</v>
      </c>
      <c r="D180" s="549">
        <v>2209153</v>
      </c>
      <c r="E180" s="549" t="s">
        <v>430</v>
      </c>
      <c r="F180" s="550">
        <v>3689</v>
      </c>
      <c r="G180" s="550">
        <v>3364</v>
      </c>
      <c r="H180" s="550">
        <v>3387</v>
      </c>
      <c r="I180" s="550">
        <v>3411</v>
      </c>
      <c r="J180" s="550">
        <v>3463</v>
      </c>
      <c r="K180" s="550">
        <v>3491</v>
      </c>
      <c r="L180" s="550">
        <v>3520</v>
      </c>
      <c r="M180" s="550">
        <v>3448</v>
      </c>
      <c r="N180" s="550">
        <v>3352</v>
      </c>
      <c r="O180" s="550">
        <v>3457</v>
      </c>
      <c r="P180" s="550">
        <v>3794</v>
      </c>
      <c r="Q180" s="550">
        <v>3830</v>
      </c>
      <c r="R180" s="550">
        <v>3864</v>
      </c>
      <c r="S180" s="550">
        <v>3893</v>
      </c>
      <c r="T180" s="550">
        <v>3910</v>
      </c>
      <c r="U180" s="550">
        <v>3926</v>
      </c>
      <c r="V180" s="550">
        <v>3940</v>
      </c>
      <c r="W180" s="550">
        <v>3952</v>
      </c>
      <c r="X180" s="550">
        <v>4004</v>
      </c>
      <c r="Y180" s="550">
        <v>4019</v>
      </c>
      <c r="Z180" s="550">
        <v>4033</v>
      </c>
      <c r="AA180" s="550">
        <v>4046</v>
      </c>
      <c r="AB180" s="550">
        <v>3435</v>
      </c>
      <c r="AC180" s="550"/>
      <c r="AD180" s="550">
        <v>3466</v>
      </c>
      <c r="AE180" s="550">
        <v>3448</v>
      </c>
      <c r="AF180" s="778">
        <f t="shared" si="2"/>
        <v>0.9973012056783771</v>
      </c>
    </row>
    <row r="181" spans="3:32">
      <c r="C181" s="549" t="s">
        <v>254</v>
      </c>
      <c r="D181" s="549">
        <v>2209203</v>
      </c>
      <c r="E181" s="549" t="s">
        <v>431</v>
      </c>
      <c r="F181" s="550">
        <v>5867</v>
      </c>
      <c r="G181" s="550">
        <v>6084</v>
      </c>
      <c r="H181" s="550">
        <v>6118</v>
      </c>
      <c r="I181" s="550">
        <v>6159</v>
      </c>
      <c r="J181" s="550">
        <v>6244</v>
      </c>
      <c r="K181" s="550">
        <v>6291</v>
      </c>
      <c r="L181" s="550">
        <v>6338</v>
      </c>
      <c r="M181" s="550">
        <v>6171</v>
      </c>
      <c r="N181" s="550">
        <v>5999</v>
      </c>
      <c r="O181" s="550">
        <v>6180</v>
      </c>
      <c r="P181" s="550">
        <v>6096</v>
      </c>
      <c r="Q181" s="550">
        <v>6101</v>
      </c>
      <c r="R181" s="550">
        <v>6106</v>
      </c>
      <c r="S181" s="550">
        <v>6150</v>
      </c>
      <c r="T181" s="550">
        <v>6152</v>
      </c>
      <c r="U181" s="550">
        <v>6153</v>
      </c>
      <c r="V181" s="550">
        <v>6155</v>
      </c>
      <c r="W181" s="550">
        <v>6156</v>
      </c>
      <c r="X181" s="550">
        <v>6252</v>
      </c>
      <c r="Y181" s="550">
        <v>6253</v>
      </c>
      <c r="Z181" s="550">
        <v>6254</v>
      </c>
      <c r="AA181" s="550">
        <v>6256</v>
      </c>
      <c r="AB181" s="550">
        <v>6087</v>
      </c>
      <c r="AC181" s="550"/>
      <c r="AD181" s="550">
        <v>6209</v>
      </c>
      <c r="AE181" s="550">
        <v>6210</v>
      </c>
      <c r="AF181" s="778">
        <f t="shared" si="2"/>
        <v>1.0022752831772079</v>
      </c>
    </row>
    <row r="182" spans="3:32">
      <c r="C182" s="549" t="s">
        <v>254</v>
      </c>
      <c r="D182" s="549">
        <v>2209302</v>
      </c>
      <c r="E182" s="549" t="s">
        <v>432</v>
      </c>
      <c r="F182" s="550">
        <v>4364</v>
      </c>
      <c r="G182" s="550">
        <v>4813</v>
      </c>
      <c r="H182" s="550">
        <v>4848</v>
      </c>
      <c r="I182" s="550">
        <v>4879</v>
      </c>
      <c r="J182" s="550">
        <v>4945</v>
      </c>
      <c r="K182" s="550">
        <v>4982</v>
      </c>
      <c r="L182" s="550">
        <v>5018</v>
      </c>
      <c r="M182" s="550">
        <v>5432</v>
      </c>
      <c r="N182" s="550">
        <v>5280</v>
      </c>
      <c r="O182" s="550">
        <v>5495</v>
      </c>
      <c r="P182" s="550">
        <v>5513</v>
      </c>
      <c r="Q182" s="550">
        <v>5570</v>
      </c>
      <c r="R182" s="550">
        <v>5624</v>
      </c>
      <c r="S182" s="550">
        <v>5666</v>
      </c>
      <c r="T182" s="550">
        <v>5694</v>
      </c>
      <c r="U182" s="550">
        <v>5719</v>
      </c>
      <c r="V182" s="550">
        <v>5741</v>
      </c>
      <c r="W182" s="550">
        <v>5761</v>
      </c>
      <c r="X182" s="550">
        <v>5836</v>
      </c>
      <c r="Y182" s="550">
        <v>5860</v>
      </c>
      <c r="Z182" s="550">
        <v>5882</v>
      </c>
      <c r="AA182" s="550">
        <v>5903</v>
      </c>
      <c r="AB182" s="550">
        <v>5336</v>
      </c>
      <c r="AC182" s="550"/>
      <c r="AD182" s="550">
        <v>5425</v>
      </c>
      <c r="AE182" s="550">
        <v>5418</v>
      </c>
      <c r="AF182" s="778">
        <f t="shared" si="2"/>
        <v>1.0086910568540324</v>
      </c>
    </row>
    <row r="183" spans="3:32">
      <c r="C183" s="549" t="s">
        <v>254</v>
      </c>
      <c r="D183" s="549">
        <v>2209351</v>
      </c>
      <c r="E183" s="549" t="s">
        <v>433</v>
      </c>
      <c r="F183" s="550">
        <v>3318</v>
      </c>
      <c r="G183" s="550">
        <v>4658</v>
      </c>
      <c r="H183" s="550">
        <v>4705</v>
      </c>
      <c r="I183" s="550">
        <v>4756</v>
      </c>
      <c r="J183" s="550">
        <v>4864</v>
      </c>
      <c r="K183" s="550">
        <v>4923</v>
      </c>
      <c r="L183" s="550">
        <v>4982</v>
      </c>
      <c r="M183" s="550">
        <v>4980</v>
      </c>
      <c r="N183" s="550">
        <v>4841</v>
      </c>
      <c r="O183" s="550">
        <v>5015</v>
      </c>
      <c r="P183" s="550">
        <v>4917</v>
      </c>
      <c r="Q183" s="550">
        <v>4468</v>
      </c>
      <c r="R183" s="550">
        <v>4489</v>
      </c>
      <c r="S183" s="550">
        <v>4522</v>
      </c>
      <c r="T183" s="550">
        <v>4534</v>
      </c>
      <c r="U183" s="550">
        <v>4544</v>
      </c>
      <c r="V183" s="550">
        <v>4552</v>
      </c>
      <c r="W183" s="550">
        <v>4559</v>
      </c>
      <c r="X183" s="550">
        <v>4625</v>
      </c>
      <c r="Y183" s="550">
        <v>4634</v>
      </c>
      <c r="Z183" s="550">
        <v>4642</v>
      </c>
      <c r="AA183" s="550">
        <v>4650</v>
      </c>
      <c r="AB183" s="550">
        <v>4125</v>
      </c>
      <c r="AC183" s="550"/>
      <c r="AD183" s="550">
        <v>4174</v>
      </c>
      <c r="AE183" s="550">
        <v>4159</v>
      </c>
      <c r="AF183" s="778">
        <f t="shared" si="2"/>
        <v>1.0090774511771601</v>
      </c>
    </row>
    <row r="184" spans="3:32">
      <c r="C184" s="549" t="s">
        <v>254</v>
      </c>
      <c r="D184" s="549">
        <v>2209377</v>
      </c>
      <c r="E184" s="549" t="s">
        <v>434</v>
      </c>
      <c r="F184" s="550">
        <v>5386</v>
      </c>
      <c r="G184" s="550">
        <v>5272</v>
      </c>
      <c r="H184" s="550">
        <v>5305</v>
      </c>
      <c r="I184" s="550">
        <v>5343</v>
      </c>
      <c r="J184" s="550">
        <v>5376</v>
      </c>
      <c r="K184" s="550">
        <v>5420</v>
      </c>
      <c r="L184" s="550">
        <v>5464</v>
      </c>
      <c r="M184" s="550">
        <v>5296</v>
      </c>
      <c r="N184" s="550">
        <v>5149</v>
      </c>
      <c r="O184" s="550">
        <v>5304</v>
      </c>
      <c r="P184" s="550">
        <v>5149</v>
      </c>
      <c r="Q184" s="550">
        <v>5147</v>
      </c>
      <c r="R184" s="550">
        <v>5145</v>
      </c>
      <c r="S184" s="550">
        <v>5182</v>
      </c>
      <c r="T184" s="550">
        <v>5180</v>
      </c>
      <c r="U184" s="550">
        <v>5178</v>
      </c>
      <c r="V184" s="550">
        <v>5177</v>
      </c>
      <c r="W184" s="550">
        <v>5175</v>
      </c>
      <c r="X184" s="550">
        <v>5258</v>
      </c>
      <c r="Y184" s="550">
        <v>5257</v>
      </c>
      <c r="Z184" s="550">
        <v>5255</v>
      </c>
      <c r="AA184" s="550">
        <v>5254</v>
      </c>
      <c r="AB184" s="550">
        <v>4650</v>
      </c>
      <c r="AC184" s="550"/>
      <c r="AD184" s="550">
        <v>4690</v>
      </c>
      <c r="AE184" s="550">
        <v>4666</v>
      </c>
      <c r="AF184" s="778">
        <f t="shared" si="2"/>
        <v>0.99427640968161579</v>
      </c>
    </row>
    <row r="185" spans="3:32">
      <c r="C185" s="549" t="s">
        <v>254</v>
      </c>
      <c r="D185" s="549">
        <v>2209401</v>
      </c>
      <c r="E185" s="549" t="s">
        <v>435</v>
      </c>
      <c r="F185" s="550">
        <v>5003</v>
      </c>
      <c r="G185" s="550">
        <v>5168</v>
      </c>
      <c r="H185" s="550">
        <v>5171</v>
      </c>
      <c r="I185" s="550">
        <v>5179</v>
      </c>
      <c r="J185" s="550">
        <v>5196</v>
      </c>
      <c r="K185" s="550">
        <v>5205</v>
      </c>
      <c r="L185" s="550">
        <v>5214</v>
      </c>
      <c r="M185" s="550">
        <v>5895</v>
      </c>
      <c r="N185" s="550">
        <v>5729</v>
      </c>
      <c r="O185" s="550">
        <v>5965</v>
      </c>
      <c r="P185" s="550">
        <v>6007</v>
      </c>
      <c r="Q185" s="550">
        <v>6073</v>
      </c>
      <c r="R185" s="550">
        <v>6136</v>
      </c>
      <c r="S185" s="550">
        <v>6182</v>
      </c>
      <c r="T185" s="550">
        <v>6215</v>
      </c>
      <c r="U185" s="550">
        <v>6244</v>
      </c>
      <c r="V185" s="550">
        <v>6270</v>
      </c>
      <c r="W185" s="550">
        <v>6305</v>
      </c>
      <c r="X185" s="550">
        <v>6388</v>
      </c>
      <c r="Y185" s="550">
        <v>6415</v>
      </c>
      <c r="Z185" s="550">
        <v>6441</v>
      </c>
      <c r="AA185" s="550">
        <v>6466</v>
      </c>
      <c r="AB185" s="550">
        <v>5839</v>
      </c>
      <c r="AC185" s="550"/>
      <c r="AD185" s="550">
        <v>5938</v>
      </c>
      <c r="AE185" s="550">
        <v>5930</v>
      </c>
      <c r="AF185" s="778">
        <f t="shared" si="2"/>
        <v>1.0068226280249992</v>
      </c>
    </row>
    <row r="186" spans="3:32">
      <c r="C186" s="549" t="s">
        <v>254</v>
      </c>
      <c r="D186" s="549">
        <v>2209450</v>
      </c>
      <c r="E186" s="549" t="s">
        <v>436</v>
      </c>
      <c r="F186" s="550">
        <v>1662</v>
      </c>
      <c r="G186" s="550">
        <v>1907</v>
      </c>
      <c r="H186" s="550">
        <v>1928</v>
      </c>
      <c r="I186" s="550">
        <v>1953</v>
      </c>
      <c r="J186" s="550">
        <v>2004</v>
      </c>
      <c r="K186" s="550">
        <v>2032</v>
      </c>
      <c r="L186" s="550">
        <v>2060</v>
      </c>
      <c r="M186" s="550">
        <v>2019</v>
      </c>
      <c r="N186" s="550">
        <v>1963</v>
      </c>
      <c r="O186" s="550">
        <v>2032</v>
      </c>
      <c r="P186" s="550">
        <v>2059</v>
      </c>
      <c r="Q186" s="550">
        <v>2074</v>
      </c>
      <c r="R186" s="550">
        <v>2087</v>
      </c>
      <c r="S186" s="550">
        <v>2102</v>
      </c>
      <c r="T186" s="550">
        <v>2109</v>
      </c>
      <c r="U186" s="550">
        <v>2115</v>
      </c>
      <c r="V186" s="550">
        <v>2120</v>
      </c>
      <c r="W186" s="550">
        <v>2125</v>
      </c>
      <c r="X186" s="550">
        <v>2155</v>
      </c>
      <c r="Y186" s="550">
        <v>2161</v>
      </c>
      <c r="Z186" s="550">
        <v>2166</v>
      </c>
      <c r="AA186" s="550">
        <v>2172</v>
      </c>
      <c r="AB186" s="550">
        <v>2138</v>
      </c>
      <c r="AC186" s="550"/>
      <c r="AD186" s="550">
        <v>2189</v>
      </c>
      <c r="AE186" s="550">
        <v>2169</v>
      </c>
      <c r="AF186" s="778">
        <f t="shared" si="2"/>
        <v>1.0107066921882373</v>
      </c>
    </row>
    <row r="187" spans="3:32">
      <c r="C187" s="549" t="s">
        <v>254</v>
      </c>
      <c r="D187" s="549">
        <v>2209500</v>
      </c>
      <c r="E187" s="549" t="s">
        <v>437</v>
      </c>
      <c r="F187" s="550">
        <v>3235</v>
      </c>
      <c r="G187" s="550">
        <v>3460</v>
      </c>
      <c r="H187" s="550">
        <v>3478</v>
      </c>
      <c r="I187" s="550">
        <v>3493</v>
      </c>
      <c r="J187" s="550">
        <v>3523</v>
      </c>
      <c r="K187" s="550">
        <v>3540</v>
      </c>
      <c r="L187" s="550">
        <v>3557</v>
      </c>
      <c r="M187" s="550">
        <v>3731</v>
      </c>
      <c r="N187" s="550">
        <v>3626</v>
      </c>
      <c r="O187" s="550">
        <v>3756</v>
      </c>
      <c r="P187" s="550">
        <v>3648</v>
      </c>
      <c r="Q187" s="550">
        <v>3664</v>
      </c>
      <c r="R187" s="550">
        <v>3679</v>
      </c>
      <c r="S187" s="550">
        <v>3706</v>
      </c>
      <c r="T187" s="550">
        <v>3713</v>
      </c>
      <c r="U187" s="550">
        <v>3720</v>
      </c>
      <c r="V187" s="550">
        <v>3726</v>
      </c>
      <c r="W187" s="550">
        <v>3731</v>
      </c>
      <c r="X187" s="550">
        <v>3785</v>
      </c>
      <c r="Y187" s="550">
        <v>3798</v>
      </c>
      <c r="Z187" s="550">
        <v>3803</v>
      </c>
      <c r="AA187" s="550">
        <v>3809</v>
      </c>
      <c r="AB187" s="550">
        <v>3646</v>
      </c>
      <c r="AC187" s="550"/>
      <c r="AD187" s="550">
        <v>3719</v>
      </c>
      <c r="AE187" s="550">
        <v>3682</v>
      </c>
      <c r="AF187" s="778">
        <f t="shared" si="2"/>
        <v>1.0051905104612504</v>
      </c>
    </row>
    <row r="188" spans="3:32">
      <c r="C188" s="549" t="s">
        <v>254</v>
      </c>
      <c r="D188" s="549">
        <v>2209559</v>
      </c>
      <c r="E188" s="549" t="s">
        <v>438</v>
      </c>
      <c r="F188" s="550">
        <v>4342</v>
      </c>
      <c r="G188" s="550">
        <v>4239</v>
      </c>
      <c r="H188" s="550">
        <v>4271</v>
      </c>
      <c r="I188" s="550">
        <v>4308</v>
      </c>
      <c r="J188" s="550">
        <v>4385</v>
      </c>
      <c r="K188" s="550">
        <v>4428</v>
      </c>
      <c r="L188" s="550">
        <v>4470</v>
      </c>
      <c r="M188" s="550">
        <v>4434</v>
      </c>
      <c r="N188" s="550">
        <v>4311</v>
      </c>
      <c r="O188" s="550">
        <v>4455</v>
      </c>
      <c r="P188" s="550">
        <v>4313</v>
      </c>
      <c r="Q188" s="550">
        <v>4323</v>
      </c>
      <c r="R188" s="550">
        <v>4332</v>
      </c>
      <c r="S188" s="550">
        <v>4363</v>
      </c>
      <c r="T188" s="550">
        <v>4367</v>
      </c>
      <c r="U188" s="550">
        <v>4371</v>
      </c>
      <c r="V188" s="550">
        <v>4374</v>
      </c>
      <c r="W188" s="550">
        <v>4377</v>
      </c>
      <c r="X188" s="550">
        <v>4444</v>
      </c>
      <c r="Y188" s="550">
        <v>4448</v>
      </c>
      <c r="Z188" s="550">
        <v>4451</v>
      </c>
      <c r="AA188" s="550">
        <v>4454</v>
      </c>
      <c r="AB188" s="550">
        <v>4358</v>
      </c>
      <c r="AC188" s="550"/>
      <c r="AD188" s="550">
        <v>4451</v>
      </c>
      <c r="AE188" s="550">
        <v>4454</v>
      </c>
      <c r="AF188" s="778">
        <f t="shared" si="2"/>
        <v>1.0010192189461387</v>
      </c>
    </row>
    <row r="189" spans="3:32">
      <c r="C189" s="549" t="s">
        <v>254</v>
      </c>
      <c r="D189" s="549">
        <v>2209609</v>
      </c>
      <c r="E189" s="549" t="s">
        <v>439</v>
      </c>
      <c r="F189" s="550">
        <v>3124</v>
      </c>
      <c r="G189" s="550">
        <v>3351</v>
      </c>
      <c r="H189" s="550">
        <v>3310</v>
      </c>
      <c r="I189" s="550">
        <v>3270</v>
      </c>
      <c r="J189" s="550">
        <v>3185</v>
      </c>
      <c r="K189" s="550">
        <v>3138</v>
      </c>
      <c r="L189" s="550">
        <v>3092</v>
      </c>
      <c r="M189" s="550">
        <v>3222</v>
      </c>
      <c r="N189" s="550">
        <v>3132</v>
      </c>
      <c r="O189" s="550">
        <v>3201</v>
      </c>
      <c r="P189" s="550">
        <v>3069</v>
      </c>
      <c r="Q189" s="550">
        <v>3044</v>
      </c>
      <c r="R189" s="550">
        <v>2925</v>
      </c>
      <c r="S189" s="550">
        <v>2945</v>
      </c>
      <c r="T189" s="550">
        <v>2931</v>
      </c>
      <c r="U189" s="550">
        <v>2920</v>
      </c>
      <c r="V189" s="550">
        <v>2909</v>
      </c>
      <c r="W189" s="550">
        <v>2901</v>
      </c>
      <c r="X189" s="550">
        <v>2954</v>
      </c>
      <c r="Y189" s="550">
        <v>2942</v>
      </c>
      <c r="Z189" s="550">
        <v>2932</v>
      </c>
      <c r="AA189" s="550">
        <v>2923</v>
      </c>
      <c r="AB189" s="550">
        <v>2842</v>
      </c>
      <c r="AC189" s="550"/>
      <c r="AD189" s="550">
        <v>2885</v>
      </c>
      <c r="AE189" s="550">
        <v>2879</v>
      </c>
      <c r="AF189" s="778">
        <f t="shared" si="2"/>
        <v>0.99673848153063394</v>
      </c>
    </row>
    <row r="190" spans="3:32">
      <c r="C190" s="549" t="s">
        <v>254</v>
      </c>
      <c r="D190" s="549">
        <v>2209658</v>
      </c>
      <c r="E190" s="549" t="s">
        <v>440</v>
      </c>
      <c r="F190" s="550">
        <v>4029</v>
      </c>
      <c r="G190" s="550">
        <v>3834</v>
      </c>
      <c r="H190" s="550">
        <v>3862</v>
      </c>
      <c r="I190" s="550">
        <v>3889</v>
      </c>
      <c r="J190" s="550">
        <v>4652</v>
      </c>
      <c r="K190" s="550">
        <v>4689</v>
      </c>
      <c r="L190" s="550">
        <v>4725</v>
      </c>
      <c r="M190" s="550">
        <v>5159</v>
      </c>
      <c r="N190" s="550">
        <v>5015</v>
      </c>
      <c r="O190" s="550">
        <v>5224</v>
      </c>
      <c r="P190" s="550">
        <v>5567</v>
      </c>
      <c r="Q190" s="550">
        <v>5628</v>
      </c>
      <c r="R190" s="550">
        <v>5686</v>
      </c>
      <c r="S190" s="550">
        <v>5728</v>
      </c>
      <c r="T190" s="550">
        <v>5759</v>
      </c>
      <c r="U190" s="550">
        <v>5786</v>
      </c>
      <c r="V190" s="550">
        <v>5810</v>
      </c>
      <c r="W190" s="550">
        <v>5657</v>
      </c>
      <c r="X190" s="550">
        <v>5731</v>
      </c>
      <c r="Y190" s="550">
        <v>5755</v>
      </c>
      <c r="Z190" s="550">
        <v>5779</v>
      </c>
      <c r="AA190" s="550">
        <v>5801</v>
      </c>
      <c r="AB190" s="550">
        <v>5572</v>
      </c>
      <c r="AC190" s="550"/>
      <c r="AD190" s="550">
        <v>5703</v>
      </c>
      <c r="AE190" s="550">
        <v>5713</v>
      </c>
      <c r="AF190" s="778">
        <f t="shared" si="2"/>
        <v>1.0140670659189166</v>
      </c>
    </row>
    <row r="191" spans="3:32">
      <c r="C191" s="549" t="s">
        <v>254</v>
      </c>
      <c r="D191" s="549">
        <v>2209708</v>
      </c>
      <c r="E191" s="549" t="s">
        <v>441</v>
      </c>
      <c r="F191" s="550">
        <v>5949</v>
      </c>
      <c r="G191" s="550">
        <v>6311</v>
      </c>
      <c r="H191" s="550">
        <v>6289</v>
      </c>
      <c r="I191" s="550">
        <v>6258</v>
      </c>
      <c r="J191" s="550">
        <v>6192</v>
      </c>
      <c r="K191" s="550">
        <v>6156</v>
      </c>
      <c r="L191" s="550">
        <v>6120</v>
      </c>
      <c r="M191" s="550">
        <v>6456</v>
      </c>
      <c r="N191" s="550">
        <v>6276</v>
      </c>
      <c r="O191" s="550">
        <v>6461</v>
      </c>
      <c r="P191" s="550">
        <v>6298</v>
      </c>
      <c r="Q191" s="550">
        <v>6294</v>
      </c>
      <c r="R191" s="550">
        <v>6290</v>
      </c>
      <c r="S191" s="550">
        <v>6335</v>
      </c>
      <c r="T191" s="550">
        <v>6332</v>
      </c>
      <c r="U191" s="550">
        <v>6329</v>
      </c>
      <c r="V191" s="550">
        <v>6326</v>
      </c>
      <c r="W191" s="550">
        <v>6324</v>
      </c>
      <c r="X191" s="550">
        <v>6425</v>
      </c>
      <c r="Y191" s="550">
        <v>6423</v>
      </c>
      <c r="Z191" s="550">
        <v>6420</v>
      </c>
      <c r="AA191" s="550">
        <v>6417</v>
      </c>
      <c r="AB191" s="550">
        <v>5392</v>
      </c>
      <c r="AC191" s="550"/>
      <c r="AD191" s="550">
        <v>5404</v>
      </c>
      <c r="AE191" s="550">
        <v>5358</v>
      </c>
      <c r="AF191" s="778">
        <f t="shared" si="2"/>
        <v>0.99582345145648044</v>
      </c>
    </row>
    <row r="192" spans="3:32">
      <c r="C192" s="549" t="s">
        <v>254</v>
      </c>
      <c r="D192" s="549">
        <v>2209757</v>
      </c>
      <c r="E192" s="549" t="s">
        <v>442</v>
      </c>
      <c r="F192" s="550">
        <v>2469</v>
      </c>
      <c r="G192" s="550">
        <v>2339</v>
      </c>
      <c r="H192" s="550">
        <v>2349</v>
      </c>
      <c r="I192" s="550">
        <v>2361</v>
      </c>
      <c r="J192" s="550">
        <v>2387</v>
      </c>
      <c r="K192" s="550">
        <v>2402</v>
      </c>
      <c r="L192" s="550">
        <v>2416</v>
      </c>
      <c r="M192" s="550">
        <v>2525</v>
      </c>
      <c r="N192" s="550">
        <v>2455</v>
      </c>
      <c r="O192" s="550">
        <v>2544</v>
      </c>
      <c r="P192" s="550">
        <v>2825</v>
      </c>
      <c r="Q192" s="550">
        <v>2864</v>
      </c>
      <c r="R192" s="550">
        <v>2901</v>
      </c>
      <c r="S192" s="550">
        <v>2923</v>
      </c>
      <c r="T192" s="550">
        <v>2942</v>
      </c>
      <c r="U192" s="550">
        <v>2960</v>
      </c>
      <c r="V192" s="550">
        <v>2975</v>
      </c>
      <c r="W192" s="550">
        <v>2988</v>
      </c>
      <c r="X192" s="550">
        <v>3025</v>
      </c>
      <c r="Y192" s="550">
        <v>3041</v>
      </c>
      <c r="Z192" s="550">
        <v>3057</v>
      </c>
      <c r="AA192" s="550">
        <v>3071</v>
      </c>
      <c r="AB192" s="550">
        <v>2947</v>
      </c>
      <c r="AC192" s="550"/>
      <c r="AD192" s="550">
        <v>3019</v>
      </c>
      <c r="AE192" s="550">
        <v>3026</v>
      </c>
      <c r="AF192" s="778">
        <f t="shared" si="2"/>
        <v>1.0081703326732125</v>
      </c>
    </row>
    <row r="193" spans="3:32">
      <c r="C193" s="549" t="s">
        <v>254</v>
      </c>
      <c r="D193" s="549">
        <v>2209807</v>
      </c>
      <c r="E193" s="549" t="s">
        <v>443</v>
      </c>
      <c r="F193" s="550">
        <v>3652</v>
      </c>
      <c r="G193" s="550">
        <v>4331</v>
      </c>
      <c r="H193" s="550">
        <v>4391</v>
      </c>
      <c r="I193" s="550">
        <v>4457</v>
      </c>
      <c r="J193" s="550">
        <v>4596</v>
      </c>
      <c r="K193" s="550">
        <v>4673</v>
      </c>
      <c r="L193" s="550">
        <v>4749</v>
      </c>
      <c r="M193" s="550">
        <v>4466</v>
      </c>
      <c r="N193" s="550">
        <v>4342</v>
      </c>
      <c r="O193" s="550">
        <v>4485</v>
      </c>
      <c r="P193" s="550">
        <v>4754</v>
      </c>
      <c r="Q193" s="550">
        <v>4793</v>
      </c>
      <c r="R193" s="550">
        <v>4831</v>
      </c>
      <c r="S193" s="550">
        <v>4866</v>
      </c>
      <c r="T193" s="550">
        <v>4885</v>
      </c>
      <c r="U193" s="550">
        <v>4903</v>
      </c>
      <c r="V193" s="550">
        <v>4918</v>
      </c>
      <c r="W193" s="550">
        <v>4931</v>
      </c>
      <c r="X193" s="550">
        <v>4999</v>
      </c>
      <c r="Y193" s="550">
        <v>5015</v>
      </c>
      <c r="Z193" s="550">
        <v>5030</v>
      </c>
      <c r="AA193" s="550">
        <v>5044</v>
      </c>
      <c r="AB193" s="550">
        <v>4837</v>
      </c>
      <c r="AC193" s="550"/>
      <c r="AD193" s="550">
        <v>4944</v>
      </c>
      <c r="AE193" s="550">
        <v>4985</v>
      </c>
      <c r="AF193" s="778">
        <f t="shared" si="2"/>
        <v>1.0125241156362321</v>
      </c>
    </row>
    <row r="194" spans="3:32">
      <c r="C194" s="549" t="s">
        <v>254</v>
      </c>
      <c r="D194" s="549">
        <v>2209856</v>
      </c>
      <c r="E194" s="549" t="s">
        <v>444</v>
      </c>
      <c r="F194" s="550">
        <v>4485</v>
      </c>
      <c r="G194" s="550">
        <v>4216</v>
      </c>
      <c r="H194" s="550">
        <v>4201</v>
      </c>
      <c r="I194" s="550">
        <v>4182</v>
      </c>
      <c r="J194" s="550">
        <v>4144</v>
      </c>
      <c r="K194" s="550">
        <v>4123</v>
      </c>
      <c r="L194" s="550">
        <v>4102</v>
      </c>
      <c r="M194" s="550">
        <v>4489</v>
      </c>
      <c r="N194" s="550">
        <v>4364</v>
      </c>
      <c r="O194" s="550">
        <v>4511</v>
      </c>
      <c r="P194" s="550">
        <v>4445</v>
      </c>
      <c r="Q194" s="550">
        <v>4461</v>
      </c>
      <c r="R194" s="550">
        <v>4476</v>
      </c>
      <c r="S194" s="550">
        <v>4509</v>
      </c>
      <c r="T194" s="550">
        <v>4516</v>
      </c>
      <c r="U194" s="550">
        <v>4523</v>
      </c>
      <c r="V194" s="550">
        <v>4529</v>
      </c>
      <c r="W194" s="550">
        <v>4534</v>
      </c>
      <c r="X194" s="550">
        <v>4602</v>
      </c>
      <c r="Y194" s="550">
        <v>4608</v>
      </c>
      <c r="Z194" s="550">
        <v>4614</v>
      </c>
      <c r="AA194" s="550">
        <v>4619</v>
      </c>
      <c r="AB194" s="550">
        <v>4242</v>
      </c>
      <c r="AC194" s="550"/>
      <c r="AD194" s="550">
        <v>4306</v>
      </c>
      <c r="AE194" s="550">
        <v>4359</v>
      </c>
      <c r="AF194" s="778">
        <f t="shared" si="2"/>
        <v>0.99886081647258351</v>
      </c>
    </row>
    <row r="195" spans="3:32">
      <c r="C195" s="549" t="s">
        <v>254</v>
      </c>
      <c r="D195" s="549">
        <v>2209872</v>
      </c>
      <c r="E195" s="549" t="s">
        <v>445</v>
      </c>
      <c r="F195" s="550">
        <v>5310</v>
      </c>
      <c r="G195" s="550">
        <v>4943</v>
      </c>
      <c r="H195" s="550">
        <v>4981</v>
      </c>
      <c r="I195" s="550">
        <v>5025</v>
      </c>
      <c r="J195" s="550">
        <v>5117</v>
      </c>
      <c r="K195" s="550">
        <v>5168</v>
      </c>
      <c r="L195" s="550">
        <v>5219</v>
      </c>
      <c r="M195" s="550">
        <v>5151</v>
      </c>
      <c r="N195" s="550">
        <v>5008</v>
      </c>
      <c r="O195" s="550">
        <v>5174</v>
      </c>
      <c r="P195" s="550">
        <v>5608</v>
      </c>
      <c r="Q195" s="550">
        <v>5664</v>
      </c>
      <c r="R195" s="550">
        <v>5718</v>
      </c>
      <c r="S195" s="550">
        <v>5760</v>
      </c>
      <c r="T195" s="550">
        <v>5873</v>
      </c>
      <c r="U195" s="550">
        <v>5898</v>
      </c>
      <c r="V195" s="550">
        <v>5919</v>
      </c>
      <c r="W195" s="550">
        <v>5938</v>
      </c>
      <c r="X195" s="550">
        <v>6019</v>
      </c>
      <c r="Y195" s="550">
        <v>6042</v>
      </c>
      <c r="Z195" s="550">
        <v>6064</v>
      </c>
      <c r="AA195" s="550">
        <v>6084</v>
      </c>
      <c r="AB195" s="550">
        <v>5522</v>
      </c>
      <c r="AC195" s="550"/>
      <c r="AD195" s="550">
        <v>5615</v>
      </c>
      <c r="AE195" s="550">
        <v>5608</v>
      </c>
      <c r="AF195" s="778">
        <f t="shared" si="2"/>
        <v>1.0021864794467317</v>
      </c>
    </row>
    <row r="196" spans="3:32">
      <c r="C196" s="549" t="s">
        <v>254</v>
      </c>
      <c r="D196" s="549">
        <v>2209906</v>
      </c>
      <c r="E196" s="549" t="s">
        <v>446</v>
      </c>
      <c r="F196" s="550">
        <v>6661</v>
      </c>
      <c r="G196" s="550">
        <v>6609</v>
      </c>
      <c r="H196" s="550">
        <v>6546</v>
      </c>
      <c r="I196" s="550">
        <v>6486</v>
      </c>
      <c r="J196" s="550">
        <v>6360</v>
      </c>
      <c r="K196" s="550">
        <v>6291</v>
      </c>
      <c r="L196" s="550">
        <v>6222</v>
      </c>
      <c r="M196" s="550">
        <v>6863</v>
      </c>
      <c r="N196" s="550">
        <v>6672</v>
      </c>
      <c r="O196" s="550">
        <v>6877</v>
      </c>
      <c r="P196" s="550">
        <v>6157</v>
      </c>
      <c r="Q196" s="550">
        <v>6118</v>
      </c>
      <c r="R196" s="550">
        <v>6079</v>
      </c>
      <c r="S196" s="550">
        <v>6122</v>
      </c>
      <c r="T196" s="550">
        <v>6101</v>
      </c>
      <c r="U196" s="550">
        <v>6081</v>
      </c>
      <c r="V196" s="550">
        <v>6064</v>
      </c>
      <c r="W196" s="550">
        <v>6050</v>
      </c>
      <c r="X196" s="550">
        <v>6157</v>
      </c>
      <c r="Y196" s="550">
        <v>6139</v>
      </c>
      <c r="Z196" s="550">
        <v>6122</v>
      </c>
      <c r="AA196" s="550">
        <v>6106</v>
      </c>
      <c r="AB196" s="550">
        <v>6114</v>
      </c>
      <c r="AC196" s="550"/>
      <c r="AD196" s="550">
        <v>6233</v>
      </c>
      <c r="AE196" s="550">
        <v>6232</v>
      </c>
      <c r="AF196" s="778">
        <f t="shared" si="2"/>
        <v>0.99734064975898118</v>
      </c>
    </row>
    <row r="197" spans="3:32">
      <c r="C197" s="549" t="s">
        <v>254</v>
      </c>
      <c r="D197" s="549">
        <v>2209955</v>
      </c>
      <c r="E197" s="549" t="s">
        <v>447</v>
      </c>
      <c r="F197" s="550">
        <v>4284</v>
      </c>
      <c r="G197" s="550">
        <v>4378</v>
      </c>
      <c r="H197" s="550">
        <v>4406</v>
      </c>
      <c r="I197" s="550">
        <v>4420</v>
      </c>
      <c r="J197" s="550">
        <v>4450</v>
      </c>
      <c r="K197" s="550">
        <v>4467</v>
      </c>
      <c r="L197" s="550">
        <v>4484</v>
      </c>
      <c r="M197" s="550">
        <v>4914</v>
      </c>
      <c r="N197" s="550">
        <v>4776</v>
      </c>
      <c r="O197" s="550">
        <v>4965</v>
      </c>
      <c r="P197" s="550">
        <v>4651</v>
      </c>
      <c r="Q197" s="550">
        <v>4673</v>
      </c>
      <c r="R197" s="550">
        <v>4693</v>
      </c>
      <c r="S197" s="550">
        <v>4728</v>
      </c>
      <c r="T197" s="550">
        <v>4738</v>
      </c>
      <c r="U197" s="550">
        <v>4747</v>
      </c>
      <c r="V197" s="550">
        <v>4755</v>
      </c>
      <c r="W197" s="550">
        <v>4762</v>
      </c>
      <c r="X197" s="550">
        <v>4832</v>
      </c>
      <c r="Y197" s="550">
        <v>4840</v>
      </c>
      <c r="Z197" s="550">
        <v>4848</v>
      </c>
      <c r="AA197" s="550">
        <v>4856</v>
      </c>
      <c r="AB197" s="550">
        <v>4383</v>
      </c>
      <c r="AC197" s="550"/>
      <c r="AD197" s="550">
        <v>4443</v>
      </c>
      <c r="AE197" s="550">
        <v>4430</v>
      </c>
      <c r="AF197" s="778">
        <f t="shared" si="2"/>
        <v>1.0013413961269106</v>
      </c>
    </row>
    <row r="198" spans="3:32">
      <c r="C198" s="549" t="s">
        <v>254</v>
      </c>
      <c r="D198" s="549">
        <v>2209971</v>
      </c>
      <c r="E198" s="549" t="s">
        <v>448</v>
      </c>
      <c r="F198" s="550">
        <v>4248</v>
      </c>
      <c r="G198" s="550">
        <v>5948</v>
      </c>
      <c r="H198" s="550">
        <v>6101</v>
      </c>
      <c r="I198" s="550">
        <v>6271</v>
      </c>
      <c r="J198" s="550">
        <v>6628</v>
      </c>
      <c r="K198" s="550">
        <v>6826</v>
      </c>
      <c r="L198" s="550">
        <v>7022</v>
      </c>
      <c r="M198" s="550">
        <v>7287</v>
      </c>
      <c r="N198" s="550">
        <v>7081</v>
      </c>
      <c r="O198" s="550">
        <v>7440</v>
      </c>
      <c r="P198" s="550">
        <v>7336</v>
      </c>
      <c r="Q198" s="550">
        <v>7459</v>
      </c>
      <c r="R198" s="550">
        <v>7578</v>
      </c>
      <c r="S198" s="550">
        <v>7636</v>
      </c>
      <c r="T198" s="550">
        <v>7700</v>
      </c>
      <c r="U198" s="550">
        <v>7755</v>
      </c>
      <c r="V198" s="550">
        <v>7804</v>
      </c>
      <c r="W198" s="550">
        <v>7847</v>
      </c>
      <c r="X198" s="550">
        <v>7937</v>
      </c>
      <c r="Y198" s="550">
        <v>7989</v>
      </c>
      <c r="Z198" s="550">
        <v>8038</v>
      </c>
      <c r="AA198" s="550">
        <v>8085</v>
      </c>
      <c r="AB198" s="550">
        <v>8186</v>
      </c>
      <c r="AC198" s="550"/>
      <c r="AD198" s="550">
        <v>8443</v>
      </c>
      <c r="AE198" s="550">
        <v>8494</v>
      </c>
      <c r="AF198" s="778">
        <f t="shared" ref="AF198:AF228" si="3">(AE198/F198)^(1/($AE$4-$F$4))</f>
        <v>1.0281041446408539</v>
      </c>
    </row>
    <row r="199" spans="3:32">
      <c r="C199" s="549" t="s">
        <v>254</v>
      </c>
      <c r="D199" s="549">
        <v>2210003</v>
      </c>
      <c r="E199" s="549" t="s">
        <v>449</v>
      </c>
      <c r="F199" s="550">
        <v>15420</v>
      </c>
      <c r="G199" s="550">
        <v>17881</v>
      </c>
      <c r="H199" s="550">
        <v>18039</v>
      </c>
      <c r="I199" s="550">
        <v>18211</v>
      </c>
      <c r="J199" s="550">
        <v>18571</v>
      </c>
      <c r="K199" s="550">
        <v>18770</v>
      </c>
      <c r="L199" s="550">
        <v>18968</v>
      </c>
      <c r="M199" s="550">
        <v>19073</v>
      </c>
      <c r="N199" s="550">
        <v>18689</v>
      </c>
      <c r="O199" s="550">
        <v>19264</v>
      </c>
      <c r="P199" s="550">
        <v>19548</v>
      </c>
      <c r="Q199" s="550">
        <v>19703</v>
      </c>
      <c r="R199" s="550">
        <v>19852</v>
      </c>
      <c r="S199" s="550">
        <v>20000</v>
      </c>
      <c r="T199" s="550">
        <v>20077</v>
      </c>
      <c r="U199" s="550">
        <v>20146</v>
      </c>
      <c r="V199" s="550">
        <v>20206</v>
      </c>
      <c r="W199" s="550">
        <v>20258</v>
      </c>
      <c r="X199" s="550">
        <v>20537</v>
      </c>
      <c r="Y199" s="550">
        <v>20601</v>
      </c>
      <c r="Z199" s="550">
        <v>20662</v>
      </c>
      <c r="AA199" s="550">
        <v>20720</v>
      </c>
      <c r="AB199" s="550">
        <v>21421</v>
      </c>
      <c r="AC199" s="550"/>
      <c r="AD199" s="550">
        <v>22036</v>
      </c>
      <c r="AE199" s="550">
        <v>22137</v>
      </c>
      <c r="AF199" s="778">
        <f t="shared" si="3"/>
        <v>1.0145685030374065</v>
      </c>
    </row>
    <row r="200" spans="3:32">
      <c r="C200" s="549" t="s">
        <v>254</v>
      </c>
      <c r="D200" s="549">
        <v>2210052</v>
      </c>
      <c r="E200" s="549" t="s">
        <v>450</v>
      </c>
      <c r="F200" s="550">
        <v>5340</v>
      </c>
      <c r="G200" s="550">
        <v>4984</v>
      </c>
      <c r="H200" s="550">
        <v>5065</v>
      </c>
      <c r="I200" s="550">
        <v>5151</v>
      </c>
      <c r="J200" s="550">
        <v>5330</v>
      </c>
      <c r="K200" s="550">
        <v>5429</v>
      </c>
      <c r="L200" s="550">
        <v>5528</v>
      </c>
      <c r="M200" s="550">
        <v>5190</v>
      </c>
      <c r="N200" s="550">
        <v>5045</v>
      </c>
      <c r="O200" s="550">
        <v>5217</v>
      </c>
      <c r="P200" s="550">
        <v>5148</v>
      </c>
      <c r="Q200" s="550">
        <v>5169</v>
      </c>
      <c r="R200" s="550">
        <v>5189</v>
      </c>
      <c r="S200" s="550">
        <v>5227</v>
      </c>
      <c r="T200" s="550">
        <v>5237</v>
      </c>
      <c r="U200" s="550">
        <v>5246</v>
      </c>
      <c r="V200" s="550">
        <v>5253</v>
      </c>
      <c r="W200" s="550">
        <v>5260</v>
      </c>
      <c r="X200" s="550">
        <v>5338</v>
      </c>
      <c r="Y200" s="550">
        <v>5346</v>
      </c>
      <c r="Z200" s="550">
        <v>5354</v>
      </c>
      <c r="AA200" s="550">
        <v>5361</v>
      </c>
      <c r="AB200" s="550">
        <v>4841</v>
      </c>
      <c r="AC200" s="550"/>
      <c r="AD200" s="550">
        <v>4906</v>
      </c>
      <c r="AE200" s="550">
        <v>5317</v>
      </c>
      <c r="AF200" s="778">
        <f t="shared" si="3"/>
        <v>0.99982735816632073</v>
      </c>
    </row>
    <row r="201" spans="3:32">
      <c r="C201" s="549" t="s">
        <v>254</v>
      </c>
      <c r="D201" s="549">
        <v>2210102</v>
      </c>
      <c r="E201" s="549" t="s">
        <v>451</v>
      </c>
      <c r="F201" s="550">
        <v>3510</v>
      </c>
      <c r="G201" s="550">
        <v>3819</v>
      </c>
      <c r="H201" s="550">
        <v>3811</v>
      </c>
      <c r="I201" s="550">
        <v>3805</v>
      </c>
      <c r="J201" s="550">
        <v>3792</v>
      </c>
      <c r="K201" s="550">
        <v>3784</v>
      </c>
      <c r="L201" s="550">
        <v>3777</v>
      </c>
      <c r="M201" s="550">
        <v>3837</v>
      </c>
      <c r="N201" s="550">
        <v>3730</v>
      </c>
      <c r="O201" s="550">
        <v>3835</v>
      </c>
      <c r="P201" s="550">
        <v>3700</v>
      </c>
      <c r="Q201" s="550">
        <v>3691</v>
      </c>
      <c r="R201" s="550">
        <v>3682</v>
      </c>
      <c r="S201" s="550">
        <v>3707</v>
      </c>
      <c r="T201" s="550">
        <v>3702</v>
      </c>
      <c r="U201" s="550">
        <v>3697</v>
      </c>
      <c r="V201" s="550">
        <v>3692</v>
      </c>
      <c r="W201" s="550">
        <v>3689</v>
      </c>
      <c r="X201" s="550">
        <v>3750</v>
      </c>
      <c r="Y201" s="550">
        <v>3745</v>
      </c>
      <c r="Z201" s="550">
        <v>3741</v>
      </c>
      <c r="AA201" s="550">
        <v>3737</v>
      </c>
      <c r="AB201" s="550">
        <v>3297</v>
      </c>
      <c r="AC201" s="550"/>
      <c r="AD201" s="550">
        <v>3320</v>
      </c>
      <c r="AE201" s="550">
        <v>3300</v>
      </c>
      <c r="AF201" s="778">
        <f t="shared" si="3"/>
        <v>0.99753529961383824</v>
      </c>
    </row>
    <row r="202" spans="3:32">
      <c r="C202" s="549" t="s">
        <v>254</v>
      </c>
      <c r="D202" s="549">
        <v>2210201</v>
      </c>
      <c r="E202" s="549" t="s">
        <v>452</v>
      </c>
      <c r="F202" s="550">
        <v>5761</v>
      </c>
      <c r="G202" s="550">
        <v>6706</v>
      </c>
      <c r="H202" s="550">
        <v>6744</v>
      </c>
      <c r="I202" s="550">
        <v>6762</v>
      </c>
      <c r="J202" s="550">
        <v>6799</v>
      </c>
      <c r="K202" s="550">
        <v>6819</v>
      </c>
      <c r="L202" s="550">
        <v>6840</v>
      </c>
      <c r="M202" s="550">
        <v>7004</v>
      </c>
      <c r="N202" s="550">
        <v>6808</v>
      </c>
      <c r="O202" s="550">
        <v>7028</v>
      </c>
      <c r="P202" s="550">
        <v>6591</v>
      </c>
      <c r="Q202" s="550">
        <v>6583</v>
      </c>
      <c r="R202" s="550">
        <v>6574</v>
      </c>
      <c r="S202" s="550">
        <v>6621</v>
      </c>
      <c r="T202" s="550">
        <v>6615</v>
      </c>
      <c r="U202" s="550">
        <v>6610</v>
      </c>
      <c r="V202" s="550">
        <v>6606</v>
      </c>
      <c r="W202" s="550">
        <v>6602</v>
      </c>
      <c r="X202" s="550">
        <v>6710</v>
      </c>
      <c r="Y202" s="550">
        <v>6705</v>
      </c>
      <c r="Z202" s="550">
        <v>6700</v>
      </c>
      <c r="AA202" s="550">
        <v>6696</v>
      </c>
      <c r="AB202" s="550">
        <v>6597</v>
      </c>
      <c r="AC202" s="550"/>
      <c r="AD202" s="550">
        <v>6732</v>
      </c>
      <c r="AE202" s="550">
        <v>6733</v>
      </c>
      <c r="AF202" s="778">
        <f t="shared" si="3"/>
        <v>1.0062558763177998</v>
      </c>
    </row>
    <row r="203" spans="3:32">
      <c r="C203" s="549" t="s">
        <v>254</v>
      </c>
      <c r="D203" s="549">
        <v>2210300</v>
      </c>
      <c r="E203" s="549" t="s">
        <v>453</v>
      </c>
      <c r="F203" s="550">
        <v>5587</v>
      </c>
      <c r="G203" s="550">
        <v>5752</v>
      </c>
      <c r="H203" s="550">
        <v>5797</v>
      </c>
      <c r="I203" s="550">
        <v>5842</v>
      </c>
      <c r="J203" s="550">
        <v>5937</v>
      </c>
      <c r="K203" s="550">
        <v>5989</v>
      </c>
      <c r="L203" s="550">
        <v>6041</v>
      </c>
      <c r="M203" s="550">
        <v>6078</v>
      </c>
      <c r="N203" s="550">
        <v>5908</v>
      </c>
      <c r="O203" s="550">
        <v>6111</v>
      </c>
      <c r="P203" s="550">
        <v>5675</v>
      </c>
      <c r="Q203" s="550">
        <v>5697</v>
      </c>
      <c r="R203" s="550">
        <v>5719</v>
      </c>
      <c r="S203" s="550">
        <v>5761</v>
      </c>
      <c r="T203" s="550">
        <v>5771</v>
      </c>
      <c r="U203" s="550">
        <v>6244</v>
      </c>
      <c r="V203" s="550">
        <v>6253</v>
      </c>
      <c r="W203" s="550">
        <v>6261</v>
      </c>
      <c r="X203" s="550">
        <v>6353</v>
      </c>
      <c r="Y203" s="550">
        <v>6363</v>
      </c>
      <c r="Z203" s="550">
        <v>6371</v>
      </c>
      <c r="AA203" s="550">
        <v>6379</v>
      </c>
      <c r="AB203" s="550">
        <v>6025</v>
      </c>
      <c r="AC203" s="550"/>
      <c r="AD203" s="550">
        <v>6135</v>
      </c>
      <c r="AE203" s="550">
        <v>6131</v>
      </c>
      <c r="AF203" s="778">
        <f t="shared" si="3"/>
        <v>1.0037235311135055</v>
      </c>
    </row>
    <row r="204" spans="3:32">
      <c r="C204" s="549" t="s">
        <v>254</v>
      </c>
      <c r="D204" s="549">
        <v>2210359</v>
      </c>
      <c r="E204" s="549" t="s">
        <v>454</v>
      </c>
      <c r="F204" s="550">
        <v>4621</v>
      </c>
      <c r="G204" s="550">
        <v>4300</v>
      </c>
      <c r="H204" s="550">
        <v>4325</v>
      </c>
      <c r="I204" s="550">
        <v>4348</v>
      </c>
      <c r="J204" s="550">
        <v>4398</v>
      </c>
      <c r="K204" s="550">
        <v>4425</v>
      </c>
      <c r="L204" s="550">
        <v>4452</v>
      </c>
      <c r="M204" s="550">
        <v>5041</v>
      </c>
      <c r="N204" s="550">
        <v>4899</v>
      </c>
      <c r="O204" s="550">
        <v>5115</v>
      </c>
      <c r="P204" s="550">
        <v>4427</v>
      </c>
      <c r="Q204" s="550">
        <v>4439</v>
      </c>
      <c r="R204" s="550">
        <v>4451</v>
      </c>
      <c r="S204" s="550">
        <v>4483</v>
      </c>
      <c r="T204" s="550">
        <v>4488</v>
      </c>
      <c r="U204" s="550">
        <v>4493</v>
      </c>
      <c r="V204" s="550">
        <v>4497</v>
      </c>
      <c r="W204" s="550">
        <v>4501</v>
      </c>
      <c r="X204" s="550">
        <v>4568</v>
      </c>
      <c r="Y204" s="550">
        <v>4573</v>
      </c>
      <c r="Z204" s="550">
        <v>4577</v>
      </c>
      <c r="AA204" s="550">
        <v>4581</v>
      </c>
      <c r="AB204" s="550">
        <v>4410</v>
      </c>
      <c r="AC204" s="550"/>
      <c r="AD204" s="550">
        <v>4497</v>
      </c>
      <c r="AE204" s="550">
        <v>4497</v>
      </c>
      <c r="AF204" s="778">
        <f t="shared" si="3"/>
        <v>0.99891256672057016</v>
      </c>
    </row>
    <row r="205" spans="3:32">
      <c r="C205" s="549" t="s">
        <v>254</v>
      </c>
      <c r="D205" s="549">
        <v>2210375</v>
      </c>
      <c r="E205" s="549" t="s">
        <v>455</v>
      </c>
      <c r="F205" s="550">
        <v>2444</v>
      </c>
      <c r="G205" s="550">
        <v>2485</v>
      </c>
      <c r="H205" s="550">
        <v>2504</v>
      </c>
      <c r="I205" s="550">
        <v>2511</v>
      </c>
      <c r="J205" s="550">
        <v>2527</v>
      </c>
      <c r="K205" s="550">
        <v>2536</v>
      </c>
      <c r="L205" s="550">
        <v>2544</v>
      </c>
      <c r="M205" s="550">
        <v>2670</v>
      </c>
      <c r="N205" s="550">
        <v>2596</v>
      </c>
      <c r="O205" s="550">
        <v>2687</v>
      </c>
      <c r="P205" s="550">
        <v>2561</v>
      </c>
      <c r="Q205" s="550">
        <v>2567</v>
      </c>
      <c r="R205" s="550">
        <v>2573</v>
      </c>
      <c r="S205" s="550">
        <v>2591</v>
      </c>
      <c r="T205" s="550">
        <v>2593</v>
      </c>
      <c r="U205" s="550">
        <v>2595</v>
      </c>
      <c r="V205" s="550">
        <v>2597</v>
      </c>
      <c r="W205" s="550">
        <v>2602</v>
      </c>
      <c r="X205" s="550">
        <v>2642</v>
      </c>
      <c r="Y205" s="550">
        <v>2644</v>
      </c>
      <c r="Z205" s="550">
        <v>2646</v>
      </c>
      <c r="AA205" s="550">
        <v>2648</v>
      </c>
      <c r="AB205" s="550">
        <v>2309</v>
      </c>
      <c r="AC205" s="550"/>
      <c r="AD205" s="550">
        <v>2329</v>
      </c>
      <c r="AE205" s="550">
        <v>2277</v>
      </c>
      <c r="AF205" s="778">
        <f t="shared" si="3"/>
        <v>0.99717291358743976</v>
      </c>
    </row>
    <row r="206" spans="3:32">
      <c r="C206" s="549" t="s">
        <v>254</v>
      </c>
      <c r="D206" s="549">
        <v>2210383</v>
      </c>
      <c r="E206" s="549" t="s">
        <v>456</v>
      </c>
      <c r="F206" s="550">
        <v>1637</v>
      </c>
      <c r="G206" s="550">
        <v>2038</v>
      </c>
      <c r="H206" s="550">
        <v>2040</v>
      </c>
      <c r="I206" s="550">
        <v>2044</v>
      </c>
      <c r="J206" s="550">
        <v>2054</v>
      </c>
      <c r="K206" s="550">
        <v>2059</v>
      </c>
      <c r="L206" s="550">
        <v>2064</v>
      </c>
      <c r="M206" s="550">
        <v>2143</v>
      </c>
      <c r="N206" s="550">
        <v>2083</v>
      </c>
      <c r="O206" s="550">
        <v>2153</v>
      </c>
      <c r="P206" s="550">
        <v>2110</v>
      </c>
      <c r="Q206" s="550">
        <v>2117</v>
      </c>
      <c r="R206" s="550">
        <v>2386</v>
      </c>
      <c r="S206" s="550">
        <v>2403</v>
      </c>
      <c r="T206" s="550">
        <v>2407</v>
      </c>
      <c r="U206" s="550">
        <v>2409</v>
      </c>
      <c r="V206" s="550">
        <v>2412</v>
      </c>
      <c r="W206" s="550">
        <v>2413</v>
      </c>
      <c r="X206" s="550">
        <v>2449</v>
      </c>
      <c r="Y206" s="550">
        <v>2452</v>
      </c>
      <c r="Z206" s="550">
        <v>2454</v>
      </c>
      <c r="AA206" s="550">
        <v>2456</v>
      </c>
      <c r="AB206" s="550">
        <v>2269</v>
      </c>
      <c r="AC206" s="550"/>
      <c r="AD206" s="550">
        <v>2304</v>
      </c>
      <c r="AE206" s="550">
        <v>2299</v>
      </c>
      <c r="AF206" s="778">
        <f t="shared" si="3"/>
        <v>1.0136770445058911</v>
      </c>
    </row>
    <row r="207" spans="3:32">
      <c r="C207" s="549" t="s">
        <v>254</v>
      </c>
      <c r="D207" s="549">
        <v>2210391</v>
      </c>
      <c r="E207" s="549" t="s">
        <v>457</v>
      </c>
      <c r="F207" s="550">
        <v>2752</v>
      </c>
      <c r="G207" s="550">
        <v>2980</v>
      </c>
      <c r="H207" s="550">
        <v>2956</v>
      </c>
      <c r="I207" s="550">
        <v>2940</v>
      </c>
      <c r="J207" s="550">
        <v>2906</v>
      </c>
      <c r="K207" s="550">
        <v>2888</v>
      </c>
      <c r="L207" s="550">
        <v>2869</v>
      </c>
      <c r="M207" s="550">
        <v>3166</v>
      </c>
      <c r="N207" s="550">
        <v>3078</v>
      </c>
      <c r="O207" s="550">
        <v>3182</v>
      </c>
      <c r="P207" s="550">
        <v>2976</v>
      </c>
      <c r="Q207" s="550">
        <v>2975</v>
      </c>
      <c r="R207" s="550">
        <v>2974</v>
      </c>
      <c r="S207" s="550">
        <v>2995</v>
      </c>
      <c r="T207" s="550">
        <v>2994</v>
      </c>
      <c r="U207" s="550">
        <v>2993</v>
      </c>
      <c r="V207" s="550">
        <v>2992</v>
      </c>
      <c r="W207" s="550">
        <v>2991</v>
      </c>
      <c r="X207" s="550">
        <v>3040</v>
      </c>
      <c r="Y207" s="550">
        <v>3039</v>
      </c>
      <c r="Z207" s="550">
        <v>3038</v>
      </c>
      <c r="AA207" s="550">
        <v>3037</v>
      </c>
      <c r="AB207" s="550">
        <v>2829</v>
      </c>
      <c r="AC207" s="550"/>
      <c r="AD207" s="550">
        <v>2870</v>
      </c>
      <c r="AE207" s="550">
        <v>2864</v>
      </c>
      <c r="AF207" s="778">
        <f t="shared" si="3"/>
        <v>1.0015969268929854</v>
      </c>
    </row>
    <row r="208" spans="3:32">
      <c r="C208" s="549" t="s">
        <v>254</v>
      </c>
      <c r="D208" s="549">
        <v>2210409</v>
      </c>
      <c r="E208" s="549" t="s">
        <v>458</v>
      </c>
      <c r="F208" s="550">
        <v>19427</v>
      </c>
      <c r="G208" s="550">
        <v>18806</v>
      </c>
      <c r="H208" s="550">
        <v>18848</v>
      </c>
      <c r="I208" s="550">
        <v>18867</v>
      </c>
      <c r="J208" s="550">
        <v>18905</v>
      </c>
      <c r="K208" s="550">
        <v>18927</v>
      </c>
      <c r="L208" s="550">
        <v>18948</v>
      </c>
      <c r="M208" s="550">
        <v>19752</v>
      </c>
      <c r="N208" s="550">
        <v>19201</v>
      </c>
      <c r="O208" s="550">
        <v>19831</v>
      </c>
      <c r="P208" s="550">
        <v>18134</v>
      </c>
      <c r="Q208" s="550">
        <v>18083</v>
      </c>
      <c r="R208" s="550">
        <v>18033</v>
      </c>
      <c r="S208" s="550">
        <v>18162</v>
      </c>
      <c r="T208" s="550">
        <v>18132</v>
      </c>
      <c r="U208" s="550">
        <v>18105</v>
      </c>
      <c r="V208" s="550">
        <v>17604</v>
      </c>
      <c r="W208" s="550">
        <v>17395</v>
      </c>
      <c r="X208" s="550">
        <v>17686</v>
      </c>
      <c r="Y208" s="550">
        <v>17662</v>
      </c>
      <c r="Z208" s="550">
        <v>17639</v>
      </c>
      <c r="AA208" s="550">
        <v>17617</v>
      </c>
      <c r="AB208" s="550">
        <v>17554</v>
      </c>
      <c r="AC208" s="550"/>
      <c r="AD208" s="550">
        <v>17902</v>
      </c>
      <c r="AE208" s="550">
        <v>17911</v>
      </c>
      <c r="AF208" s="778">
        <f t="shared" si="3"/>
        <v>0.9967553233052403</v>
      </c>
    </row>
    <row r="209" spans="3:32">
      <c r="C209" s="549" t="s">
        <v>254</v>
      </c>
      <c r="D209" s="549">
        <v>2210508</v>
      </c>
      <c r="E209" s="549" t="s">
        <v>459</v>
      </c>
      <c r="F209" s="550">
        <v>12318</v>
      </c>
      <c r="G209" s="550">
        <v>12628</v>
      </c>
      <c r="H209" s="550">
        <v>12718</v>
      </c>
      <c r="I209" s="550">
        <v>12815</v>
      </c>
      <c r="J209" s="550">
        <v>13018</v>
      </c>
      <c r="K209" s="550">
        <v>13130</v>
      </c>
      <c r="L209" s="550">
        <v>13242</v>
      </c>
      <c r="M209" s="550">
        <v>13459</v>
      </c>
      <c r="N209" s="550">
        <v>13083</v>
      </c>
      <c r="O209" s="550">
        <v>13544</v>
      </c>
      <c r="P209" s="550">
        <v>13639</v>
      </c>
      <c r="Q209" s="550">
        <v>13726</v>
      </c>
      <c r="R209" s="550">
        <v>13810</v>
      </c>
      <c r="S209" s="550">
        <v>13913</v>
      </c>
      <c r="T209" s="550">
        <v>13956</v>
      </c>
      <c r="U209" s="550">
        <v>13994</v>
      </c>
      <c r="V209" s="550">
        <v>14027</v>
      </c>
      <c r="W209" s="550">
        <v>14056</v>
      </c>
      <c r="X209" s="550">
        <v>14255</v>
      </c>
      <c r="Y209" s="550">
        <v>14291</v>
      </c>
      <c r="Z209" s="550">
        <v>14324</v>
      </c>
      <c r="AA209" s="550">
        <v>14356</v>
      </c>
      <c r="AB209" s="550">
        <v>13755</v>
      </c>
      <c r="AC209" s="550"/>
      <c r="AD209" s="550">
        <v>14046</v>
      </c>
      <c r="AE209" s="550">
        <v>14055</v>
      </c>
      <c r="AF209" s="778">
        <f t="shared" si="3"/>
        <v>1.0052906099934713</v>
      </c>
    </row>
    <row r="210" spans="3:32">
      <c r="C210" s="549" t="s">
        <v>254</v>
      </c>
      <c r="D210" s="549">
        <v>2210607</v>
      </c>
      <c r="E210" s="549" t="s">
        <v>460</v>
      </c>
      <c r="F210" s="550">
        <v>26384</v>
      </c>
      <c r="G210" s="550">
        <v>27291</v>
      </c>
      <c r="H210" s="550">
        <v>27596</v>
      </c>
      <c r="I210" s="550">
        <v>27924</v>
      </c>
      <c r="J210" s="550">
        <v>28612</v>
      </c>
      <c r="K210" s="550">
        <v>28993</v>
      </c>
      <c r="L210" s="550">
        <v>29370</v>
      </c>
      <c r="M210" s="550">
        <v>31744</v>
      </c>
      <c r="N210" s="550">
        <v>30852</v>
      </c>
      <c r="O210" s="550">
        <v>32215</v>
      </c>
      <c r="P210" s="550">
        <v>32327</v>
      </c>
      <c r="Q210" s="550">
        <v>32745</v>
      </c>
      <c r="R210" s="550">
        <v>33148</v>
      </c>
      <c r="S210" s="550">
        <v>33400</v>
      </c>
      <c r="T210" s="550">
        <v>33613</v>
      </c>
      <c r="U210" s="550">
        <v>33802</v>
      </c>
      <c r="V210" s="550">
        <v>33966</v>
      </c>
      <c r="W210" s="550">
        <v>34109</v>
      </c>
      <c r="X210" s="550">
        <v>34535</v>
      </c>
      <c r="Y210" s="550">
        <v>34710</v>
      </c>
      <c r="Z210" s="550">
        <v>34877</v>
      </c>
      <c r="AA210" s="550">
        <v>35035</v>
      </c>
      <c r="AB210" s="550">
        <v>38934</v>
      </c>
      <c r="AC210" s="550"/>
      <c r="AD210" s="550">
        <v>40784</v>
      </c>
      <c r="AE210" s="550">
        <v>41139</v>
      </c>
      <c r="AF210" s="778">
        <f t="shared" si="3"/>
        <v>1.0179267415600066</v>
      </c>
    </row>
    <row r="211" spans="3:32">
      <c r="C211" s="549" t="s">
        <v>254</v>
      </c>
      <c r="D211" s="549">
        <v>2210623</v>
      </c>
      <c r="E211" s="549" t="s">
        <v>461</v>
      </c>
      <c r="F211" s="550">
        <v>3871</v>
      </c>
      <c r="G211" s="550">
        <v>4596</v>
      </c>
      <c r="H211" s="550">
        <v>4640</v>
      </c>
      <c r="I211" s="550">
        <v>4694</v>
      </c>
      <c r="J211" s="550">
        <v>4808</v>
      </c>
      <c r="K211" s="550">
        <v>4870</v>
      </c>
      <c r="L211" s="550">
        <v>4933</v>
      </c>
      <c r="M211" s="550">
        <v>4297</v>
      </c>
      <c r="N211" s="550">
        <v>4178</v>
      </c>
      <c r="O211" s="550">
        <v>4270</v>
      </c>
      <c r="P211" s="550">
        <v>3560</v>
      </c>
      <c r="Q211" s="550">
        <v>3517</v>
      </c>
      <c r="R211" s="550">
        <v>3475</v>
      </c>
      <c r="S211" s="550">
        <v>3499</v>
      </c>
      <c r="T211" s="550">
        <v>3475</v>
      </c>
      <c r="U211" s="550">
        <v>3455</v>
      </c>
      <c r="V211" s="550">
        <v>3437</v>
      </c>
      <c r="W211" s="550">
        <v>3421</v>
      </c>
      <c r="X211" s="550">
        <v>3488</v>
      </c>
      <c r="Y211" s="550">
        <v>3469</v>
      </c>
      <c r="Z211" s="550">
        <v>3451</v>
      </c>
      <c r="AA211" s="550">
        <v>3434</v>
      </c>
      <c r="AB211" s="550">
        <v>3202</v>
      </c>
      <c r="AC211" s="550"/>
      <c r="AD211" s="550">
        <v>3228</v>
      </c>
      <c r="AE211" s="550">
        <v>3210</v>
      </c>
      <c r="AF211" s="778">
        <f t="shared" si="3"/>
        <v>0.99253830036381063</v>
      </c>
    </row>
    <row r="212" spans="3:32">
      <c r="C212" s="549" t="s">
        <v>254</v>
      </c>
      <c r="D212" s="549">
        <v>2210631</v>
      </c>
      <c r="E212" s="549" t="s">
        <v>462</v>
      </c>
      <c r="F212" s="550">
        <v>3375</v>
      </c>
      <c r="G212" s="550">
        <v>3843</v>
      </c>
      <c r="H212" s="550">
        <v>3854</v>
      </c>
      <c r="I212" s="550">
        <v>3863</v>
      </c>
      <c r="J212" s="550">
        <v>3882</v>
      </c>
      <c r="K212" s="550">
        <v>3893</v>
      </c>
      <c r="L212" s="550">
        <v>3903</v>
      </c>
      <c r="M212" s="550">
        <v>4198</v>
      </c>
      <c r="N212" s="550">
        <v>4080</v>
      </c>
      <c r="O212" s="550">
        <v>4231</v>
      </c>
      <c r="P212" s="550">
        <v>4116</v>
      </c>
      <c r="Q212" s="550">
        <v>4138</v>
      </c>
      <c r="R212" s="550">
        <v>4159</v>
      </c>
      <c r="S212" s="550">
        <v>4189</v>
      </c>
      <c r="T212" s="550">
        <v>4199</v>
      </c>
      <c r="U212" s="550">
        <v>4209</v>
      </c>
      <c r="V212" s="550">
        <v>4217</v>
      </c>
      <c r="W212" s="550">
        <v>4224</v>
      </c>
      <c r="X212" s="550">
        <v>4286</v>
      </c>
      <c r="Y212" s="550">
        <v>4294</v>
      </c>
      <c r="Z212" s="550">
        <v>4303</v>
      </c>
      <c r="AA212" s="550">
        <v>4311</v>
      </c>
      <c r="AB212" s="550">
        <v>4446</v>
      </c>
      <c r="AC212" s="550"/>
      <c r="AD212" s="550">
        <v>4572</v>
      </c>
      <c r="AE212" s="550">
        <v>4590</v>
      </c>
      <c r="AF212" s="778">
        <f t="shared" si="3"/>
        <v>1.0123753365164434</v>
      </c>
    </row>
    <row r="213" spans="3:32">
      <c r="C213" s="549" t="s">
        <v>254</v>
      </c>
      <c r="D213" s="549">
        <v>2210656</v>
      </c>
      <c r="E213" s="549" t="s">
        <v>463</v>
      </c>
      <c r="F213" s="550">
        <v>7540</v>
      </c>
      <c r="G213" s="550">
        <v>9050</v>
      </c>
      <c r="H213" s="550">
        <v>9133</v>
      </c>
      <c r="I213" s="550">
        <v>9174</v>
      </c>
      <c r="J213" s="550">
        <v>9258</v>
      </c>
      <c r="K213" s="550">
        <v>9305</v>
      </c>
      <c r="L213" s="550">
        <v>9352</v>
      </c>
      <c r="M213" s="550">
        <v>9779</v>
      </c>
      <c r="N213" s="550">
        <v>9506</v>
      </c>
      <c r="O213" s="550">
        <v>9846</v>
      </c>
      <c r="P213" s="550">
        <v>9619</v>
      </c>
      <c r="Q213" s="550">
        <v>9663</v>
      </c>
      <c r="R213" s="550">
        <v>9706</v>
      </c>
      <c r="S213" s="550">
        <v>9777</v>
      </c>
      <c r="T213" s="550">
        <v>9799</v>
      </c>
      <c r="U213" s="550">
        <v>9854</v>
      </c>
      <c r="V213" s="550">
        <v>9865</v>
      </c>
      <c r="W213" s="550">
        <v>9880</v>
      </c>
      <c r="X213" s="550">
        <v>10024</v>
      </c>
      <c r="Y213" s="550">
        <v>10041</v>
      </c>
      <c r="Z213" s="550">
        <v>10058</v>
      </c>
      <c r="AA213" s="550">
        <v>10074</v>
      </c>
      <c r="AB213" s="550">
        <v>9460</v>
      </c>
      <c r="AC213" s="550"/>
      <c r="AD213" s="550">
        <v>9631</v>
      </c>
      <c r="AE213" s="550">
        <v>9623</v>
      </c>
      <c r="AF213" s="778">
        <f t="shared" si="3"/>
        <v>1.0098051135709738</v>
      </c>
    </row>
    <row r="214" spans="3:32">
      <c r="C214" s="549" t="s">
        <v>254</v>
      </c>
      <c r="D214" s="549">
        <v>2210706</v>
      </c>
      <c r="E214" s="549" t="s">
        <v>464</v>
      </c>
      <c r="F214" s="550">
        <v>11652</v>
      </c>
      <c r="G214" s="550">
        <v>13615</v>
      </c>
      <c r="H214" s="550">
        <v>13648</v>
      </c>
      <c r="I214" s="550">
        <v>13660</v>
      </c>
      <c r="J214" s="550">
        <v>13687</v>
      </c>
      <c r="K214" s="550">
        <v>13701</v>
      </c>
      <c r="L214" s="550">
        <v>13716</v>
      </c>
      <c r="M214" s="550">
        <v>14128</v>
      </c>
      <c r="N214" s="550">
        <v>13734</v>
      </c>
      <c r="O214" s="550">
        <v>14167</v>
      </c>
      <c r="P214" s="550">
        <v>14180</v>
      </c>
      <c r="Q214" s="550">
        <v>14225</v>
      </c>
      <c r="R214" s="550">
        <v>14267</v>
      </c>
      <c r="S214" s="550">
        <v>14372</v>
      </c>
      <c r="T214" s="550">
        <v>14393</v>
      </c>
      <c r="U214" s="550">
        <v>14411</v>
      </c>
      <c r="V214" s="550">
        <v>14384</v>
      </c>
      <c r="W214" s="550">
        <v>14398</v>
      </c>
      <c r="X214" s="550">
        <v>14615</v>
      </c>
      <c r="Y214" s="550">
        <v>14633</v>
      </c>
      <c r="Z214" s="550">
        <v>14649</v>
      </c>
      <c r="AA214" s="550">
        <v>14664</v>
      </c>
      <c r="AB214" s="550">
        <v>14350</v>
      </c>
      <c r="AC214" s="550"/>
      <c r="AD214" s="550">
        <v>14650</v>
      </c>
      <c r="AE214" s="550">
        <v>14664</v>
      </c>
      <c r="AF214" s="778">
        <f t="shared" si="3"/>
        <v>1.0092391265067575</v>
      </c>
    </row>
    <row r="215" spans="3:32">
      <c r="C215" s="549" t="s">
        <v>254</v>
      </c>
      <c r="D215" s="549">
        <v>2210805</v>
      </c>
      <c r="E215" s="549" t="s">
        <v>465</v>
      </c>
      <c r="F215" s="550">
        <v>10390</v>
      </c>
      <c r="G215" s="550">
        <v>11043</v>
      </c>
      <c r="H215" s="550">
        <v>11094</v>
      </c>
      <c r="I215" s="550">
        <v>11154</v>
      </c>
      <c r="J215" s="550">
        <v>11278</v>
      </c>
      <c r="K215" s="550">
        <v>11348</v>
      </c>
      <c r="L215" s="550">
        <v>11416</v>
      </c>
      <c r="M215" s="550">
        <v>11768</v>
      </c>
      <c r="N215" s="550">
        <v>11472</v>
      </c>
      <c r="O215" s="550">
        <v>11886</v>
      </c>
      <c r="P215" s="550">
        <v>12077</v>
      </c>
      <c r="Q215" s="550">
        <v>12166</v>
      </c>
      <c r="R215" s="550">
        <v>12251</v>
      </c>
      <c r="S215" s="550">
        <v>12341</v>
      </c>
      <c r="T215" s="550">
        <v>12385</v>
      </c>
      <c r="U215" s="550">
        <v>12424</v>
      </c>
      <c r="V215" s="550">
        <v>12458</v>
      </c>
      <c r="W215" s="550">
        <v>12488</v>
      </c>
      <c r="X215" s="550">
        <v>12663</v>
      </c>
      <c r="Y215" s="550">
        <v>12711</v>
      </c>
      <c r="Z215" s="550">
        <v>12746</v>
      </c>
      <c r="AA215" s="550">
        <v>12778</v>
      </c>
      <c r="AB215" s="550">
        <v>13870</v>
      </c>
      <c r="AC215" s="550"/>
      <c r="AD215" s="550">
        <v>14342</v>
      </c>
      <c r="AE215" s="550">
        <v>14437</v>
      </c>
      <c r="AF215" s="778">
        <f t="shared" si="3"/>
        <v>1.0132449697279784</v>
      </c>
    </row>
    <row r="216" spans="3:32">
      <c r="C216" s="549" t="s">
        <v>254</v>
      </c>
      <c r="D216" s="549">
        <v>2210904</v>
      </c>
      <c r="E216" s="549" t="s">
        <v>466</v>
      </c>
      <c r="F216" s="550">
        <v>4157</v>
      </c>
      <c r="G216" s="550">
        <v>4615</v>
      </c>
      <c r="H216" s="550">
        <v>4598</v>
      </c>
      <c r="I216" s="550">
        <v>4563</v>
      </c>
      <c r="J216" s="550">
        <v>4488</v>
      </c>
      <c r="K216" s="550">
        <v>4447</v>
      </c>
      <c r="L216" s="550">
        <v>4406</v>
      </c>
      <c r="M216" s="550">
        <v>4731</v>
      </c>
      <c r="N216" s="550">
        <v>4599</v>
      </c>
      <c r="O216" s="550">
        <v>4733</v>
      </c>
      <c r="P216" s="550">
        <v>4522</v>
      </c>
      <c r="Q216" s="550">
        <v>4509</v>
      </c>
      <c r="R216" s="550">
        <v>4495</v>
      </c>
      <c r="S216" s="550">
        <v>4527</v>
      </c>
      <c r="T216" s="550">
        <v>4519</v>
      </c>
      <c r="U216" s="550">
        <v>4512</v>
      </c>
      <c r="V216" s="550">
        <v>4506</v>
      </c>
      <c r="W216" s="550">
        <v>4500</v>
      </c>
      <c r="X216" s="550">
        <v>4576</v>
      </c>
      <c r="Y216" s="550">
        <v>4569</v>
      </c>
      <c r="Z216" s="550">
        <v>4563</v>
      </c>
      <c r="AA216" s="550">
        <v>4557</v>
      </c>
      <c r="AB216" s="550">
        <v>4141</v>
      </c>
      <c r="AC216" s="550"/>
      <c r="AD216" s="550">
        <v>4184</v>
      </c>
      <c r="AE216" s="550">
        <v>4165</v>
      </c>
      <c r="AF216" s="778">
        <f t="shared" si="3"/>
        <v>1.000076907571168</v>
      </c>
    </row>
    <row r="217" spans="3:32">
      <c r="C217" s="549" t="s">
        <v>254</v>
      </c>
      <c r="D217" s="549">
        <v>2210938</v>
      </c>
      <c r="E217" s="549" t="s">
        <v>467</v>
      </c>
      <c r="F217" s="550">
        <v>4400</v>
      </c>
      <c r="G217" s="550">
        <v>5146</v>
      </c>
      <c r="H217" s="550">
        <v>5223</v>
      </c>
      <c r="I217" s="550">
        <v>5307</v>
      </c>
      <c r="J217" s="550">
        <v>5483</v>
      </c>
      <c r="K217" s="550">
        <v>5580</v>
      </c>
      <c r="L217" s="550">
        <v>5677</v>
      </c>
      <c r="M217" s="550">
        <v>5696</v>
      </c>
      <c r="N217" s="550">
        <v>5537</v>
      </c>
      <c r="O217" s="550">
        <v>5759</v>
      </c>
      <c r="P217" s="550">
        <v>6229</v>
      </c>
      <c r="Q217" s="550">
        <v>6321</v>
      </c>
      <c r="R217" s="550">
        <v>6409</v>
      </c>
      <c r="S217" s="550">
        <v>6457</v>
      </c>
      <c r="T217" s="550">
        <v>6504</v>
      </c>
      <c r="U217" s="550">
        <v>6545</v>
      </c>
      <c r="V217" s="550">
        <v>6581</v>
      </c>
      <c r="W217" s="550">
        <v>6612</v>
      </c>
      <c r="X217" s="550">
        <v>6692</v>
      </c>
      <c r="Y217" s="550">
        <v>6730</v>
      </c>
      <c r="Z217" s="550">
        <v>6767</v>
      </c>
      <c r="AA217" s="550">
        <v>6801</v>
      </c>
      <c r="AB217" s="550">
        <v>6220</v>
      </c>
      <c r="AC217" s="550"/>
      <c r="AD217" s="550">
        <v>6345</v>
      </c>
      <c r="AE217" s="550">
        <v>6346</v>
      </c>
      <c r="AF217" s="778">
        <f t="shared" si="3"/>
        <v>1.0147566256821829</v>
      </c>
    </row>
    <row r="218" spans="3:32">
      <c r="C218" s="549" t="s">
        <v>254</v>
      </c>
      <c r="D218" s="549">
        <v>2210953</v>
      </c>
      <c r="E218" s="549" t="s">
        <v>468</v>
      </c>
      <c r="F218" s="550">
        <v>2433</v>
      </c>
      <c r="G218" s="550">
        <v>2383</v>
      </c>
      <c r="H218" s="550">
        <v>2361</v>
      </c>
      <c r="I218" s="550">
        <v>2337</v>
      </c>
      <c r="J218" s="550">
        <v>2287</v>
      </c>
      <c r="K218" s="550">
        <v>2259</v>
      </c>
      <c r="L218" s="550">
        <v>2231</v>
      </c>
      <c r="M218" s="550">
        <v>2981</v>
      </c>
      <c r="N218" s="550">
        <v>2897</v>
      </c>
      <c r="O218" s="550">
        <v>3037</v>
      </c>
      <c r="P218" s="550">
        <v>2753</v>
      </c>
      <c r="Q218" s="550">
        <v>2780</v>
      </c>
      <c r="R218" s="550">
        <v>2805</v>
      </c>
      <c r="S218" s="550">
        <v>2826</v>
      </c>
      <c r="T218" s="550">
        <v>2839</v>
      </c>
      <c r="U218" s="550">
        <v>2851</v>
      </c>
      <c r="V218" s="550">
        <v>2861</v>
      </c>
      <c r="W218" s="550">
        <v>2870</v>
      </c>
      <c r="X218" s="550">
        <v>2908</v>
      </c>
      <c r="Y218" s="550">
        <v>2919</v>
      </c>
      <c r="Z218" s="550">
        <v>2929</v>
      </c>
      <c r="AA218" s="550">
        <v>2939</v>
      </c>
      <c r="AB218" s="550">
        <v>2949</v>
      </c>
      <c r="AC218" s="550"/>
      <c r="AD218" s="550">
        <v>3029</v>
      </c>
      <c r="AE218" s="550">
        <v>3040</v>
      </c>
      <c r="AF218" s="778">
        <f t="shared" si="3"/>
        <v>1.008949103987129</v>
      </c>
    </row>
    <row r="219" spans="3:32">
      <c r="C219" s="549" t="s">
        <v>254</v>
      </c>
      <c r="D219" s="549">
        <v>2210979</v>
      </c>
      <c r="E219" s="549" t="s">
        <v>469</v>
      </c>
      <c r="F219" s="550">
        <v>1971</v>
      </c>
      <c r="G219" s="550">
        <v>2374</v>
      </c>
      <c r="H219" s="550">
        <v>2419</v>
      </c>
      <c r="I219" s="550">
        <v>2465</v>
      </c>
      <c r="J219" s="550">
        <v>2584</v>
      </c>
      <c r="K219" s="550">
        <v>2638</v>
      </c>
      <c r="L219" s="550">
        <v>2692</v>
      </c>
      <c r="M219" s="550">
        <v>2681</v>
      </c>
      <c r="N219" s="550">
        <v>2605</v>
      </c>
      <c r="O219" s="550">
        <v>2714</v>
      </c>
      <c r="P219" s="550">
        <v>2620</v>
      </c>
      <c r="Q219" s="550">
        <v>2642</v>
      </c>
      <c r="R219" s="550">
        <v>2663</v>
      </c>
      <c r="S219" s="550">
        <v>2683</v>
      </c>
      <c r="T219" s="550">
        <v>2694</v>
      </c>
      <c r="U219" s="550">
        <v>2703</v>
      </c>
      <c r="V219" s="550">
        <v>2712</v>
      </c>
      <c r="W219" s="550">
        <v>2719</v>
      </c>
      <c r="X219" s="550">
        <v>2756</v>
      </c>
      <c r="Y219" s="550">
        <v>2765</v>
      </c>
      <c r="Z219" s="550">
        <v>2773</v>
      </c>
      <c r="AA219" s="550">
        <v>2781</v>
      </c>
      <c r="AB219" s="550">
        <v>2316</v>
      </c>
      <c r="AC219" s="550"/>
      <c r="AD219" s="550">
        <v>2330</v>
      </c>
      <c r="AE219" s="550">
        <v>2319</v>
      </c>
      <c r="AF219" s="778">
        <f t="shared" si="3"/>
        <v>1.0065249968449934</v>
      </c>
    </row>
    <row r="220" spans="3:32">
      <c r="C220" s="549" t="s">
        <v>254</v>
      </c>
      <c r="D220" s="549">
        <v>2211001</v>
      </c>
      <c r="E220" s="549" t="s">
        <v>470</v>
      </c>
      <c r="F220" s="550">
        <v>703796</v>
      </c>
      <c r="G220" s="550">
        <v>728881</v>
      </c>
      <c r="H220" s="550">
        <v>740016</v>
      </c>
      <c r="I220" s="550">
        <v>751464</v>
      </c>
      <c r="J220" s="550">
        <v>775477</v>
      </c>
      <c r="K220" s="550">
        <v>788773</v>
      </c>
      <c r="L220" s="550">
        <v>801971</v>
      </c>
      <c r="M220" s="550">
        <v>794605</v>
      </c>
      <c r="N220" s="550">
        <v>779939</v>
      </c>
      <c r="O220" s="550">
        <v>802537</v>
      </c>
      <c r="P220" s="550">
        <v>814230</v>
      </c>
      <c r="Q220" s="550">
        <v>822364</v>
      </c>
      <c r="R220" s="550">
        <v>830231</v>
      </c>
      <c r="S220" s="550">
        <v>836475</v>
      </c>
      <c r="T220" s="550">
        <v>840600</v>
      </c>
      <c r="U220" s="550">
        <v>844245</v>
      </c>
      <c r="V220" s="550">
        <v>847430</v>
      </c>
      <c r="W220" s="550">
        <v>850198</v>
      </c>
      <c r="X220" s="550">
        <v>861442</v>
      </c>
      <c r="Y220" s="550">
        <v>864845</v>
      </c>
      <c r="Z220" s="550">
        <v>868075</v>
      </c>
      <c r="AA220" s="550">
        <v>871126</v>
      </c>
      <c r="AB220" s="550">
        <v>866300</v>
      </c>
      <c r="AC220" s="550"/>
      <c r="AD220" s="550">
        <v>902644</v>
      </c>
      <c r="AE220" s="550">
        <v>905692</v>
      </c>
      <c r="AF220" s="778">
        <f t="shared" si="3"/>
        <v>1.0101394898084339</v>
      </c>
    </row>
    <row r="221" spans="3:32">
      <c r="C221" s="549" t="s">
        <v>254</v>
      </c>
      <c r="D221" s="549">
        <v>2211100</v>
      </c>
      <c r="E221" s="549" t="s">
        <v>471</v>
      </c>
      <c r="F221" s="550">
        <v>37885</v>
      </c>
      <c r="G221" s="550">
        <v>40223</v>
      </c>
      <c r="H221" s="550">
        <v>40546</v>
      </c>
      <c r="I221" s="550">
        <v>40891</v>
      </c>
      <c r="J221" s="550">
        <v>41617</v>
      </c>
      <c r="K221" s="550">
        <v>42018</v>
      </c>
      <c r="L221" s="550">
        <v>42417</v>
      </c>
      <c r="M221" s="550">
        <v>42859</v>
      </c>
      <c r="N221" s="550">
        <v>41661</v>
      </c>
      <c r="O221" s="550">
        <v>43135</v>
      </c>
      <c r="P221" s="550">
        <v>42654</v>
      </c>
      <c r="Q221" s="550">
        <v>42873</v>
      </c>
      <c r="R221" s="550">
        <v>43085</v>
      </c>
      <c r="S221" s="550">
        <v>43403</v>
      </c>
      <c r="T221" s="550">
        <v>43511</v>
      </c>
      <c r="U221" s="550">
        <v>43606</v>
      </c>
      <c r="V221" s="550">
        <v>43689</v>
      </c>
      <c r="W221" s="550">
        <v>43761</v>
      </c>
      <c r="X221" s="550">
        <v>44396</v>
      </c>
      <c r="Y221" s="550">
        <v>44485</v>
      </c>
      <c r="Z221" s="550">
        <v>44569</v>
      </c>
      <c r="AA221" s="550">
        <v>44649</v>
      </c>
      <c r="AB221" s="550">
        <v>46119</v>
      </c>
      <c r="AC221" s="550"/>
      <c r="AD221" s="550">
        <v>47707</v>
      </c>
      <c r="AE221" s="550">
        <v>47896</v>
      </c>
      <c r="AF221" s="778">
        <f t="shared" si="3"/>
        <v>1.0094231908332549</v>
      </c>
    </row>
    <row r="222" spans="3:32">
      <c r="C222" s="549" t="s">
        <v>254</v>
      </c>
      <c r="D222" s="549">
        <v>2211209</v>
      </c>
      <c r="E222" s="549" t="s">
        <v>472</v>
      </c>
      <c r="F222" s="550">
        <v>15547</v>
      </c>
      <c r="G222" s="550">
        <v>17216</v>
      </c>
      <c r="H222" s="550">
        <v>17377</v>
      </c>
      <c r="I222" s="550">
        <v>17547</v>
      </c>
      <c r="J222" s="550">
        <v>17904</v>
      </c>
      <c r="K222" s="550">
        <v>18101</v>
      </c>
      <c r="L222" s="550">
        <v>18297</v>
      </c>
      <c r="M222" s="550">
        <v>19566</v>
      </c>
      <c r="N222" s="550">
        <v>19017</v>
      </c>
      <c r="O222" s="550">
        <v>19811</v>
      </c>
      <c r="P222" s="550">
        <v>20149</v>
      </c>
      <c r="Q222" s="550">
        <v>20390</v>
      </c>
      <c r="R222" s="550">
        <v>20623</v>
      </c>
      <c r="S222" s="550">
        <v>20779</v>
      </c>
      <c r="T222" s="550">
        <v>20902</v>
      </c>
      <c r="U222" s="550">
        <v>21011</v>
      </c>
      <c r="V222" s="550">
        <v>21105</v>
      </c>
      <c r="W222" s="550">
        <v>21188</v>
      </c>
      <c r="X222" s="550">
        <v>21457</v>
      </c>
      <c r="Y222" s="550">
        <v>21558</v>
      </c>
      <c r="Z222" s="550">
        <v>21655</v>
      </c>
      <c r="AA222" s="550">
        <v>21746</v>
      </c>
      <c r="AB222" s="550">
        <v>25203</v>
      </c>
      <c r="AC222" s="550"/>
      <c r="AD222" s="550">
        <v>26501</v>
      </c>
      <c r="AE222" s="550">
        <v>26779</v>
      </c>
      <c r="AF222" s="778">
        <f t="shared" si="3"/>
        <v>1.0219882679063665</v>
      </c>
    </row>
    <row r="223" spans="3:32">
      <c r="C223" s="549" t="s">
        <v>254</v>
      </c>
      <c r="D223" s="549">
        <v>2211308</v>
      </c>
      <c r="E223" s="549" t="s">
        <v>473</v>
      </c>
      <c r="F223" s="550">
        <v>19057</v>
      </c>
      <c r="G223" s="550">
        <v>20121</v>
      </c>
      <c r="H223" s="550">
        <v>20287</v>
      </c>
      <c r="I223" s="550">
        <v>20473</v>
      </c>
      <c r="J223" s="550">
        <v>20863</v>
      </c>
      <c r="K223" s="550">
        <v>21079</v>
      </c>
      <c r="L223" s="550">
        <v>21293</v>
      </c>
      <c r="M223" s="550">
        <v>20280</v>
      </c>
      <c r="N223" s="550">
        <v>19716</v>
      </c>
      <c r="O223" s="550">
        <v>20303</v>
      </c>
      <c r="P223" s="550">
        <v>20326</v>
      </c>
      <c r="Q223" s="550">
        <v>20360</v>
      </c>
      <c r="R223" s="550">
        <v>20393</v>
      </c>
      <c r="S223" s="550">
        <v>20541</v>
      </c>
      <c r="T223" s="550">
        <v>20555</v>
      </c>
      <c r="U223" s="550">
        <v>20568</v>
      </c>
      <c r="V223" s="550">
        <v>20579</v>
      </c>
      <c r="W223" s="550">
        <v>20588</v>
      </c>
      <c r="X223" s="550">
        <v>20906</v>
      </c>
      <c r="Y223" s="550">
        <v>20918</v>
      </c>
      <c r="Z223" s="550">
        <v>20929</v>
      </c>
      <c r="AA223" s="550">
        <v>20940</v>
      </c>
      <c r="AB223" s="550">
        <v>22279</v>
      </c>
      <c r="AC223" s="550"/>
      <c r="AD223" s="550">
        <v>22920</v>
      </c>
      <c r="AE223" s="550">
        <v>23025</v>
      </c>
      <c r="AF223" s="778">
        <f t="shared" si="3"/>
        <v>1.007594537073099</v>
      </c>
    </row>
    <row r="224" spans="3:32">
      <c r="C224" s="549" t="s">
        <v>254</v>
      </c>
      <c r="D224" s="549">
        <v>2211357</v>
      </c>
      <c r="E224" s="549" t="s">
        <v>474</v>
      </c>
      <c r="F224" s="550">
        <v>4783</v>
      </c>
      <c r="G224" s="550">
        <v>5339</v>
      </c>
      <c r="H224" s="550">
        <v>5430</v>
      </c>
      <c r="I224" s="550">
        <v>5535</v>
      </c>
      <c r="J224" s="550">
        <v>5715</v>
      </c>
      <c r="K224" s="550">
        <v>5836</v>
      </c>
      <c r="L224" s="550">
        <v>5957</v>
      </c>
      <c r="M224" s="550">
        <v>5326</v>
      </c>
      <c r="N224" s="550">
        <v>5178</v>
      </c>
      <c r="O224" s="550">
        <v>5338</v>
      </c>
      <c r="P224" s="550">
        <v>4913</v>
      </c>
      <c r="Q224" s="550">
        <v>4894</v>
      </c>
      <c r="R224" s="550">
        <v>4875</v>
      </c>
      <c r="S224" s="550">
        <v>4910</v>
      </c>
      <c r="T224" s="550">
        <v>4899</v>
      </c>
      <c r="U224" s="550">
        <v>4889</v>
      </c>
      <c r="V224" s="550">
        <v>4881</v>
      </c>
      <c r="W224" s="550">
        <v>4873</v>
      </c>
      <c r="X224" s="550">
        <v>4956</v>
      </c>
      <c r="Y224" s="550">
        <v>4947</v>
      </c>
      <c r="Z224" s="550">
        <v>4938</v>
      </c>
      <c r="AA224" s="550">
        <v>4930</v>
      </c>
      <c r="AB224" s="550">
        <v>5055</v>
      </c>
      <c r="AC224" s="550"/>
      <c r="AD224" s="550">
        <v>5173</v>
      </c>
      <c r="AE224" s="550">
        <v>5181</v>
      </c>
      <c r="AF224" s="778">
        <f t="shared" si="3"/>
        <v>1.0032023214364387</v>
      </c>
    </row>
    <row r="225" spans="3:76">
      <c r="C225" s="549" t="s">
        <v>254</v>
      </c>
      <c r="D225" s="549">
        <v>2211407</v>
      </c>
      <c r="E225" s="549" t="s">
        <v>475</v>
      </c>
      <c r="F225" s="550">
        <v>4273</v>
      </c>
      <c r="G225" s="550">
        <v>4480</v>
      </c>
      <c r="H225" s="550">
        <v>4485</v>
      </c>
      <c r="I225" s="550">
        <v>4490</v>
      </c>
      <c r="J225" s="550">
        <v>4500</v>
      </c>
      <c r="K225" s="550">
        <v>4506</v>
      </c>
      <c r="L225" s="550">
        <v>4511</v>
      </c>
      <c r="M225" s="550">
        <v>4556</v>
      </c>
      <c r="N225" s="550">
        <v>4429</v>
      </c>
      <c r="O225" s="550">
        <v>4560</v>
      </c>
      <c r="P225" s="550">
        <v>4336</v>
      </c>
      <c r="Q225" s="550">
        <v>4326</v>
      </c>
      <c r="R225" s="550">
        <v>4316</v>
      </c>
      <c r="S225" s="550">
        <v>4346</v>
      </c>
      <c r="T225" s="550">
        <v>4339</v>
      </c>
      <c r="U225" s="550">
        <v>4334</v>
      </c>
      <c r="V225" s="550">
        <v>4329</v>
      </c>
      <c r="W225" s="550">
        <v>4325</v>
      </c>
      <c r="X225" s="550">
        <v>4397</v>
      </c>
      <c r="Y225" s="550">
        <v>4391</v>
      </c>
      <c r="Z225" s="550">
        <v>4386</v>
      </c>
      <c r="AA225" s="550">
        <v>4382</v>
      </c>
      <c r="AB225" s="550">
        <v>4417</v>
      </c>
      <c r="AC225" s="550"/>
      <c r="AD225" s="550">
        <v>4515</v>
      </c>
      <c r="AE225" s="550">
        <v>4520</v>
      </c>
      <c r="AF225" s="778">
        <f t="shared" si="3"/>
        <v>1.0022503617590064</v>
      </c>
    </row>
    <row r="226" spans="3:76">
      <c r="C226" s="549" t="s">
        <v>254</v>
      </c>
      <c r="D226" s="549">
        <v>2211506</v>
      </c>
      <c r="E226" s="549" t="s">
        <v>476</v>
      </c>
      <c r="F226" s="550">
        <v>2523</v>
      </c>
      <c r="G226" s="550">
        <v>2920</v>
      </c>
      <c r="H226" s="550">
        <v>2932</v>
      </c>
      <c r="I226" s="550">
        <v>2944</v>
      </c>
      <c r="J226" s="550">
        <v>2968</v>
      </c>
      <c r="K226" s="550">
        <v>2982</v>
      </c>
      <c r="L226" s="550">
        <v>2995</v>
      </c>
      <c r="M226" s="550">
        <v>3187</v>
      </c>
      <c r="N226" s="550">
        <v>3097</v>
      </c>
      <c r="O226" s="550">
        <v>3212</v>
      </c>
      <c r="P226" s="550">
        <v>2986</v>
      </c>
      <c r="Q226" s="550">
        <v>2993</v>
      </c>
      <c r="R226" s="550">
        <v>2998</v>
      </c>
      <c r="S226" s="550">
        <v>3020</v>
      </c>
      <c r="T226" s="550">
        <v>3023</v>
      </c>
      <c r="U226" s="550">
        <v>3025</v>
      </c>
      <c r="V226" s="550">
        <v>3028</v>
      </c>
      <c r="W226" s="550">
        <v>3029</v>
      </c>
      <c r="X226" s="550">
        <v>3075</v>
      </c>
      <c r="Y226" s="550">
        <v>3077</v>
      </c>
      <c r="Z226" s="550">
        <v>3080</v>
      </c>
      <c r="AA226" s="550">
        <v>3082</v>
      </c>
      <c r="AB226" s="550">
        <v>3185</v>
      </c>
      <c r="AC226" s="550"/>
      <c r="AD226" s="550">
        <v>3271</v>
      </c>
      <c r="AE226" s="550">
        <v>3282</v>
      </c>
      <c r="AF226" s="778">
        <f t="shared" si="3"/>
        <v>1.0105757045026063</v>
      </c>
    </row>
    <row r="227" spans="3:76">
      <c r="C227" s="549" t="s">
        <v>254</v>
      </c>
      <c r="D227" s="549">
        <v>2211605</v>
      </c>
      <c r="E227" s="549" t="s">
        <v>477</v>
      </c>
      <c r="F227" s="550">
        <v>2799</v>
      </c>
      <c r="G227" s="550">
        <v>2912</v>
      </c>
      <c r="H227" s="550">
        <v>2922</v>
      </c>
      <c r="I227" s="550">
        <v>2929</v>
      </c>
      <c r="J227" s="550">
        <v>2945</v>
      </c>
      <c r="K227" s="550">
        <v>2954</v>
      </c>
      <c r="L227" s="550">
        <v>2962</v>
      </c>
      <c r="M227" s="550">
        <v>3117</v>
      </c>
      <c r="N227" s="550">
        <v>3030</v>
      </c>
      <c r="O227" s="550">
        <v>3136</v>
      </c>
      <c r="P227" s="550">
        <v>3076</v>
      </c>
      <c r="Q227" s="550">
        <v>3033</v>
      </c>
      <c r="R227" s="550">
        <v>2990</v>
      </c>
      <c r="S227" s="550">
        <v>3010</v>
      </c>
      <c r="T227" s="550">
        <v>2987</v>
      </c>
      <c r="U227" s="550">
        <v>2965</v>
      </c>
      <c r="V227" s="550">
        <v>2947</v>
      </c>
      <c r="W227" s="550">
        <v>2931</v>
      </c>
      <c r="X227" s="550">
        <v>2990</v>
      </c>
      <c r="Y227" s="550">
        <v>2971</v>
      </c>
      <c r="Z227" s="550">
        <v>2952</v>
      </c>
      <c r="AA227" s="550">
        <v>2935</v>
      </c>
      <c r="AB227" s="550">
        <v>2935</v>
      </c>
      <c r="AC227" s="550"/>
      <c r="AD227" s="550">
        <v>2979</v>
      </c>
      <c r="AE227" s="550">
        <v>2972</v>
      </c>
      <c r="AF227" s="778">
        <f t="shared" si="3"/>
        <v>1.0024017963557035</v>
      </c>
    </row>
    <row r="228" spans="3:76">
      <c r="C228" s="549" t="s">
        <v>254</v>
      </c>
      <c r="D228" s="549">
        <v>2211704</v>
      </c>
      <c r="E228" s="549" t="s">
        <v>478</v>
      </c>
      <c r="F228" s="550">
        <v>3942</v>
      </c>
      <c r="G228" s="550">
        <v>4028</v>
      </c>
      <c r="H228" s="550">
        <v>4052</v>
      </c>
      <c r="I228" s="550">
        <v>4077</v>
      </c>
      <c r="J228" s="550">
        <v>4130</v>
      </c>
      <c r="K228" s="550">
        <v>4159</v>
      </c>
      <c r="L228" s="550">
        <v>4188</v>
      </c>
      <c r="M228" s="550">
        <v>4580</v>
      </c>
      <c r="N228" s="550">
        <v>4452</v>
      </c>
      <c r="O228" s="550">
        <v>4636</v>
      </c>
      <c r="P228" s="550">
        <v>4280</v>
      </c>
      <c r="Q228" s="550">
        <v>4302</v>
      </c>
      <c r="R228" s="550">
        <v>4323</v>
      </c>
      <c r="S228" s="550">
        <v>4355</v>
      </c>
      <c r="T228" s="550">
        <v>4365</v>
      </c>
      <c r="U228" s="550">
        <v>4375</v>
      </c>
      <c r="V228" s="550">
        <v>4383</v>
      </c>
      <c r="W228" s="550">
        <v>4390</v>
      </c>
      <c r="X228" s="550">
        <v>4454</v>
      </c>
      <c r="Y228" s="550">
        <v>4462</v>
      </c>
      <c r="Z228" s="550">
        <v>4471</v>
      </c>
      <c r="AA228" s="550">
        <v>4479</v>
      </c>
      <c r="AB228" s="550">
        <v>4059</v>
      </c>
      <c r="AC228" s="550"/>
      <c r="AD228" s="550">
        <v>4117</v>
      </c>
      <c r="AE228" s="550">
        <v>4195</v>
      </c>
      <c r="AF228" s="778">
        <f t="shared" si="3"/>
        <v>1.0024913033993021</v>
      </c>
    </row>
    <row r="229" spans="3:76">
      <c r="C229" s="125"/>
      <c r="D229" s="125"/>
      <c r="E229" s="763" t="s">
        <v>479</v>
      </c>
      <c r="F229" s="764">
        <f>SUM(F5:F228)</f>
        <v>2753373</v>
      </c>
      <c r="G229" s="764">
        <f t="shared" ref="G229:H229" si="4">SUM(G5:G228)</f>
        <v>2873010</v>
      </c>
      <c r="H229" s="764">
        <f t="shared" si="4"/>
        <v>2898223</v>
      </c>
      <c r="I229" s="764">
        <f t="shared" ref="I229:N229" si="5">SUM(I5:I228)</f>
        <v>2923725</v>
      </c>
      <c r="J229" s="764">
        <f t="shared" si="5"/>
        <v>2977259</v>
      </c>
      <c r="K229" s="764">
        <f t="shared" si="5"/>
        <v>3006885</v>
      </c>
      <c r="L229" s="764">
        <f t="shared" si="5"/>
        <v>3036290</v>
      </c>
      <c r="M229" s="764">
        <f t="shared" si="5"/>
        <v>3119698</v>
      </c>
      <c r="N229" s="764">
        <f t="shared" si="5"/>
        <v>3032421</v>
      </c>
      <c r="O229" s="764">
        <f t="shared" ref="O229:AE229" si="6">SUM(O5:O228)</f>
        <v>3145325</v>
      </c>
      <c r="P229" s="764">
        <f t="shared" si="6"/>
        <v>3118360</v>
      </c>
      <c r="Q229" s="764">
        <f t="shared" si="6"/>
        <v>3140328</v>
      </c>
      <c r="R229" s="764">
        <f t="shared" si="6"/>
        <v>3160748</v>
      </c>
      <c r="S229" s="764">
        <f t="shared" si="6"/>
        <v>3184166</v>
      </c>
      <c r="T229" s="764">
        <f t="shared" si="6"/>
        <v>3194718</v>
      </c>
      <c r="U229" s="764">
        <f t="shared" si="6"/>
        <v>3204028</v>
      </c>
      <c r="V229" s="764">
        <f t="shared" si="6"/>
        <v>3212180</v>
      </c>
      <c r="W229" s="764">
        <f t="shared" si="6"/>
        <v>3219257</v>
      </c>
      <c r="X229" s="764">
        <f t="shared" si="6"/>
        <v>3264531</v>
      </c>
      <c r="Y229" s="764">
        <f t="shared" si="6"/>
        <v>3273227</v>
      </c>
      <c r="Z229" s="764">
        <f t="shared" si="6"/>
        <v>3281480</v>
      </c>
      <c r="AA229" s="764">
        <f t="shared" si="6"/>
        <v>3289290</v>
      </c>
      <c r="AB229" s="764">
        <f t="shared" si="6"/>
        <v>3271199</v>
      </c>
      <c r="AC229" s="550"/>
      <c r="AD229" s="550">
        <f t="shared" si="6"/>
        <v>3375646</v>
      </c>
      <c r="AE229" s="550">
        <f t="shared" si="6"/>
        <v>3384547</v>
      </c>
      <c r="AF229" s="551"/>
    </row>
    <row r="233" spans="3:76">
      <c r="E233" s="772" t="s">
        <v>480</v>
      </c>
      <c r="F233" s="772">
        <v>2000</v>
      </c>
      <c r="G233" s="772">
        <v>2001</v>
      </c>
      <c r="H233" s="772">
        <v>2002</v>
      </c>
      <c r="I233" s="772">
        <v>2003</v>
      </c>
      <c r="J233" s="772">
        <v>2004</v>
      </c>
      <c r="K233" s="772">
        <v>2005</v>
      </c>
      <c r="L233" s="772">
        <v>2006</v>
      </c>
      <c r="M233" s="772">
        <v>2008</v>
      </c>
      <c r="N233" s="772">
        <v>2007</v>
      </c>
      <c r="O233" s="772">
        <v>2009</v>
      </c>
      <c r="P233" s="772">
        <v>2010</v>
      </c>
      <c r="Q233" s="772">
        <v>2011</v>
      </c>
      <c r="R233" s="772">
        <v>2012</v>
      </c>
      <c r="S233" s="772">
        <v>2013</v>
      </c>
      <c r="T233" s="772">
        <v>2014</v>
      </c>
      <c r="U233" s="772">
        <v>2015</v>
      </c>
      <c r="V233" s="772">
        <v>2016</v>
      </c>
      <c r="W233" s="772">
        <v>2017</v>
      </c>
      <c r="X233" s="772">
        <v>2018</v>
      </c>
      <c r="Y233" s="772">
        <v>2019</v>
      </c>
      <c r="Z233" s="772">
        <v>2020</v>
      </c>
      <c r="AA233" s="772">
        <v>2021</v>
      </c>
      <c r="AB233" s="772">
        <v>2022</v>
      </c>
      <c r="AC233" s="772">
        <v>2023</v>
      </c>
      <c r="AD233" s="772">
        <v>2024</v>
      </c>
      <c r="AE233" s="772">
        <v>2025</v>
      </c>
      <c r="AF233" s="772">
        <v>2026</v>
      </c>
      <c r="AG233" s="772">
        <v>2027</v>
      </c>
      <c r="AH233" s="772">
        <v>2028</v>
      </c>
      <c r="AI233" s="772">
        <v>2029</v>
      </c>
      <c r="AJ233" s="772">
        <v>2030</v>
      </c>
      <c r="AK233" s="772">
        <v>2031</v>
      </c>
      <c r="AL233" s="772">
        <v>2032</v>
      </c>
      <c r="AM233" s="772">
        <v>2033</v>
      </c>
      <c r="AN233" s="772">
        <v>2034</v>
      </c>
      <c r="AO233" s="772">
        <v>2035</v>
      </c>
      <c r="AP233" s="772">
        <v>2036</v>
      </c>
      <c r="AQ233" s="772">
        <v>2037</v>
      </c>
      <c r="AR233" s="772">
        <v>2038</v>
      </c>
      <c r="AS233" s="772">
        <v>2039</v>
      </c>
      <c r="AT233" s="772">
        <v>2040</v>
      </c>
      <c r="AU233" s="772">
        <v>2041</v>
      </c>
      <c r="AV233" s="772">
        <v>2042</v>
      </c>
      <c r="AW233" s="772">
        <v>2043</v>
      </c>
      <c r="AX233" s="772">
        <v>2044</v>
      </c>
      <c r="AY233" s="772">
        <v>2045</v>
      </c>
      <c r="AZ233" s="772">
        <v>2046</v>
      </c>
      <c r="BA233" s="772">
        <v>2047</v>
      </c>
      <c r="BB233" s="772">
        <v>2048</v>
      </c>
      <c r="BC233" s="772">
        <v>2049</v>
      </c>
      <c r="BD233" s="772">
        <v>2050</v>
      </c>
      <c r="BE233" s="772">
        <v>2051</v>
      </c>
      <c r="BF233" s="772">
        <v>2052</v>
      </c>
      <c r="BG233" s="772">
        <v>2053</v>
      </c>
      <c r="BH233" s="772">
        <v>2054</v>
      </c>
      <c r="BI233" s="772">
        <v>2055</v>
      </c>
      <c r="BJ233" s="772">
        <v>2056</v>
      </c>
      <c r="BK233" s="772">
        <v>2057</v>
      </c>
      <c r="BL233" s="772">
        <v>2058</v>
      </c>
      <c r="BM233" s="772">
        <v>2059</v>
      </c>
      <c r="BN233" s="772">
        <v>2060</v>
      </c>
      <c r="BO233" s="772">
        <v>2061</v>
      </c>
      <c r="BP233" s="772">
        <v>2062</v>
      </c>
      <c r="BQ233" s="772">
        <v>2063</v>
      </c>
      <c r="BR233" s="772">
        <v>2064</v>
      </c>
      <c r="BS233" s="772">
        <v>2065</v>
      </c>
      <c r="BT233" s="772">
        <v>2066</v>
      </c>
      <c r="BU233" s="772">
        <v>2067</v>
      </c>
      <c r="BV233" s="772">
        <v>2068</v>
      </c>
      <c r="BW233" s="772">
        <v>2069</v>
      </c>
      <c r="BX233" s="772">
        <v>2070</v>
      </c>
    </row>
    <row r="234" spans="3:76">
      <c r="E234" s="772" t="str">
        <f t="shared" ref="E234:AE234" si="7">E229</f>
        <v>Total</v>
      </c>
      <c r="F234" s="765">
        <f>F229</f>
        <v>2753373</v>
      </c>
      <c r="G234" s="765">
        <f t="shared" si="7"/>
        <v>2873010</v>
      </c>
      <c r="H234" s="765">
        <f t="shared" si="7"/>
        <v>2898223</v>
      </c>
      <c r="I234" s="765">
        <f t="shared" si="7"/>
        <v>2923725</v>
      </c>
      <c r="J234" s="765">
        <f t="shared" si="7"/>
        <v>2977259</v>
      </c>
      <c r="K234" s="765">
        <f t="shared" si="7"/>
        <v>3006885</v>
      </c>
      <c r="L234" s="765">
        <f t="shared" si="7"/>
        <v>3036290</v>
      </c>
      <c r="M234" s="765">
        <f t="shared" si="7"/>
        <v>3119698</v>
      </c>
      <c r="N234" s="765">
        <f t="shared" si="7"/>
        <v>3032421</v>
      </c>
      <c r="O234" s="765">
        <f t="shared" si="7"/>
        <v>3145325</v>
      </c>
      <c r="P234" s="765">
        <f t="shared" si="7"/>
        <v>3118360</v>
      </c>
      <c r="Q234" s="765">
        <f t="shared" si="7"/>
        <v>3140328</v>
      </c>
      <c r="R234" s="765">
        <f t="shared" si="7"/>
        <v>3160748</v>
      </c>
      <c r="S234" s="765">
        <f t="shared" si="7"/>
        <v>3184166</v>
      </c>
      <c r="T234" s="765">
        <f t="shared" si="7"/>
        <v>3194718</v>
      </c>
      <c r="U234" s="765">
        <f t="shared" si="7"/>
        <v>3204028</v>
      </c>
      <c r="V234" s="765">
        <f t="shared" si="7"/>
        <v>3212180</v>
      </c>
      <c r="W234" s="765">
        <f t="shared" si="7"/>
        <v>3219257</v>
      </c>
      <c r="X234" s="765">
        <f t="shared" si="7"/>
        <v>3264531</v>
      </c>
      <c r="Y234" s="765">
        <f t="shared" si="7"/>
        <v>3273227</v>
      </c>
      <c r="Z234" s="765">
        <f t="shared" si="7"/>
        <v>3281480</v>
      </c>
      <c r="AA234" s="765">
        <f t="shared" si="7"/>
        <v>3289290</v>
      </c>
      <c r="AB234" s="765">
        <f t="shared" si="7"/>
        <v>3271199</v>
      </c>
      <c r="AC234" s="766">
        <f t="shared" si="7"/>
        <v>0</v>
      </c>
      <c r="AD234" s="765">
        <f t="shared" si="7"/>
        <v>3375646</v>
      </c>
      <c r="AE234" s="765">
        <f t="shared" si="7"/>
        <v>3384547</v>
      </c>
      <c r="AF234" s="765">
        <v>3392617</v>
      </c>
      <c r="AG234" s="766">
        <v>3399915</v>
      </c>
      <c r="AH234" s="766">
        <v>3406484</v>
      </c>
      <c r="AI234" s="766">
        <v>3412351</v>
      </c>
      <c r="AJ234" s="766">
        <v>3417554</v>
      </c>
      <c r="AK234" s="766">
        <v>3421999</v>
      </c>
      <c r="AL234" s="766">
        <v>3425597</v>
      </c>
      <c r="AM234" s="766">
        <v>3428371</v>
      </c>
      <c r="AN234" s="766">
        <v>3430332</v>
      </c>
      <c r="AO234" s="766">
        <v>3431500</v>
      </c>
      <c r="AP234" s="766">
        <v>3431896</v>
      </c>
      <c r="AQ234" s="766">
        <v>3431512</v>
      </c>
      <c r="AR234" s="766">
        <v>3430344</v>
      </c>
      <c r="AS234" s="766">
        <v>3428417</v>
      </c>
      <c r="AT234" s="766">
        <v>3425745</v>
      </c>
      <c r="AU234" s="766">
        <v>3422293</v>
      </c>
      <c r="AV234" s="766">
        <v>3418013</v>
      </c>
      <c r="AW234" s="766">
        <v>3412909</v>
      </c>
      <c r="AX234" s="766">
        <v>3406996</v>
      </c>
      <c r="AY234" s="766">
        <v>3400260</v>
      </c>
      <c r="AZ234" s="766">
        <v>3392697</v>
      </c>
      <c r="BA234" s="766">
        <v>3384313</v>
      </c>
      <c r="BB234" s="766">
        <v>3375106</v>
      </c>
      <c r="BC234" s="766">
        <v>3365093</v>
      </c>
      <c r="BD234" s="766">
        <v>3354276</v>
      </c>
      <c r="BE234" s="766">
        <v>3342637</v>
      </c>
      <c r="BF234" s="766">
        <v>3330186</v>
      </c>
      <c r="BG234" s="766">
        <v>3316936</v>
      </c>
      <c r="BH234" s="766">
        <v>3302889</v>
      </c>
      <c r="BI234" s="766">
        <v>3288048</v>
      </c>
      <c r="BJ234" s="766">
        <v>3272404</v>
      </c>
      <c r="BK234" s="766">
        <v>3255978</v>
      </c>
      <c r="BL234" s="766">
        <v>3238784</v>
      </c>
      <c r="BM234" s="766">
        <v>3220816</v>
      </c>
      <c r="BN234" s="766">
        <v>3202092</v>
      </c>
      <c r="BO234" s="766">
        <v>3182626</v>
      </c>
      <c r="BP234" s="766">
        <v>3162435</v>
      </c>
      <c r="BQ234" s="766">
        <v>3141533</v>
      </c>
      <c r="BR234" s="766">
        <v>3119925</v>
      </c>
      <c r="BS234" s="766">
        <v>3097637</v>
      </c>
      <c r="BT234" s="766">
        <v>3074698</v>
      </c>
      <c r="BU234" s="766">
        <v>3051141</v>
      </c>
      <c r="BV234" s="766">
        <v>3026994</v>
      </c>
      <c r="BW234" s="766">
        <v>3002304</v>
      </c>
      <c r="BX234" s="766">
        <v>2977122</v>
      </c>
    </row>
    <row r="235" spans="3:76">
      <c r="E235" s="772" t="str">
        <f t="shared" ref="E235:AE235" si="8">E220</f>
        <v>Teresina</v>
      </c>
      <c r="F235" s="766">
        <f>F220</f>
        <v>703796</v>
      </c>
      <c r="G235" s="766">
        <f t="shared" si="8"/>
        <v>728881</v>
      </c>
      <c r="H235" s="766">
        <f t="shared" si="8"/>
        <v>740016</v>
      </c>
      <c r="I235" s="766">
        <f t="shared" si="8"/>
        <v>751464</v>
      </c>
      <c r="J235" s="766">
        <f t="shared" si="8"/>
        <v>775477</v>
      </c>
      <c r="K235" s="766">
        <f t="shared" si="8"/>
        <v>788773</v>
      </c>
      <c r="L235" s="766">
        <f t="shared" si="8"/>
        <v>801971</v>
      </c>
      <c r="M235" s="766">
        <f t="shared" si="8"/>
        <v>794605</v>
      </c>
      <c r="N235" s="766">
        <f t="shared" si="8"/>
        <v>779939</v>
      </c>
      <c r="O235" s="766">
        <f t="shared" si="8"/>
        <v>802537</v>
      </c>
      <c r="P235" s="766">
        <f t="shared" si="8"/>
        <v>814230</v>
      </c>
      <c r="Q235" s="766">
        <f t="shared" si="8"/>
        <v>822364</v>
      </c>
      <c r="R235" s="766">
        <f t="shared" si="8"/>
        <v>830231</v>
      </c>
      <c r="S235" s="766">
        <f t="shared" si="8"/>
        <v>836475</v>
      </c>
      <c r="T235" s="766">
        <f t="shared" si="8"/>
        <v>840600</v>
      </c>
      <c r="U235" s="766">
        <f t="shared" si="8"/>
        <v>844245</v>
      </c>
      <c r="V235" s="766">
        <f t="shared" si="8"/>
        <v>847430</v>
      </c>
      <c r="W235" s="766">
        <f t="shared" si="8"/>
        <v>850198</v>
      </c>
      <c r="X235" s="766">
        <f t="shared" si="8"/>
        <v>861442</v>
      </c>
      <c r="Y235" s="766">
        <f t="shared" si="8"/>
        <v>864845</v>
      </c>
      <c r="Z235" s="766">
        <f t="shared" si="8"/>
        <v>868075</v>
      </c>
      <c r="AA235" s="766">
        <f t="shared" si="8"/>
        <v>871126</v>
      </c>
      <c r="AB235" s="766">
        <f t="shared" si="8"/>
        <v>866300</v>
      </c>
      <c r="AC235" s="766">
        <f t="shared" si="8"/>
        <v>0</v>
      </c>
      <c r="AD235" s="766">
        <f t="shared" si="8"/>
        <v>902644</v>
      </c>
      <c r="AE235" s="766">
        <f t="shared" si="8"/>
        <v>905692</v>
      </c>
      <c r="AF235" s="765">
        <v>913466.17030559015</v>
      </c>
      <c r="AG235" s="766">
        <v>921264.19553376513</v>
      </c>
      <c r="AH235" s="766">
        <v>929088.172039186</v>
      </c>
      <c r="AI235" s="766">
        <v>936939.35112263961</v>
      </c>
      <c r="AJ235" s="766">
        <v>944819.60615118826</v>
      </c>
      <c r="AK235" s="766">
        <v>952723.49403660733</v>
      </c>
      <c r="AL235" s="766">
        <v>960645.67728539242</v>
      </c>
      <c r="AM235" s="766">
        <v>968586.96716729016</v>
      </c>
      <c r="AN235" s="766">
        <v>976547.49216955225</v>
      </c>
      <c r="AO235" s="766">
        <v>984527.87843569636</v>
      </c>
      <c r="AP235" s="766">
        <v>992528.80818331195</v>
      </c>
      <c r="AQ235" s="766">
        <v>1000549.2743093097</v>
      </c>
      <c r="AR235" s="766">
        <v>1008588.4519467662</v>
      </c>
      <c r="AS235" s="766">
        <v>1016647.1888121292</v>
      </c>
      <c r="AT235" s="766">
        <v>1024725.6854200775</v>
      </c>
      <c r="AU235" s="766">
        <v>1032821.1745384454</v>
      </c>
      <c r="AV235" s="766">
        <v>1040929.9800884277</v>
      </c>
      <c r="AW235" s="766">
        <v>1049051.4689475517</v>
      </c>
      <c r="AX235" s="766">
        <v>1057185.6484275882</v>
      </c>
      <c r="AY235" s="766">
        <v>1065330.6916348375</v>
      </c>
      <c r="AZ235" s="766">
        <v>1073485.3161659974</v>
      </c>
      <c r="BA235" s="766">
        <v>1081648.8112752379</v>
      </c>
      <c r="BB235" s="766">
        <v>1089819.9052221377</v>
      </c>
      <c r="BC235" s="766">
        <v>1097998.4987610362</v>
      </c>
      <c r="BD235" s="766">
        <v>1106183.4859089118</v>
      </c>
      <c r="BE235" s="766">
        <v>1114372.3673141596</v>
      </c>
      <c r="BF235" s="766">
        <v>1122564.409686913</v>
      </c>
      <c r="BG235" s="766">
        <v>1130759.0410605099</v>
      </c>
      <c r="BH235" s="766">
        <v>1138954.8959237973</v>
      </c>
      <c r="BI235" s="766">
        <v>1147150.6075091215</v>
      </c>
      <c r="BJ235" s="766">
        <v>1155343.8908119739</v>
      </c>
      <c r="BK235" s="766">
        <v>1163534.489632969</v>
      </c>
      <c r="BL235" s="766">
        <v>1171721.6257189878</v>
      </c>
      <c r="BM235" s="766">
        <v>1179903.0154843226</v>
      </c>
      <c r="BN235" s="766">
        <v>1188078.0404335032</v>
      </c>
      <c r="BO235" s="766">
        <v>1196245.7519139766</v>
      </c>
      <c r="BP235" s="766">
        <v>1204405.384492985</v>
      </c>
      <c r="BQ235" s="766">
        <v>1212555.9070852832</v>
      </c>
      <c r="BR235" s="766">
        <v>1220695.5373555913</v>
      </c>
      <c r="BS235" s="766">
        <v>1228824.0717353032</v>
      </c>
      <c r="BT235" s="766">
        <v>1236941.5505661638</v>
      </c>
      <c r="BU235" s="766">
        <v>1245048.3595339246</v>
      </c>
      <c r="BV235" s="766">
        <v>1253144.5118722273</v>
      </c>
      <c r="BW235" s="766">
        <v>1261231.6395042303</v>
      </c>
      <c r="BX235" s="766">
        <v>1269311.8368440126</v>
      </c>
    </row>
    <row r="236" spans="3:76">
      <c r="E236" s="772" t="s">
        <v>481</v>
      </c>
      <c r="F236" s="766">
        <f t="shared" ref="F236:AB236" si="9">F235/F234</f>
        <v>0.25561229807948288</v>
      </c>
      <c r="G236" s="766">
        <f t="shared" si="9"/>
        <v>0.25369943021430486</v>
      </c>
      <c r="H236" s="766">
        <f t="shared" si="9"/>
        <v>0.25533438938273556</v>
      </c>
      <c r="I236" s="766">
        <f t="shared" si="9"/>
        <v>0.25702280481235412</v>
      </c>
      <c r="J236" s="766">
        <f t="shared" si="9"/>
        <v>0.26046675818261023</v>
      </c>
      <c r="K236" s="766">
        <f t="shared" si="9"/>
        <v>0.26232230364646469</v>
      </c>
      <c r="L236" s="766">
        <f t="shared" si="9"/>
        <v>0.26412859114247983</v>
      </c>
      <c r="M236" s="766">
        <f t="shared" si="9"/>
        <v>0.25470574395342116</v>
      </c>
      <c r="N236" s="766">
        <f t="shared" si="9"/>
        <v>0.25720010513052111</v>
      </c>
      <c r="O236" s="766">
        <f t="shared" si="9"/>
        <v>0.25515232925055442</v>
      </c>
      <c r="P236" s="766">
        <f t="shared" si="9"/>
        <v>0.26110840313498118</v>
      </c>
      <c r="Q236" s="766">
        <f t="shared" si="9"/>
        <v>0.26187200827429491</v>
      </c>
      <c r="R236" s="766">
        <f t="shared" si="9"/>
        <v>0.26266915299796123</v>
      </c>
      <c r="S236" s="766">
        <f t="shared" si="9"/>
        <v>0.26269830153327434</v>
      </c>
      <c r="T236" s="766">
        <f t="shared" si="9"/>
        <v>0.26312181544662155</v>
      </c>
      <c r="U236" s="766">
        <f t="shared" si="9"/>
        <v>0.26349488830934059</v>
      </c>
      <c r="V236" s="766">
        <f t="shared" si="9"/>
        <v>0.26381771880778787</v>
      </c>
      <c r="W236" s="766">
        <f t="shared" si="9"/>
        <v>0.26409758525026117</v>
      </c>
      <c r="X236" s="766">
        <f t="shared" si="9"/>
        <v>0.26387925248680438</v>
      </c>
      <c r="Y236" s="766">
        <f t="shared" si="9"/>
        <v>0.26421784984664981</v>
      </c>
      <c r="Z236" s="766">
        <f t="shared" si="9"/>
        <v>0.26453764764679349</v>
      </c>
      <c r="AA236" s="766">
        <f t="shared" si="9"/>
        <v>0.26483709250324539</v>
      </c>
      <c r="AB236" s="766">
        <f t="shared" si="9"/>
        <v>0.26482644437100894</v>
      </c>
      <c r="AC236" s="766">
        <f>AB236</f>
        <v>0.26482644437100894</v>
      </c>
      <c r="AD236" s="766">
        <f t="shared" ref="AD236:BX236" si="10">AD235/AD234</f>
        <v>0.26739889194542321</v>
      </c>
      <c r="AE236" s="766">
        <f t="shared" si="10"/>
        <v>0.26759622484190648</v>
      </c>
      <c r="AF236" s="767">
        <f t="shared" si="10"/>
        <v>0.26925119172178591</v>
      </c>
      <c r="AG236" s="766">
        <f t="shared" si="10"/>
        <v>0.27096683168072294</v>
      </c>
      <c r="AH236" s="766">
        <f t="shared" si="10"/>
        <v>0.27274109376095296</v>
      </c>
      <c r="AI236" s="766">
        <f t="shared" si="10"/>
        <v>0.27457297069458553</v>
      </c>
      <c r="AJ236" s="766">
        <f t="shared" si="10"/>
        <v>0.27646076876947323</v>
      </c>
      <c r="AK236" s="766">
        <f t="shared" si="10"/>
        <v>0.27841138879251787</v>
      </c>
      <c r="AL236" s="766">
        <f t="shared" si="10"/>
        <v>0.28043160864672417</v>
      </c>
      <c r="AM236" s="766">
        <f t="shared" si="10"/>
        <v>0.28252104780004561</v>
      </c>
      <c r="AN236" s="766">
        <f t="shared" si="10"/>
        <v>0.28468016861620166</v>
      </c>
      <c r="AO236" s="766">
        <f t="shared" si="10"/>
        <v>0.28690889652796048</v>
      </c>
      <c r="AP236" s="766">
        <f t="shared" si="10"/>
        <v>0.28920713453534486</v>
      </c>
      <c r="AQ236" s="766">
        <f t="shared" si="10"/>
        <v>0.29157679597486752</v>
      </c>
      <c r="AR236" s="766">
        <f t="shared" si="10"/>
        <v>0.29401962367236822</v>
      </c>
      <c r="AS236" s="766">
        <f t="shared" si="10"/>
        <v>0.29653545318790836</v>
      </c>
      <c r="AT236" s="766">
        <f t="shared" si="10"/>
        <v>0.29912491601683067</v>
      </c>
      <c r="AU236" s="766">
        <f t="shared" si="10"/>
        <v>0.3017921535468896</v>
      </c>
      <c r="AV236" s="766">
        <f t="shared" si="10"/>
        <v>0.30454242862400688</v>
      </c>
      <c r="AW236" s="766">
        <f t="shared" si="10"/>
        <v>0.30737750961058491</v>
      </c>
      <c r="AX236" s="766">
        <f t="shared" si="10"/>
        <v>0.31029847068431787</v>
      </c>
      <c r="AY236" s="766">
        <f t="shared" si="10"/>
        <v>0.31330859747043976</v>
      </c>
      <c r="AZ236" s="766">
        <f t="shared" si="10"/>
        <v>0.31641060671377297</v>
      </c>
      <c r="BA236" s="766">
        <f t="shared" si="10"/>
        <v>0.31960661182202649</v>
      </c>
      <c r="BB236" s="766">
        <f t="shared" si="10"/>
        <v>0.32289946011240467</v>
      </c>
      <c r="BC236" s="766">
        <f t="shared" si="10"/>
        <v>0.32629068461437355</v>
      </c>
      <c r="BD236" s="766">
        <f t="shared" si="10"/>
        <v>0.32978308460869404</v>
      </c>
      <c r="BE236" s="766">
        <f t="shared" si="10"/>
        <v>0.33338120989929798</v>
      </c>
      <c r="BF236" s="766">
        <f t="shared" si="10"/>
        <v>0.33708760101895602</v>
      </c>
      <c r="BG236" s="766">
        <f t="shared" si="10"/>
        <v>0.34090469067250917</v>
      </c>
      <c r="BH236" s="766">
        <f t="shared" si="10"/>
        <v>0.34483595904185615</v>
      </c>
      <c r="BI236" s="766">
        <f t="shared" si="10"/>
        <v>0.34888499423035235</v>
      </c>
      <c r="BJ236" s="766">
        <f t="shared" si="10"/>
        <v>0.35305661856298121</v>
      </c>
      <c r="BK236" s="766">
        <f t="shared" si="10"/>
        <v>0.3573533020287511</v>
      </c>
      <c r="BL236" s="766">
        <f t="shared" si="10"/>
        <v>0.36177825557955939</v>
      </c>
      <c r="BM236" s="766">
        <f t="shared" si="10"/>
        <v>0.36633667228563277</v>
      </c>
      <c r="BN236" s="766">
        <f t="shared" si="10"/>
        <v>0.37103182557949715</v>
      </c>
      <c r="BO236" s="766">
        <f t="shared" si="10"/>
        <v>0.37586752320692934</v>
      </c>
      <c r="BP236" s="766">
        <f t="shared" si="10"/>
        <v>0.38084747496564669</v>
      </c>
      <c r="BQ236" s="766">
        <f t="shared" si="10"/>
        <v>0.38597586181182347</v>
      </c>
      <c r="BR236" s="766">
        <f t="shared" si="10"/>
        <v>0.391257974905035</v>
      </c>
      <c r="BS236" s="766">
        <f t="shared" si="10"/>
        <v>0.39669724752619601</v>
      </c>
      <c r="BT236" s="766">
        <f t="shared" si="10"/>
        <v>0.40229692495528468</v>
      </c>
      <c r="BU236" s="766">
        <f t="shared" si="10"/>
        <v>0.40805992234836891</v>
      </c>
      <c r="BV236" s="766">
        <f t="shared" si="10"/>
        <v>0.41398975745317873</v>
      </c>
      <c r="BW236" s="766">
        <f t="shared" si="10"/>
        <v>0.42008791897963377</v>
      </c>
      <c r="BX236" s="766">
        <f t="shared" si="10"/>
        <v>0.42635533137171155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3">
    <tabColor theme="5" tint="0.39997558519241921"/>
  </sheetPr>
  <dimension ref="A1:AN360"/>
  <sheetViews>
    <sheetView showGridLines="0" topLeftCell="A33" zoomScale="85" zoomScaleNormal="85" workbookViewId="0">
      <selection activeCell="D32" sqref="D32"/>
    </sheetView>
  </sheetViews>
  <sheetFormatPr defaultColWidth="9.140625" defaultRowHeight="13.9" outlineLevelRow="1"/>
  <cols>
    <col min="1" max="1" width="9.140625" style="2"/>
    <col min="2" max="2" width="2.42578125" style="1" customWidth="1"/>
    <col min="3" max="3" width="64.42578125" style="1" customWidth="1"/>
    <col min="4" max="4" width="42.5703125" style="1" customWidth="1"/>
    <col min="5" max="5" width="30.140625" style="1" bestFit="1" customWidth="1"/>
    <col min="6" max="6" width="37.5703125" style="1" bestFit="1" customWidth="1"/>
    <col min="7" max="7" width="22.5703125" style="1" bestFit="1" customWidth="1"/>
    <col min="8" max="8" width="25.140625" style="1" bestFit="1" customWidth="1"/>
    <col min="9" max="9" width="20.28515625" style="1" bestFit="1" customWidth="1"/>
    <col min="10" max="10" width="41.28515625" style="1" bestFit="1" customWidth="1"/>
    <col min="11" max="11" width="42" style="1" bestFit="1" customWidth="1"/>
    <col min="12" max="12" width="46.28515625" style="1" bestFit="1" customWidth="1"/>
    <col min="13" max="18" width="15.85546875" style="1" bestFit="1" customWidth="1"/>
    <col min="19" max="19" width="19.7109375" style="1" bestFit="1" customWidth="1"/>
    <col min="20" max="20" width="15.85546875" style="1" bestFit="1" customWidth="1"/>
    <col min="21" max="21" width="19.7109375" style="1" bestFit="1" customWidth="1"/>
    <col min="22" max="22" width="15.85546875" style="1" bestFit="1" customWidth="1"/>
    <col min="23" max="23" width="19.42578125" style="1" bestFit="1" customWidth="1"/>
    <col min="24" max="38" width="15.85546875" style="1" bestFit="1" customWidth="1"/>
    <col min="39" max="39" width="16.85546875" style="1" bestFit="1" customWidth="1"/>
    <col min="40" max="40" width="19.5703125" style="1" bestFit="1" customWidth="1"/>
    <col min="41" max="16384" width="9.140625" style="1"/>
  </cols>
  <sheetData>
    <row r="1" spans="1:40" s="2" customFormat="1" ht="13.9" customHeight="1">
      <c r="C1" s="798" t="s">
        <v>482</v>
      </c>
    </row>
    <row r="2" spans="1:40" s="2" customFormat="1" ht="13.9" customHeight="1">
      <c r="C2" s="798"/>
    </row>
    <row r="4" spans="1:40">
      <c r="D4" s="772">
        <v>2025</v>
      </c>
      <c r="E4" s="772">
        <v>2026</v>
      </c>
      <c r="F4" s="772">
        <v>2027</v>
      </c>
      <c r="G4" s="772">
        <v>2028</v>
      </c>
      <c r="H4" s="772">
        <v>2029</v>
      </c>
      <c r="I4" s="772">
        <v>2030</v>
      </c>
      <c r="J4" s="772">
        <v>2031</v>
      </c>
      <c r="K4" s="772">
        <v>2032</v>
      </c>
      <c r="L4" s="772">
        <v>2033</v>
      </c>
      <c r="M4" s="772">
        <v>2034</v>
      </c>
      <c r="N4" s="772">
        <v>2035</v>
      </c>
      <c r="O4" s="772">
        <v>2036</v>
      </c>
      <c r="P4" s="772">
        <v>2037</v>
      </c>
      <c r="Q4" s="772">
        <v>2038</v>
      </c>
      <c r="R4" s="772">
        <v>2039</v>
      </c>
      <c r="S4" s="772">
        <v>2040</v>
      </c>
      <c r="T4" s="772">
        <v>2041</v>
      </c>
      <c r="U4" s="772">
        <v>2042</v>
      </c>
      <c r="V4" s="772">
        <v>2043</v>
      </c>
      <c r="W4" s="772">
        <v>2044</v>
      </c>
      <c r="X4" s="772">
        <v>2045</v>
      </c>
      <c r="Y4" s="772">
        <v>2046</v>
      </c>
      <c r="Z4" s="772">
        <v>2047</v>
      </c>
      <c r="AA4" s="772">
        <v>2048</v>
      </c>
      <c r="AB4" s="772">
        <v>2049</v>
      </c>
      <c r="AC4" s="772">
        <v>2050</v>
      </c>
      <c r="AD4" s="772">
        <v>2051</v>
      </c>
      <c r="AE4" s="772">
        <v>2052</v>
      </c>
      <c r="AF4" s="772">
        <v>2053</v>
      </c>
      <c r="AG4" s="772">
        <v>2054</v>
      </c>
      <c r="AH4" s="772">
        <v>2055</v>
      </c>
      <c r="AI4" s="772">
        <v>2056</v>
      </c>
      <c r="AJ4" s="772">
        <v>2057</v>
      </c>
      <c r="AK4" s="772">
        <v>2058</v>
      </c>
      <c r="AL4" s="772">
        <v>2059</v>
      </c>
      <c r="AM4" s="772">
        <v>2060</v>
      </c>
    </row>
    <row r="5" spans="1:40" s="8" customFormat="1">
      <c r="A5" s="2"/>
      <c r="C5" s="49"/>
      <c r="D5" s="772" t="s">
        <v>224</v>
      </c>
      <c r="E5" s="772" t="s">
        <v>84</v>
      </c>
      <c r="F5" s="772" t="s">
        <v>86</v>
      </c>
      <c r="G5" s="772" t="s">
        <v>92</v>
      </c>
      <c r="H5" s="772" t="s">
        <v>93</v>
      </c>
      <c r="I5" s="772" t="s">
        <v>94</v>
      </c>
      <c r="J5" s="772" t="s">
        <v>95</v>
      </c>
      <c r="K5" s="772" t="s">
        <v>96</v>
      </c>
      <c r="L5" s="772" t="s">
        <v>97</v>
      </c>
      <c r="M5" s="772" t="s">
        <v>98</v>
      </c>
      <c r="N5" s="772" t="s">
        <v>99</v>
      </c>
      <c r="O5" s="772" t="s">
        <v>100</v>
      </c>
      <c r="P5" s="772" t="s">
        <v>101</v>
      </c>
      <c r="Q5" s="772" t="s">
        <v>102</v>
      </c>
      <c r="R5" s="772" t="s">
        <v>103</v>
      </c>
      <c r="S5" s="772" t="s">
        <v>104</v>
      </c>
      <c r="T5" s="772" t="s">
        <v>105</v>
      </c>
      <c r="U5" s="772" t="s">
        <v>106</v>
      </c>
      <c r="V5" s="772" t="s">
        <v>107</v>
      </c>
      <c r="W5" s="772" t="s">
        <v>108</v>
      </c>
      <c r="X5" s="772" t="s">
        <v>109</v>
      </c>
      <c r="Y5" s="772" t="s">
        <v>110</v>
      </c>
      <c r="Z5" s="772" t="s">
        <v>111</v>
      </c>
      <c r="AA5" s="772" t="s">
        <v>112</v>
      </c>
      <c r="AB5" s="772" t="s">
        <v>113</v>
      </c>
      <c r="AC5" s="772" t="s">
        <v>114</v>
      </c>
      <c r="AD5" s="772" t="s">
        <v>115</v>
      </c>
      <c r="AE5" s="772" t="s">
        <v>116</v>
      </c>
      <c r="AF5" s="772" t="s">
        <v>117</v>
      </c>
      <c r="AG5" s="772" t="s">
        <v>118</v>
      </c>
      <c r="AH5" s="772" t="s">
        <v>119</v>
      </c>
      <c r="AI5" s="772" t="s">
        <v>120</v>
      </c>
      <c r="AJ5" s="772" t="s">
        <v>121</v>
      </c>
      <c r="AK5" s="772" t="s">
        <v>122</v>
      </c>
      <c r="AL5" s="772" t="s">
        <v>123</v>
      </c>
      <c r="AM5" s="772" t="s">
        <v>124</v>
      </c>
      <c r="AN5" s="772" t="s">
        <v>483</v>
      </c>
    </row>
    <row r="6" spans="1:40" s="8" customFormat="1">
      <c r="A6" s="2"/>
      <c r="C6" s="772" t="s">
        <v>484</v>
      </c>
      <c r="D6" s="680">
        <v>0</v>
      </c>
      <c r="E6" s="680">
        <v>0</v>
      </c>
      <c r="F6" s="680">
        <v>0</v>
      </c>
      <c r="G6" s="680">
        <f t="shared" ref="G6:AM6" si="0">$D$21</f>
        <v>6892816.8338978458</v>
      </c>
      <c r="H6" s="680">
        <f t="shared" si="0"/>
        <v>6892816.8338978458</v>
      </c>
      <c r="I6" s="680">
        <f t="shared" si="0"/>
        <v>6892816.8338978458</v>
      </c>
      <c r="J6" s="680">
        <f t="shared" si="0"/>
        <v>6892816.8338978458</v>
      </c>
      <c r="K6" s="680">
        <f t="shared" si="0"/>
        <v>6892816.8338978458</v>
      </c>
      <c r="L6" s="680">
        <f t="shared" si="0"/>
        <v>6892816.8338978458</v>
      </c>
      <c r="M6" s="680">
        <f t="shared" si="0"/>
        <v>6892816.8338978458</v>
      </c>
      <c r="N6" s="680">
        <f t="shared" si="0"/>
        <v>6892816.8338978458</v>
      </c>
      <c r="O6" s="680">
        <f t="shared" si="0"/>
        <v>6892816.8338978458</v>
      </c>
      <c r="P6" s="680">
        <f t="shared" si="0"/>
        <v>6892816.8338978458</v>
      </c>
      <c r="Q6" s="680">
        <f t="shared" si="0"/>
        <v>6892816.8338978458</v>
      </c>
      <c r="R6" s="680">
        <f t="shared" si="0"/>
        <v>6892816.8338978458</v>
      </c>
      <c r="S6" s="680">
        <f t="shared" si="0"/>
        <v>6892816.8338978458</v>
      </c>
      <c r="T6" s="680">
        <f t="shared" si="0"/>
        <v>6892816.8338978458</v>
      </c>
      <c r="U6" s="680">
        <f t="shared" si="0"/>
        <v>6892816.8338978458</v>
      </c>
      <c r="V6" s="680">
        <f t="shared" si="0"/>
        <v>6892816.8338978458</v>
      </c>
      <c r="W6" s="680">
        <f t="shared" si="0"/>
        <v>6892816.8338978458</v>
      </c>
      <c r="X6" s="680">
        <f t="shared" si="0"/>
        <v>6892816.8338978458</v>
      </c>
      <c r="Y6" s="680">
        <f t="shared" si="0"/>
        <v>6892816.8338978458</v>
      </c>
      <c r="Z6" s="680">
        <f t="shared" si="0"/>
        <v>6892816.8338978458</v>
      </c>
      <c r="AA6" s="680">
        <f t="shared" si="0"/>
        <v>6892816.8338978458</v>
      </c>
      <c r="AB6" s="680">
        <f t="shared" si="0"/>
        <v>6892816.8338978458</v>
      </c>
      <c r="AC6" s="680">
        <f t="shared" si="0"/>
        <v>6892816.8338978458</v>
      </c>
      <c r="AD6" s="680">
        <f t="shared" si="0"/>
        <v>6892816.8338978458</v>
      </c>
      <c r="AE6" s="680">
        <f t="shared" si="0"/>
        <v>6892816.8338978458</v>
      </c>
      <c r="AF6" s="680">
        <f t="shared" si="0"/>
        <v>6892816.8338978458</v>
      </c>
      <c r="AG6" s="680">
        <f t="shared" si="0"/>
        <v>6892816.8338978458</v>
      </c>
      <c r="AH6" s="680">
        <f t="shared" si="0"/>
        <v>6892816.8338978458</v>
      </c>
      <c r="AI6" s="680">
        <f t="shared" si="0"/>
        <v>6892816.8338978458</v>
      </c>
      <c r="AJ6" s="680">
        <f t="shared" si="0"/>
        <v>6892816.8338978458</v>
      </c>
      <c r="AK6" s="680">
        <f t="shared" si="0"/>
        <v>6892816.8338978458</v>
      </c>
      <c r="AL6" s="680">
        <f t="shared" si="0"/>
        <v>6892816.8338978458</v>
      </c>
      <c r="AM6" s="680">
        <f t="shared" si="0"/>
        <v>6892816.8338978458</v>
      </c>
      <c r="AN6" s="50">
        <f>SUM(E6:AM6)</f>
        <v>227462955.51862907</v>
      </c>
    </row>
    <row r="7" spans="1:40">
      <c r="E7" s="55"/>
    </row>
    <row r="9" spans="1:40" ht="14.45" thickBot="1">
      <c r="C9" s="802" t="s">
        <v>485</v>
      </c>
      <c r="D9" s="802"/>
      <c r="E9" s="52" t="s">
        <v>486</v>
      </c>
    </row>
    <row r="10" spans="1:40" ht="14.45" thickBot="1">
      <c r="C10" s="452" t="s">
        <v>487</v>
      </c>
      <c r="D10" s="14">
        <f>IF('INPUTS&amp;OUTPUTS'!K15="Sim",D37,0)</f>
        <v>1597347.1226391527</v>
      </c>
      <c r="E10" s="54">
        <f t="shared" ref="E10:E21" si="1">D10/$D$21</f>
        <v>0.23174083413672589</v>
      </c>
    </row>
    <row r="11" spans="1:40" ht="14.45" thickBot="1">
      <c r="C11" s="452" t="s">
        <v>488</v>
      </c>
      <c r="D11" s="14">
        <f>IF('INPUTS&amp;OUTPUTS'!K16="Sim",D72,0)</f>
        <v>1713360</v>
      </c>
      <c r="E11" s="54">
        <f t="shared" si="1"/>
        <v>0.2485718163253593</v>
      </c>
    </row>
    <row r="12" spans="1:40" ht="14.45" thickBot="1">
      <c r="C12" s="452" t="s">
        <v>23</v>
      </c>
      <c r="D12" s="14">
        <f>IF('INPUTS&amp;OUTPUTS'!K17="Sim",D100,0)</f>
        <v>437213.14755885396</v>
      </c>
      <c r="E12" s="54">
        <f t="shared" si="1"/>
        <v>6.3430257628304426E-2</v>
      </c>
    </row>
    <row r="13" spans="1:40" ht="14.45" thickBot="1">
      <c r="C13" s="452" t="s">
        <v>26</v>
      </c>
      <c r="D13" s="14">
        <f>IF('INPUTS&amp;OUTPUTS'!K18="Sim",E301+E302,0)</f>
        <v>116093.26993931292</v>
      </c>
      <c r="E13" s="54">
        <f t="shared" si="1"/>
        <v>1.6842645428844637E-2</v>
      </c>
    </row>
    <row r="14" spans="1:40" ht="14.45" thickBot="1">
      <c r="C14" s="452" t="s">
        <v>29</v>
      </c>
      <c r="D14" s="14">
        <f>IF('INPUTS&amp;OUTPUTS'!K19="Sim",SUM(H330:H332),0)</f>
        <v>1608768</v>
      </c>
      <c r="E14" s="54">
        <f t="shared" si="1"/>
        <v>0.23339775867658616</v>
      </c>
    </row>
    <row r="15" spans="1:40" ht="14.45" thickBot="1">
      <c r="C15" s="452" t="s">
        <v>32</v>
      </c>
      <c r="D15" s="14">
        <f>IF('INPUTS&amp;OUTPUTS'!K20="Sim",D149,0)</f>
        <v>69009.812903575992</v>
      </c>
      <c r="E15" s="54">
        <f t="shared" si="1"/>
        <v>1.0011844876567156E-2</v>
      </c>
      <c r="G15" s="55"/>
    </row>
    <row r="16" spans="1:40" ht="14.45" thickBot="1">
      <c r="C16" s="452" t="s">
        <v>35</v>
      </c>
      <c r="D16" s="14">
        <f>IF('INPUTS&amp;OUTPUTS'!K21="Sim",D185,0)</f>
        <v>145741.88413566441</v>
      </c>
      <c r="E16" s="54">
        <f t="shared" si="1"/>
        <v>2.1144023937924413E-2</v>
      </c>
    </row>
    <row r="17" spans="1:9" ht="14.45" thickBot="1">
      <c r="C17" s="452" t="s">
        <v>38</v>
      </c>
      <c r="D17" s="14">
        <f>IF('INPUTS&amp;OUTPUTS'!K22="Sim",D217,0)</f>
        <v>484727.19094532356</v>
      </c>
      <c r="E17" s="54">
        <f t="shared" si="1"/>
        <v>7.0323527032012154E-2</v>
      </c>
    </row>
    <row r="18" spans="1:9" ht="14.45" thickBot="1">
      <c r="C18" s="452" t="s">
        <v>40</v>
      </c>
      <c r="D18" s="14">
        <f>IF('INPUTS&amp;OUTPUTS'!K23="Sim",D237,0)</f>
        <v>436156.18803437299</v>
      </c>
      <c r="E18" s="54">
        <f t="shared" si="1"/>
        <v>6.3276915453406773E-2</v>
      </c>
    </row>
    <row r="19" spans="1:9" ht="14.45" thickBot="1">
      <c r="C19" s="452" t="s">
        <v>42</v>
      </c>
      <c r="D19" s="14">
        <f>D271</f>
        <v>284400.21774158976</v>
      </c>
      <c r="E19" s="54">
        <f t="shared" si="1"/>
        <v>4.1260376504269183E-2</v>
      </c>
    </row>
    <row r="20" spans="1:9" ht="14.45" thickBot="1">
      <c r="C20" s="452" t="s">
        <v>489</v>
      </c>
      <c r="D20" s="14">
        <v>0</v>
      </c>
      <c r="E20" s="54">
        <f t="shared" si="1"/>
        <v>0</v>
      </c>
    </row>
    <row r="21" spans="1:9" ht="14.45" thickBot="1">
      <c r="C21" s="452" t="s">
        <v>479</v>
      </c>
      <c r="D21" s="14">
        <f>SUM(D10:D19)</f>
        <v>6892816.8338978458</v>
      </c>
      <c r="E21" s="54">
        <f t="shared" si="1"/>
        <v>1</v>
      </c>
    </row>
    <row r="22" spans="1:9">
      <c r="C22" s="453" t="s">
        <v>483</v>
      </c>
      <c r="D22" s="14">
        <f>AN6</f>
        <v>227462955.51862907</v>
      </c>
    </row>
    <row r="24" spans="1:9">
      <c r="D24" s="6"/>
    </row>
    <row r="25" spans="1:9" s="5" customFormat="1" ht="15.75" customHeight="1">
      <c r="A25" s="2"/>
      <c r="C25" s="805" t="s">
        <v>490</v>
      </c>
    </row>
    <row r="26" spans="1:9" s="5" customFormat="1" ht="15" customHeight="1">
      <c r="A26" s="2"/>
      <c r="C26" s="805"/>
    </row>
    <row r="27" spans="1:9" outlineLevel="1"/>
    <row r="28" spans="1:9" outlineLevel="1"/>
    <row r="29" spans="1:9" ht="15.75" customHeight="1" outlineLevel="1">
      <c r="C29" s="806" t="s">
        <v>491</v>
      </c>
      <c r="D29" s="806"/>
    </row>
    <row r="30" spans="1:9" outlineLevel="1">
      <c r="C30" s="776" t="s">
        <v>492</v>
      </c>
      <c r="D30" s="14">
        <f>AVERAGE((AVERAGE('Aux. Receita'!G56:G75)),'Aux. Receita'!P65)*'Aux. Receita'!D78</f>
        <v>130.35519752675521</v>
      </c>
    </row>
    <row r="31" spans="1:9" outlineLevel="1">
      <c r="C31" s="776" t="s">
        <v>493</v>
      </c>
      <c r="D31" s="14">
        <f>_xlfn.PERCENTILE.INC('Aux. Receita'!G51:G55,0.75)</f>
        <v>32.5</v>
      </c>
    </row>
    <row r="32" spans="1:9" outlineLevel="1">
      <c r="C32" s="776" t="s">
        <v>494</v>
      </c>
      <c r="D32" s="530">
        <v>28.56</v>
      </c>
      <c r="G32" s="414"/>
      <c r="H32" s="414"/>
      <c r="I32" s="414"/>
    </row>
    <row r="33" spans="3:18" outlineLevel="1">
      <c r="G33" s="414"/>
      <c r="H33" s="414"/>
      <c r="I33" s="414"/>
    </row>
    <row r="34" spans="3:18" outlineLevel="1">
      <c r="G34" s="414"/>
      <c r="H34" s="414"/>
      <c r="I34" s="414"/>
    </row>
    <row r="35" spans="3:18" ht="14.45" outlineLevel="1" thickBot="1">
      <c r="C35" s="802" t="s">
        <v>495</v>
      </c>
      <c r="D35" s="802"/>
      <c r="G35" s="414"/>
      <c r="H35" s="414"/>
      <c r="I35" s="414"/>
    </row>
    <row r="36" spans="3:18" ht="14.45" outlineLevel="1" thickBot="1">
      <c r="C36" s="22" t="s">
        <v>60</v>
      </c>
      <c r="D36" s="14">
        <f>SUM(H43:H50)</f>
        <v>133112.26021992939</v>
      </c>
      <c r="G36" s="414"/>
      <c r="H36" s="414"/>
      <c r="I36" s="414"/>
    </row>
    <row r="37" spans="3:18" ht="14.45" outlineLevel="1" thickBot="1">
      <c r="C37" s="22" t="s">
        <v>57</v>
      </c>
      <c r="D37" s="14">
        <f>D36*12</f>
        <v>1597347.1226391527</v>
      </c>
      <c r="G37" s="414"/>
      <c r="H37" s="414"/>
      <c r="I37" s="414"/>
    </row>
    <row r="38" spans="3:18" outlineLevel="1">
      <c r="G38" s="414"/>
      <c r="H38" s="414"/>
      <c r="I38" s="414"/>
    </row>
    <row r="39" spans="3:18" outlineLevel="1"/>
    <row r="40" spans="3:18" outlineLevel="1"/>
    <row r="41" spans="3:18" ht="15.75" customHeight="1" outlineLevel="1">
      <c r="C41" s="807" t="s">
        <v>496</v>
      </c>
      <c r="D41" s="807"/>
      <c r="E41" s="807"/>
      <c r="F41" s="807"/>
      <c r="G41" s="807"/>
      <c r="H41" s="807"/>
    </row>
    <row r="42" spans="3:18" outlineLevel="1">
      <c r="C42" s="10" t="s">
        <v>497</v>
      </c>
      <c r="D42" s="457" t="s">
        <v>498</v>
      </c>
      <c r="E42" s="457" t="s">
        <v>499</v>
      </c>
      <c r="F42" s="457" t="s">
        <v>490</v>
      </c>
      <c r="G42" s="457" t="s">
        <v>500</v>
      </c>
      <c r="H42" s="457" t="s">
        <v>501</v>
      </c>
    </row>
    <row r="43" spans="3:18" outlineLevel="1">
      <c r="C43" s="10" t="s">
        <v>502</v>
      </c>
      <c r="D43" s="11">
        <v>8</v>
      </c>
      <c r="E43" s="11">
        <v>24</v>
      </c>
      <c r="F43" s="619">
        <f t="shared" ref="F43:F50" si="2">IF(E43&lt;100,$D$30,IF(E43&lt;300,$D$31,$D$32))</f>
        <v>130.35519752675521</v>
      </c>
      <c r="G43" s="12">
        <f t="shared" ref="G43:G50" si="3">F43*E43</f>
        <v>3128.5247406421249</v>
      </c>
      <c r="H43" s="12">
        <f>G43*D43</f>
        <v>25028.197925136999</v>
      </c>
      <c r="K43" s="6"/>
    </row>
    <row r="44" spans="3:18" outlineLevel="1">
      <c r="C44" s="10" t="s">
        <v>503</v>
      </c>
      <c r="D44" s="11">
        <v>2</v>
      </c>
      <c r="E44" s="11">
        <v>33</v>
      </c>
      <c r="F44" s="619">
        <f t="shared" si="2"/>
        <v>130.35519752675521</v>
      </c>
      <c r="G44" s="12">
        <f t="shared" si="3"/>
        <v>4301.7215183829221</v>
      </c>
      <c r="H44" s="12">
        <f t="shared" ref="H44:H50" si="4">G44*D44</f>
        <v>8603.4430367658442</v>
      </c>
      <c r="K44" s="6"/>
      <c r="R44" s="6"/>
    </row>
    <row r="45" spans="3:18" outlineLevel="1">
      <c r="C45" s="10" t="s">
        <v>504</v>
      </c>
      <c r="D45" s="11">
        <v>1</v>
      </c>
      <c r="E45" s="11">
        <v>125</v>
      </c>
      <c r="F45" s="619">
        <f t="shared" si="2"/>
        <v>32.5</v>
      </c>
      <c r="G45" s="12">
        <f t="shared" si="3"/>
        <v>4062.5</v>
      </c>
      <c r="H45" s="12">
        <f t="shared" si="4"/>
        <v>4062.5</v>
      </c>
      <c r="K45" s="6"/>
    </row>
    <row r="46" spans="3:18" outlineLevel="1">
      <c r="C46" s="10" t="s">
        <v>505</v>
      </c>
      <c r="D46" s="11">
        <v>1</v>
      </c>
      <c r="E46" s="11">
        <v>150</v>
      </c>
      <c r="F46" s="619">
        <f t="shared" si="2"/>
        <v>32.5</v>
      </c>
      <c r="G46" s="12">
        <f t="shared" si="3"/>
        <v>4875</v>
      </c>
      <c r="H46" s="12">
        <f t="shared" si="4"/>
        <v>4875</v>
      </c>
      <c r="K46" s="6"/>
    </row>
    <row r="47" spans="3:18" outlineLevel="1">
      <c r="C47" s="457" t="s">
        <v>506</v>
      </c>
      <c r="D47" s="11">
        <v>1</v>
      </c>
      <c r="E47" s="11">
        <v>486</v>
      </c>
      <c r="F47" s="619">
        <f t="shared" si="2"/>
        <v>28.56</v>
      </c>
      <c r="G47" s="12">
        <f t="shared" si="3"/>
        <v>13880.16</v>
      </c>
      <c r="H47" s="12">
        <f t="shared" si="4"/>
        <v>13880.16</v>
      </c>
      <c r="K47" s="6"/>
    </row>
    <row r="48" spans="3:18" outlineLevel="1">
      <c r="C48" s="457" t="s">
        <v>507</v>
      </c>
      <c r="D48" s="11">
        <v>1</v>
      </c>
      <c r="E48" s="11">
        <v>315</v>
      </c>
      <c r="F48" s="619">
        <f t="shared" si="2"/>
        <v>28.56</v>
      </c>
      <c r="G48" s="12">
        <f t="shared" si="3"/>
        <v>8996.4</v>
      </c>
      <c r="H48" s="12">
        <f t="shared" si="4"/>
        <v>8996.4</v>
      </c>
      <c r="K48" s="6"/>
    </row>
    <row r="49" spans="1:11" outlineLevel="1">
      <c r="C49" s="457" t="s">
        <v>508</v>
      </c>
      <c r="D49" s="11">
        <v>6</v>
      </c>
      <c r="E49" s="11">
        <v>50</v>
      </c>
      <c r="F49" s="619">
        <f t="shared" si="2"/>
        <v>130.35519752675521</v>
      </c>
      <c r="G49" s="12">
        <f t="shared" si="3"/>
        <v>6517.75987633776</v>
      </c>
      <c r="H49" s="12">
        <f t="shared" si="4"/>
        <v>39106.559258026558</v>
      </c>
      <c r="K49" s="6"/>
    </row>
    <row r="50" spans="1:11" outlineLevel="1">
      <c r="C50" s="457" t="s">
        <v>509</v>
      </c>
      <c r="D50" s="11">
        <v>1</v>
      </c>
      <c r="E50" s="11">
        <v>1000</v>
      </c>
      <c r="F50" s="619">
        <f t="shared" si="2"/>
        <v>28.56</v>
      </c>
      <c r="G50" s="12">
        <f t="shared" si="3"/>
        <v>28560</v>
      </c>
      <c r="H50" s="12">
        <f t="shared" si="4"/>
        <v>28560</v>
      </c>
      <c r="K50" s="6"/>
    </row>
    <row r="52" spans="1:11" s="5" customFormat="1">
      <c r="A52" s="2"/>
      <c r="C52" s="805" t="s">
        <v>510</v>
      </c>
    </row>
    <row r="53" spans="1:11" s="5" customFormat="1">
      <c r="A53" s="2"/>
      <c r="C53" s="805"/>
    </row>
    <row r="54" spans="1:11" outlineLevel="1"/>
    <row r="55" spans="1:11" outlineLevel="1"/>
    <row r="56" spans="1:11" ht="14.45" outlineLevel="1" thickBot="1">
      <c r="C56" s="806" t="s">
        <v>511</v>
      </c>
      <c r="D56" s="806"/>
    </row>
    <row r="57" spans="1:11" outlineLevel="1">
      <c r="C57" s="776" t="s">
        <v>512</v>
      </c>
      <c r="D57" s="275"/>
    </row>
    <row r="58" spans="1:11" outlineLevel="1">
      <c r="C58" s="293" t="s">
        <v>513</v>
      </c>
      <c r="D58" s="336">
        <v>4</v>
      </c>
    </row>
    <row r="59" spans="1:11" outlineLevel="1">
      <c r="C59" s="293" t="s">
        <v>514</v>
      </c>
      <c r="D59" s="336">
        <v>8</v>
      </c>
    </row>
    <row r="60" spans="1:11" outlineLevel="1">
      <c r="C60" s="293" t="s">
        <v>515</v>
      </c>
      <c r="D60" s="336">
        <v>1</v>
      </c>
    </row>
    <row r="61" spans="1:11" outlineLevel="1">
      <c r="C61" s="293" t="s">
        <v>516</v>
      </c>
      <c r="D61" s="336">
        <f>D60*4</f>
        <v>4</v>
      </c>
    </row>
    <row r="62" spans="1:11" outlineLevel="1">
      <c r="C62" s="293" t="s">
        <v>517</v>
      </c>
      <c r="D62" s="335"/>
    </row>
    <row r="63" spans="1:11" outlineLevel="1">
      <c r="C63" s="293" t="s">
        <v>518</v>
      </c>
      <c r="D63" s="335"/>
    </row>
    <row r="64" spans="1:11" outlineLevel="1">
      <c r="C64" s="293" t="s">
        <v>519</v>
      </c>
      <c r="D64" s="337">
        <f>SUM(D65:D66)</f>
        <v>30</v>
      </c>
    </row>
    <row r="65" spans="3:19" outlineLevel="1">
      <c r="C65" s="293" t="s">
        <v>520</v>
      </c>
      <c r="D65" s="337">
        <f>(3*4)+1</f>
        <v>13</v>
      </c>
      <c r="H65" s="6"/>
    </row>
    <row r="66" spans="3:19" outlineLevel="1">
      <c r="C66" s="293" t="s">
        <v>521</v>
      </c>
      <c r="D66" s="337">
        <f>(4*4)+1</f>
        <v>17</v>
      </c>
      <c r="H66" s="6"/>
    </row>
    <row r="67" spans="3:19" outlineLevel="1">
      <c r="C67" s="293" t="s">
        <v>522</v>
      </c>
      <c r="D67" s="335"/>
      <c r="H67" s="6"/>
      <c r="I67" s="6"/>
      <c r="J67" s="6"/>
    </row>
    <row r="68" spans="3:19" outlineLevel="1">
      <c r="H68" s="6"/>
    </row>
    <row r="69" spans="3:19" ht="14.45" outlineLevel="1" thickBot="1">
      <c r="C69" s="802" t="s">
        <v>523</v>
      </c>
      <c r="D69" s="802"/>
      <c r="H69" s="6"/>
      <c r="I69" s="6"/>
    </row>
    <row r="70" spans="3:19" ht="14.45" outlineLevel="1" thickBot="1">
      <c r="C70" s="22" t="s">
        <v>247</v>
      </c>
      <c r="D70" s="14">
        <f>D71/30</f>
        <v>4759.333333333333</v>
      </c>
      <c r="G70" s="35"/>
      <c r="H70" s="6"/>
      <c r="I70" s="6"/>
      <c r="J70" s="6"/>
      <c r="K70" s="6"/>
    </row>
    <row r="71" spans="3:19" ht="14.45" outlineLevel="1" thickBot="1">
      <c r="C71" s="22" t="s">
        <v>60</v>
      </c>
      <c r="D71" s="14">
        <f>SUM(J76:J81)</f>
        <v>142780</v>
      </c>
      <c r="H71" s="6"/>
      <c r="I71" s="6"/>
      <c r="J71" s="6"/>
      <c r="K71" s="6"/>
    </row>
    <row r="72" spans="3:19" ht="15" outlineLevel="1" thickBot="1">
      <c r="C72" s="22" t="s">
        <v>57</v>
      </c>
      <c r="D72" s="14">
        <f>D71*12</f>
        <v>1713360</v>
      </c>
      <c r="I72" s="6"/>
      <c r="K72"/>
      <c r="L72"/>
      <c r="M72"/>
      <c r="N72"/>
      <c r="O72"/>
      <c r="P72"/>
      <c r="Q72"/>
      <c r="R72"/>
      <c r="S72"/>
    </row>
    <row r="73" spans="3:19" ht="14.45" outlineLevel="1">
      <c r="K73"/>
      <c r="L73"/>
      <c r="M73"/>
      <c r="N73"/>
      <c r="O73"/>
      <c r="P73"/>
      <c r="Q73"/>
      <c r="R73"/>
      <c r="S73"/>
    </row>
    <row r="74" spans="3:19" ht="14.45" outlineLevel="1">
      <c r="C74" s="793" t="s">
        <v>524</v>
      </c>
      <c r="D74" s="793"/>
      <c r="E74" s="793"/>
      <c r="F74" s="793"/>
      <c r="G74" s="793"/>
      <c r="H74" s="793"/>
      <c r="I74" s="793"/>
      <c r="J74" s="793"/>
      <c r="K74"/>
      <c r="L74"/>
      <c r="M74"/>
      <c r="N74"/>
      <c r="O74"/>
      <c r="P74"/>
      <c r="Q74"/>
      <c r="R74"/>
      <c r="S74"/>
    </row>
    <row r="75" spans="3:19" ht="15" outlineLevel="1" thickBot="1">
      <c r="C75" s="22" t="s">
        <v>497</v>
      </c>
      <c r="D75" s="22" t="s">
        <v>525</v>
      </c>
      <c r="E75" s="22" t="s">
        <v>526</v>
      </c>
      <c r="F75" s="22" t="s">
        <v>513</v>
      </c>
      <c r="G75" s="22" t="s">
        <v>514</v>
      </c>
      <c r="H75" s="22" t="s">
        <v>527</v>
      </c>
      <c r="I75" s="22" t="s">
        <v>528</v>
      </c>
      <c r="J75" s="22" t="s">
        <v>529</v>
      </c>
      <c r="K75"/>
      <c r="L75"/>
      <c r="M75"/>
      <c r="N75"/>
      <c r="O75"/>
      <c r="P75"/>
      <c r="Q75"/>
      <c r="R75"/>
      <c r="S75"/>
    </row>
    <row r="76" spans="3:19" ht="15" outlineLevel="1" thickBot="1">
      <c r="C76" s="22" t="s">
        <v>530</v>
      </c>
      <c r="D76" s="311">
        <v>2</v>
      </c>
      <c r="E76" s="14">
        <v>60</v>
      </c>
      <c r="F76" s="412">
        <f>D58</f>
        <v>4</v>
      </c>
      <c r="G76" s="311">
        <v>8</v>
      </c>
      <c r="H76" s="14">
        <f>F76*E76*D76</f>
        <v>480</v>
      </c>
      <c r="I76" s="14">
        <f>G76*E76*D76</f>
        <v>960</v>
      </c>
      <c r="J76" s="454">
        <f>(H76*$D$65)+(I76*$D$66)</f>
        <v>22560</v>
      </c>
      <c r="K76"/>
      <c r="L76"/>
      <c r="M76"/>
      <c r="N76"/>
      <c r="O76"/>
      <c r="P76"/>
      <c r="Q76"/>
      <c r="R76"/>
      <c r="S76"/>
    </row>
    <row r="77" spans="3:19" ht="15" outlineLevel="1" thickBot="1">
      <c r="C77" s="22" t="s">
        <v>531</v>
      </c>
      <c r="D77" s="311">
        <v>1</v>
      </c>
      <c r="E77" s="14">
        <v>125</v>
      </c>
      <c r="F77" s="412">
        <f>D58</f>
        <v>4</v>
      </c>
      <c r="G77" s="311">
        <v>8</v>
      </c>
      <c r="H77" s="14">
        <f t="shared" ref="H77:H81" si="5">F77*E77*D77</f>
        <v>500</v>
      </c>
      <c r="I77" s="14">
        <f t="shared" ref="I77:I81" si="6">G77*E77*D77</f>
        <v>1000</v>
      </c>
      <c r="J77" s="454">
        <f t="shared" ref="J77:J81" si="7">(H77*$D$65)+(I77*$D$66)</f>
        <v>23500</v>
      </c>
      <c r="K77"/>
      <c r="L77"/>
      <c r="M77"/>
      <c r="N77"/>
      <c r="O77"/>
      <c r="P77"/>
      <c r="Q77"/>
      <c r="R77"/>
      <c r="S77"/>
    </row>
    <row r="78" spans="3:19" ht="15" outlineLevel="1" thickBot="1">
      <c r="C78" s="22" t="s">
        <v>532</v>
      </c>
      <c r="D78" s="311">
        <v>8</v>
      </c>
      <c r="E78" s="14">
        <v>60</v>
      </c>
      <c r="F78" s="412">
        <f>D58</f>
        <v>4</v>
      </c>
      <c r="G78" s="311">
        <v>8</v>
      </c>
      <c r="H78" s="14">
        <f t="shared" si="5"/>
        <v>1920</v>
      </c>
      <c r="I78" s="14">
        <f t="shared" si="6"/>
        <v>3840</v>
      </c>
      <c r="J78" s="454">
        <f t="shared" si="7"/>
        <v>90240</v>
      </c>
      <c r="K78"/>
      <c r="L78"/>
      <c r="M78"/>
      <c r="N78"/>
      <c r="O78"/>
      <c r="P78"/>
      <c r="Q78"/>
      <c r="R78"/>
      <c r="S78"/>
    </row>
    <row r="79" spans="3:19" ht="14.45" outlineLevel="1" thickBot="1">
      <c r="C79" s="22" t="s">
        <v>533</v>
      </c>
      <c r="D79" s="311">
        <v>1</v>
      </c>
      <c r="E79" s="14">
        <v>0</v>
      </c>
      <c r="F79" s="311">
        <v>4</v>
      </c>
      <c r="G79" s="311">
        <v>10</v>
      </c>
      <c r="H79" s="14">
        <f t="shared" si="5"/>
        <v>0</v>
      </c>
      <c r="I79" s="14">
        <f t="shared" si="6"/>
        <v>0</v>
      </c>
      <c r="J79" s="454">
        <f t="shared" si="7"/>
        <v>0</v>
      </c>
      <c r="K79" s="21"/>
      <c r="L79" s="21"/>
      <c r="M79" s="21"/>
      <c r="N79" s="21"/>
      <c r="O79" s="21"/>
      <c r="P79" s="21"/>
    </row>
    <row r="80" spans="3:19" ht="14.45" outlineLevel="1" thickBot="1">
      <c r="C80" s="22" t="s">
        <v>534</v>
      </c>
      <c r="D80" s="311">
        <v>1</v>
      </c>
      <c r="E80" s="14">
        <v>80</v>
      </c>
      <c r="F80" s="412">
        <f>D60</f>
        <v>1</v>
      </c>
      <c r="G80" s="311">
        <f>D61</f>
        <v>4</v>
      </c>
      <c r="H80" s="14">
        <f t="shared" si="5"/>
        <v>80</v>
      </c>
      <c r="I80" s="14">
        <f t="shared" si="6"/>
        <v>320</v>
      </c>
      <c r="J80" s="454">
        <f t="shared" si="7"/>
        <v>6480</v>
      </c>
      <c r="K80" s="210"/>
      <c r="L80" s="210"/>
      <c r="M80" s="21"/>
      <c r="N80" s="21"/>
      <c r="O80" s="21"/>
      <c r="P80" s="21"/>
    </row>
    <row r="81" spans="1:16" ht="14.45" outlineLevel="1" thickBot="1">
      <c r="C81" s="22" t="s">
        <v>535</v>
      </c>
      <c r="D81" s="311">
        <v>1</v>
      </c>
      <c r="E81" s="14">
        <v>0</v>
      </c>
      <c r="F81" s="311">
        <v>0</v>
      </c>
      <c r="G81" s="28">
        <v>0</v>
      </c>
      <c r="H81" s="14">
        <f t="shared" si="5"/>
        <v>0</v>
      </c>
      <c r="I81" s="14">
        <f t="shared" si="6"/>
        <v>0</v>
      </c>
      <c r="J81" s="454">
        <f t="shared" si="7"/>
        <v>0</v>
      </c>
      <c r="K81" s="21"/>
      <c r="L81" s="21"/>
      <c r="M81" s="21"/>
      <c r="N81" s="21"/>
      <c r="O81" s="21"/>
      <c r="P81" s="21"/>
    </row>
    <row r="82" spans="1:16" outlineLevel="1">
      <c r="C82" s="21"/>
      <c r="D82" s="21"/>
      <c r="E82" s="21"/>
      <c r="F82" s="23"/>
      <c r="G82" s="21"/>
      <c r="H82" s="21"/>
      <c r="I82" s="21"/>
      <c r="J82" s="21"/>
      <c r="K82" s="21"/>
      <c r="L82" s="21"/>
      <c r="M82" s="21"/>
      <c r="N82" s="21"/>
      <c r="O82" s="21"/>
    </row>
    <row r="83" spans="1:16"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</row>
    <row r="84" spans="1:16" s="5" customFormat="1">
      <c r="A84" s="2"/>
      <c r="C84" s="805" t="s">
        <v>536</v>
      </c>
    </row>
    <row r="85" spans="1:16" s="5" customFormat="1" ht="14.25" customHeight="1">
      <c r="A85" s="2"/>
      <c r="C85" s="805"/>
    </row>
    <row r="86" spans="1:16" outlineLevel="1"/>
    <row r="87" spans="1:16" ht="14.45" outlineLevel="1" thickBot="1">
      <c r="C87" s="804" t="s">
        <v>491</v>
      </c>
      <c r="D87" s="804"/>
    </row>
    <row r="88" spans="1:16" outlineLevel="1">
      <c r="C88" s="803" t="s">
        <v>537</v>
      </c>
      <c r="D88" s="803"/>
    </row>
    <row r="89" spans="1:16" outlineLevel="1">
      <c r="C89" s="803" t="s">
        <v>538</v>
      </c>
      <c r="D89" s="803"/>
    </row>
    <row r="90" spans="1:16" outlineLevel="1">
      <c r="C90" s="803" t="s">
        <v>539</v>
      </c>
      <c r="D90" s="803"/>
    </row>
    <row r="91" spans="1:16" outlineLevel="1">
      <c r="C91" s="803" t="s">
        <v>540</v>
      </c>
      <c r="D91" s="803"/>
    </row>
    <row r="92" spans="1:16" outlineLevel="1">
      <c r="C92" s="803" t="s">
        <v>541</v>
      </c>
      <c r="D92" s="803"/>
    </row>
    <row r="93" spans="1:16" outlineLevel="1">
      <c r="C93" s="803" t="s">
        <v>542</v>
      </c>
      <c r="D93" s="803"/>
    </row>
    <row r="94" spans="1:16" outlineLevel="1">
      <c r="C94" s="808" t="s">
        <v>543</v>
      </c>
      <c r="D94" s="808"/>
    </row>
    <row r="95" spans="1:16" outlineLevel="1">
      <c r="C95" s="776" t="s">
        <v>519</v>
      </c>
      <c r="D95" s="776">
        <v>30</v>
      </c>
    </row>
    <row r="96" spans="1:16" outlineLevel="1"/>
    <row r="97" spans="3:15" ht="14.45" outlineLevel="1" thickBot="1">
      <c r="C97" s="811" t="s">
        <v>544</v>
      </c>
      <c r="D97" s="811"/>
    </row>
    <row r="98" spans="3:15" ht="14.45" outlineLevel="1" thickBot="1">
      <c r="C98" s="10" t="s">
        <v>545</v>
      </c>
      <c r="D98" s="12">
        <f>$E$105*$D$119*$D$120</f>
        <v>1214.4809654412609</v>
      </c>
    </row>
    <row r="99" spans="3:15" ht="14.45" outlineLevel="1" thickBot="1">
      <c r="C99" s="10" t="s">
        <v>60</v>
      </c>
      <c r="D99" s="12">
        <f>D98*D95</f>
        <v>36434.428963237828</v>
      </c>
    </row>
    <row r="100" spans="3:15" ht="14.45" outlineLevel="1" thickBot="1">
      <c r="C100" s="10" t="s">
        <v>57</v>
      </c>
      <c r="D100" s="12">
        <f>D99*12</f>
        <v>437213.14755885396</v>
      </c>
    </row>
    <row r="101" spans="3:15" outlineLevel="1"/>
    <row r="102" spans="3:15" outlineLevel="1"/>
    <row r="103" spans="3:15" ht="15" customHeight="1" outlineLevel="1" thickBot="1">
      <c r="C103" s="515" t="s">
        <v>23</v>
      </c>
      <c r="D103" s="515"/>
      <c r="E103" s="515"/>
      <c r="F103" s="515"/>
    </row>
    <row r="104" spans="3:15" ht="14.45" outlineLevel="1" thickBot="1">
      <c r="C104" s="10" t="s">
        <v>497</v>
      </c>
      <c r="D104" s="10" t="s">
        <v>546</v>
      </c>
      <c r="E104" s="10" t="s">
        <v>547</v>
      </c>
    </row>
    <row r="105" spans="3:15" ht="14.45" outlineLevel="1" thickBot="1">
      <c r="C105" s="10" t="s">
        <v>548</v>
      </c>
      <c r="D105" s="11">
        <f>D116</f>
        <v>120</v>
      </c>
      <c r="E105" s="13">
        <f>SUM(N111:N130)</f>
        <v>182.17214481618913</v>
      </c>
    </row>
    <row r="106" spans="3:15" ht="14.45" outlineLevel="1" thickBot="1">
      <c r="C106" s="10" t="s">
        <v>549</v>
      </c>
      <c r="D106" s="11">
        <f>D117</f>
        <v>156</v>
      </c>
      <c r="E106" s="13">
        <f>SUM(O111:O130)</f>
        <v>33.884440008910474</v>
      </c>
    </row>
    <row r="107" spans="3:15" ht="14.45" outlineLevel="1" thickBot="1">
      <c r="C107" s="10" t="s">
        <v>479</v>
      </c>
      <c r="D107" s="11">
        <f>SUM(D105:D106)</f>
        <v>276</v>
      </c>
      <c r="E107" s="13">
        <f>SUM(E105:E106)</f>
        <v>216.05658482509961</v>
      </c>
    </row>
    <row r="108" spans="3:15" outlineLevel="1">
      <c r="E108" s="34"/>
    </row>
    <row r="109" spans="3:15" ht="15" customHeight="1" outlineLevel="1" thickBot="1">
      <c r="F109" s="472"/>
      <c r="G109" s="472"/>
      <c r="H109" s="472"/>
      <c r="I109" s="472"/>
      <c r="J109" s="812" t="s">
        <v>550</v>
      </c>
      <c r="K109" s="813"/>
      <c r="L109" s="814" t="s">
        <v>551</v>
      </c>
      <c r="M109" s="812"/>
    </row>
    <row r="110" spans="3:15" ht="16.149999999999999" outlineLevel="1" thickBot="1">
      <c r="C110" s="425" t="s">
        <v>552</v>
      </c>
      <c r="D110" s="426" t="s">
        <v>553</v>
      </c>
      <c r="E110" s="8"/>
      <c r="F110" s="467" t="s">
        <v>554</v>
      </c>
      <c r="G110" s="467" t="s">
        <v>555</v>
      </c>
      <c r="H110" s="467" t="s">
        <v>556</v>
      </c>
      <c r="I110" s="467" t="s">
        <v>557</v>
      </c>
      <c r="J110" s="467" t="s">
        <v>558</v>
      </c>
      <c r="K110" s="467" t="s">
        <v>559</v>
      </c>
      <c r="L110" s="467" t="s">
        <v>560</v>
      </c>
      <c r="M110" s="467" t="s">
        <v>561</v>
      </c>
      <c r="N110" s="427" t="s">
        <v>562</v>
      </c>
      <c r="O110" s="427" t="s">
        <v>563</v>
      </c>
    </row>
    <row r="111" spans="3:15" ht="16.149999999999999" outlineLevel="1" thickBot="1">
      <c r="C111" s="448" t="s">
        <v>564</v>
      </c>
      <c r="D111" s="421">
        <f>DEMANDA!D7</f>
        <v>905692</v>
      </c>
      <c r="E111" s="8"/>
      <c r="F111" s="469" t="s">
        <v>565</v>
      </c>
      <c r="G111" s="470">
        <f>'Aux. Receita'!E7</f>
        <v>0.20718933333333334</v>
      </c>
      <c r="H111" s="470">
        <f>G111/SUM($G$111:$G$130)</f>
        <v>2.5272527375284695E-2</v>
      </c>
      <c r="I111" s="471">
        <f t="shared" ref="I111:I130" si="8">H111*$D$115</f>
        <v>5.4602959546028504</v>
      </c>
      <c r="J111" s="473">
        <f>1-G111</f>
        <v>0.79281066666666666</v>
      </c>
      <c r="K111" s="473">
        <f>1-J111</f>
        <v>0.20718933333333334</v>
      </c>
      <c r="L111" s="473">
        <f t="shared" ref="L111:L129" si="9">J111-(J111/3)</f>
        <v>0.52854044444444437</v>
      </c>
      <c r="M111" s="473">
        <f t="shared" ref="M111:M130" si="10">1-L111</f>
        <v>0.47145955555555563</v>
      </c>
      <c r="N111" s="471">
        <f>(J111*M111*I111)+(K111*100%*I111)</f>
        <v>3.1722544784282869</v>
      </c>
      <c r="O111" s="471">
        <f t="shared" ref="O111:O130" si="11">J111*L111*I111</f>
        <v>2.288041476174564</v>
      </c>
    </row>
    <row r="112" spans="3:15" ht="16.149999999999999" outlineLevel="1" thickBot="1">
      <c r="C112" s="449" t="s">
        <v>566</v>
      </c>
      <c r="D112" s="422">
        <v>521657</v>
      </c>
      <c r="F112" s="469" t="s">
        <v>567</v>
      </c>
      <c r="G112" s="470">
        <f>'Aux. Receita'!E8</f>
        <v>0.62156800000000001</v>
      </c>
      <c r="H112" s="470">
        <f t="shared" ref="H112:H130" si="12">G112/SUM($G$111:$G$130)</f>
        <v>7.5817582125854086E-2</v>
      </c>
      <c r="I112" s="471">
        <f t="shared" si="8"/>
        <v>16.38088786380855</v>
      </c>
      <c r="J112" s="473">
        <f>1-G112</f>
        <v>0.37843199999999999</v>
      </c>
      <c r="K112" s="473">
        <f t="shared" ref="K112:K130" si="13">1-J112</f>
        <v>0.62156800000000001</v>
      </c>
      <c r="L112" s="473">
        <f t="shared" si="9"/>
        <v>0.25228799999999996</v>
      </c>
      <c r="M112" s="473">
        <f t="shared" si="10"/>
        <v>0.74771200000000004</v>
      </c>
      <c r="N112" s="471">
        <f t="shared" ref="N112:N130" si="14">(J112*M112*I112)+(K112*100%*I112)</f>
        <v>14.816941393456247</v>
      </c>
      <c r="O112" s="471">
        <f t="shared" si="11"/>
        <v>1.5639464703523027</v>
      </c>
    </row>
    <row r="113" spans="3:15" ht="16.149999999999999" outlineLevel="1" thickBot="1">
      <c r="C113" s="448" t="s">
        <v>568</v>
      </c>
      <c r="D113" s="48">
        <f>D112/D111</f>
        <v>0.57597615966575832</v>
      </c>
      <c r="E113" s="33"/>
      <c r="F113" s="469" t="s">
        <v>569</v>
      </c>
      <c r="G113" s="470">
        <f>'Aux. Receita'!E9</f>
        <v>0.58156799999999997</v>
      </c>
      <c r="H113" s="470">
        <f t="shared" si="12"/>
        <v>7.0938464659970765E-2</v>
      </c>
      <c r="I113" s="471">
        <f t="shared" si="8"/>
        <v>15.326722407169306</v>
      </c>
      <c r="J113" s="473">
        <f t="shared" ref="J113:J129" si="15">1-G113</f>
        <v>0.41843200000000003</v>
      </c>
      <c r="K113" s="473">
        <f t="shared" si="13"/>
        <v>0.58156799999999997</v>
      </c>
      <c r="L113" s="473">
        <f t="shared" si="9"/>
        <v>0.27895466666666668</v>
      </c>
      <c r="M113" s="473">
        <f t="shared" si="10"/>
        <v>0.72104533333333332</v>
      </c>
      <c r="N113" s="471">
        <f t="shared" si="14"/>
        <v>13.537732818732449</v>
      </c>
      <c r="O113" s="471">
        <f t="shared" si="11"/>
        <v>1.7889895884368578</v>
      </c>
    </row>
    <row r="114" spans="3:15" ht="16.149999999999999" outlineLevel="1" thickBot="1">
      <c r="C114" s="450" t="s">
        <v>570</v>
      </c>
      <c r="D114" s="423">
        <f>_xlfn.PERCENTILE.EXC((DEMANDA!E26:AW26),0.7)</f>
        <v>375.11376330311708</v>
      </c>
      <c r="E114" s="33"/>
      <c r="F114" s="469" t="s">
        <v>571</v>
      </c>
      <c r="G114" s="470">
        <f>'Aux. Receita'!E10</f>
        <v>0.45821499999999998</v>
      </c>
      <c r="H114" s="470">
        <f t="shared" si="12"/>
        <v>5.589212024074313E-2</v>
      </c>
      <c r="I114" s="471">
        <f t="shared" si="8"/>
        <v>12.075860617848786</v>
      </c>
      <c r="J114" s="473">
        <f t="shared" si="15"/>
        <v>0.54178499999999996</v>
      </c>
      <c r="K114" s="473">
        <f t="shared" si="13"/>
        <v>0.45821500000000004</v>
      </c>
      <c r="L114" s="473">
        <f t="shared" si="9"/>
        <v>0.36119000000000001</v>
      </c>
      <c r="M114" s="473">
        <f t="shared" si="10"/>
        <v>0.63880999999999999</v>
      </c>
      <c r="N114" s="471">
        <f t="shared" si="14"/>
        <v>9.7127677667335917</v>
      </c>
      <c r="O114" s="471">
        <f t="shared" si="11"/>
        <v>2.3630928511151943</v>
      </c>
    </row>
    <row r="115" spans="3:15" ht="16.149999999999999" outlineLevel="1" thickBot="1">
      <c r="C115" s="451" t="s">
        <v>572</v>
      </c>
      <c r="D115" s="424">
        <f>D114*D113</f>
        <v>216.05658482509963</v>
      </c>
      <c r="E115" s="8"/>
      <c r="F115" s="469" t="s">
        <v>573</v>
      </c>
      <c r="G115" s="470">
        <f>'Aux. Receita'!E11</f>
        <v>0.45589300000000005</v>
      </c>
      <c r="H115" s="470">
        <f t="shared" si="12"/>
        <v>5.5608887471848611E-2</v>
      </c>
      <c r="I115" s="471">
        <f t="shared" si="8"/>
        <v>12.01466631309088</v>
      </c>
      <c r="J115" s="473">
        <f t="shared" si="15"/>
        <v>0.5441069999999999</v>
      </c>
      <c r="K115" s="473">
        <f t="shared" si="13"/>
        <v>0.4558930000000001</v>
      </c>
      <c r="L115" s="473">
        <f t="shared" si="9"/>
        <v>0.36273799999999989</v>
      </c>
      <c r="M115" s="473">
        <f t="shared" si="10"/>
        <v>0.63726200000000011</v>
      </c>
      <c r="N115" s="471">
        <f t="shared" si="14"/>
        <v>9.6433522284373581</v>
      </c>
      <c r="O115" s="471">
        <f t="shared" si="11"/>
        <v>2.3713140846535201</v>
      </c>
    </row>
    <row r="116" spans="3:15" ht="16.149999999999999" outlineLevel="1" thickBot="1">
      <c r="C116" s="448" t="s">
        <v>574</v>
      </c>
      <c r="D116" s="570">
        <v>120</v>
      </c>
      <c r="E116" s="8"/>
      <c r="F116" s="469" t="s">
        <v>575</v>
      </c>
      <c r="G116" s="470">
        <f>'Aux. Receita'!E12</f>
        <v>0.45354200000000006</v>
      </c>
      <c r="H116" s="470">
        <f t="shared" si="12"/>
        <v>5.532211734279132E-2</v>
      </c>
      <c r="I116" s="471">
        <f t="shared" si="8"/>
        <v>11.952707738376908</v>
      </c>
      <c r="J116" s="473">
        <f t="shared" si="15"/>
        <v>0.54645799999999989</v>
      </c>
      <c r="K116" s="473">
        <f t="shared" si="13"/>
        <v>0.45354200000000011</v>
      </c>
      <c r="L116" s="473">
        <f t="shared" si="9"/>
        <v>0.36430533333333326</v>
      </c>
      <c r="M116" s="473">
        <f t="shared" si="10"/>
        <v>0.63569466666666674</v>
      </c>
      <c r="N116" s="471">
        <f t="shared" si="14"/>
        <v>9.5731918004974439</v>
      </c>
      <c r="O116" s="471">
        <f t="shared" si="11"/>
        <v>2.3795159378794639</v>
      </c>
    </row>
    <row r="117" spans="3:15" ht="16.149999999999999" outlineLevel="1" thickBot="1">
      <c r="C117" s="448" t="s">
        <v>576</v>
      </c>
      <c r="D117" s="570">
        <v>156</v>
      </c>
      <c r="E117" s="8"/>
      <c r="F117" s="469" t="s">
        <v>577</v>
      </c>
      <c r="G117" s="470">
        <f>'Aux. Receita'!E13</f>
        <v>0.45116200000000001</v>
      </c>
      <c r="H117" s="470">
        <f t="shared" si="12"/>
        <v>5.5031809853571256E-2</v>
      </c>
      <c r="I117" s="471">
        <f t="shared" si="8"/>
        <v>11.889984893706872</v>
      </c>
      <c r="J117" s="473">
        <f t="shared" si="15"/>
        <v>0.54883799999999994</v>
      </c>
      <c r="K117" s="473">
        <f t="shared" si="13"/>
        <v>0.45116200000000006</v>
      </c>
      <c r="L117" s="473">
        <f t="shared" si="9"/>
        <v>0.365892</v>
      </c>
      <c r="M117" s="473">
        <f t="shared" si="10"/>
        <v>0.634108</v>
      </c>
      <c r="N117" s="471">
        <f t="shared" si="14"/>
        <v>9.502292423016236</v>
      </c>
      <c r="O117" s="471">
        <f t="shared" si="11"/>
        <v>2.3876924706906366</v>
      </c>
    </row>
    <row r="118" spans="3:15" ht="16.149999999999999" outlineLevel="1" thickBot="1">
      <c r="C118" s="448" t="s">
        <v>578</v>
      </c>
      <c r="D118" s="9">
        <v>20</v>
      </c>
      <c r="E118" s="8"/>
      <c r="F118" s="469" t="s">
        <v>579</v>
      </c>
      <c r="G118" s="470">
        <f>'Aux. Receita'!E14</f>
        <v>0.20574199999999992</v>
      </c>
      <c r="H118" s="470">
        <f t="shared" si="12"/>
        <v>2.5095984641644142E-2</v>
      </c>
      <c r="I118" s="471">
        <f t="shared" si="8"/>
        <v>5.4221527344967857</v>
      </c>
      <c r="J118" s="473">
        <f t="shared" si="15"/>
        <v>0.79425800000000013</v>
      </c>
      <c r="K118" s="473">
        <f t="shared" si="13"/>
        <v>0.20574199999999987</v>
      </c>
      <c r="L118" s="473">
        <f t="shared" si="9"/>
        <v>0.52950533333333349</v>
      </c>
      <c r="M118" s="473">
        <f t="shared" si="10"/>
        <v>0.47049466666666651</v>
      </c>
      <c r="N118" s="471">
        <f t="shared" si="14"/>
        <v>3.1417913212239013</v>
      </c>
      <c r="O118" s="471">
        <f t="shared" si="11"/>
        <v>2.280361413272884</v>
      </c>
    </row>
    <row r="119" spans="3:15" ht="16.149999999999999" outlineLevel="1" thickBot="1">
      <c r="C119" s="448" t="s">
        <v>580</v>
      </c>
      <c r="D119" s="9">
        <v>2</v>
      </c>
      <c r="E119" s="8"/>
      <c r="F119" s="469" t="s">
        <v>581</v>
      </c>
      <c r="G119" s="470">
        <f>'Aux. Receita'!E15</f>
        <v>0.11456799999999999</v>
      </c>
      <c r="H119" s="470">
        <f t="shared" si="12"/>
        <v>1.3974768245783004E-2</v>
      </c>
      <c r="I119" s="471">
        <f t="shared" si="8"/>
        <v>3.0193407009061244</v>
      </c>
      <c r="J119" s="473">
        <f t="shared" si="15"/>
        <v>0.885432</v>
      </c>
      <c r="K119" s="473">
        <f t="shared" si="13"/>
        <v>0.114568</v>
      </c>
      <c r="L119" s="473">
        <f t="shared" si="9"/>
        <v>0.59028799999999992</v>
      </c>
      <c r="M119" s="473">
        <f t="shared" si="10"/>
        <v>0.40971200000000008</v>
      </c>
      <c r="N119" s="471">
        <f t="shared" si="14"/>
        <v>1.4412524391580053</v>
      </c>
      <c r="O119" s="471">
        <f t="shared" si="11"/>
        <v>1.5780882617481193</v>
      </c>
    </row>
    <row r="120" spans="3:15" ht="16.149999999999999" outlineLevel="1" thickBot="1">
      <c r="C120" s="448" t="s">
        <v>582</v>
      </c>
      <c r="D120" s="541">
        <f>10/3</f>
        <v>3.3333333333333335</v>
      </c>
      <c r="E120" s="8"/>
      <c r="F120" s="469" t="s">
        <v>583</v>
      </c>
      <c r="G120" s="470">
        <f>'Aux. Receita'!E16</f>
        <v>8.7742999999999988E-2</v>
      </c>
      <c r="H120" s="470">
        <f t="shared" si="12"/>
        <v>1.0702710095225002E-2</v>
      </c>
      <c r="I120" s="471">
        <f t="shared" si="8"/>
        <v>2.312390991547431</v>
      </c>
      <c r="J120" s="473">
        <f t="shared" si="15"/>
        <v>0.91225699999999998</v>
      </c>
      <c r="K120" s="473">
        <f t="shared" si="13"/>
        <v>8.7743000000000015E-2</v>
      </c>
      <c r="L120" s="473">
        <f t="shared" si="9"/>
        <v>0.6081713333333334</v>
      </c>
      <c r="M120" s="473">
        <f t="shared" si="10"/>
        <v>0.3918286666666666</v>
      </c>
      <c r="N120" s="471">
        <f t="shared" si="14"/>
        <v>1.0294566845440545</v>
      </c>
      <c r="O120" s="471">
        <f t="shared" si="11"/>
        <v>1.2829343070033767</v>
      </c>
    </row>
    <row r="121" spans="3:15" ht="16.149999999999999" outlineLevel="1" thickBot="1">
      <c r="E121" s="8"/>
      <c r="F121" s="469" t="s">
        <v>584</v>
      </c>
      <c r="G121" s="470">
        <f>'Aux. Receita'!E17</f>
        <v>9.9998000000000004E-2</v>
      </c>
      <c r="H121" s="470">
        <f t="shared" si="12"/>
        <v>1.2197549708835007E-2</v>
      </c>
      <c r="I121" s="471">
        <f t="shared" si="8"/>
        <v>2.6353609333252801</v>
      </c>
      <c r="J121" s="473">
        <f t="shared" si="15"/>
        <v>0.90000199999999997</v>
      </c>
      <c r="K121" s="473">
        <f t="shared" si="13"/>
        <v>9.9998000000000031E-2</v>
      </c>
      <c r="L121" s="473">
        <f t="shared" si="9"/>
        <v>0.60000133333333339</v>
      </c>
      <c r="M121" s="473">
        <f t="shared" si="10"/>
        <v>0.39999866666666661</v>
      </c>
      <c r="N121" s="471">
        <f t="shared" si="14"/>
        <v>1.2122597044563612</v>
      </c>
      <c r="O121" s="471">
        <f t="shared" si="11"/>
        <v>1.4231012288689191</v>
      </c>
    </row>
    <row r="122" spans="3:15" ht="16.149999999999999" outlineLevel="1" thickBot="1">
      <c r="C122" s="8"/>
      <c r="D122" s="8"/>
      <c r="E122" s="8"/>
      <c r="F122" s="469" t="s">
        <v>585</v>
      </c>
      <c r="G122" s="470">
        <f>'Aux. Receita'!E18</f>
        <v>0.1125236</v>
      </c>
      <c r="H122" s="470">
        <f t="shared" si="12"/>
        <v>1.3725396552101709E-2</v>
      </c>
      <c r="I122" s="471">
        <f t="shared" si="8"/>
        <v>2.9654623044172927</v>
      </c>
      <c r="J122" s="473">
        <f t="shared" si="15"/>
        <v>0.88747639999999994</v>
      </c>
      <c r="K122" s="473">
        <f t="shared" si="13"/>
        <v>0.11252360000000006</v>
      </c>
      <c r="L122" s="473">
        <f t="shared" si="9"/>
        <v>0.5916509333333333</v>
      </c>
      <c r="M122" s="473">
        <f t="shared" si="10"/>
        <v>0.4083490666666667</v>
      </c>
      <c r="N122" s="471">
        <f t="shared" si="14"/>
        <v>1.4083685066510294</v>
      </c>
      <c r="O122" s="471">
        <f t="shared" si="11"/>
        <v>1.5570937977662633</v>
      </c>
    </row>
    <row r="123" spans="3:15" ht="16.149999999999999" outlineLevel="1" thickBot="1">
      <c r="E123" s="8"/>
      <c r="F123" s="469" t="s">
        <v>586</v>
      </c>
      <c r="G123" s="470">
        <f>'Aux. Receita'!E19</f>
        <v>0.39845599999999998</v>
      </c>
      <c r="H123" s="470">
        <f t="shared" si="12"/>
        <v>4.8602840724650098E-2</v>
      </c>
      <c r="I123" s="471">
        <f t="shared" si="8"/>
        <v>10.50096377976617</v>
      </c>
      <c r="J123" s="473">
        <f t="shared" si="15"/>
        <v>0.60154400000000008</v>
      </c>
      <c r="K123" s="473">
        <f t="shared" si="13"/>
        <v>0.39845599999999992</v>
      </c>
      <c r="L123" s="473">
        <f t="shared" si="9"/>
        <v>0.40102933333333335</v>
      </c>
      <c r="M123" s="473">
        <f t="shared" si="10"/>
        <v>0.59897066666666665</v>
      </c>
      <c r="N123" s="471">
        <f t="shared" si="14"/>
        <v>7.9677449930777957</v>
      </c>
      <c r="O123" s="471">
        <f t="shared" si="11"/>
        <v>2.5332187866883746</v>
      </c>
    </row>
    <row r="124" spans="3:15" ht="16.149999999999999" outlineLevel="1" thickBot="1">
      <c r="E124" s="8"/>
      <c r="F124" s="469" t="s">
        <v>587</v>
      </c>
      <c r="G124" s="470">
        <f>'Aux. Receita'!E20</f>
        <v>0.41258699999999998</v>
      </c>
      <c r="H124" s="470">
        <f t="shared" si="12"/>
        <v>5.032651094741003E-2</v>
      </c>
      <c r="I124" s="471">
        <f t="shared" si="8"/>
        <v>10.873374081460401</v>
      </c>
      <c r="J124" s="473">
        <f t="shared" si="15"/>
        <v>0.58741299999999996</v>
      </c>
      <c r="K124" s="473">
        <f t="shared" si="13"/>
        <v>0.41258700000000004</v>
      </c>
      <c r="L124" s="473">
        <f t="shared" si="9"/>
        <v>0.3916086666666666</v>
      </c>
      <c r="M124" s="473">
        <f t="shared" si="10"/>
        <v>0.6083913333333334</v>
      </c>
      <c r="N124" s="471">
        <f t="shared" si="14"/>
        <v>8.37210636516763</v>
      </c>
      <c r="O124" s="471">
        <f t="shared" si="11"/>
        <v>2.5012677162927712</v>
      </c>
    </row>
    <row r="125" spans="3:15" ht="16.149999999999999" outlineLevel="1" thickBot="1">
      <c r="E125" s="8"/>
      <c r="F125" s="469" t="s">
        <v>588</v>
      </c>
      <c r="G125" s="470">
        <f>'Aux. Receita'!E21</f>
        <v>0.78742299999999998</v>
      </c>
      <c r="H125" s="470">
        <f t="shared" si="12"/>
        <v>9.6048232808456036E-2</v>
      </c>
      <c r="I125" s="471">
        <f t="shared" si="8"/>
        <v>20.751853159081101</v>
      </c>
      <c r="J125" s="473">
        <f t="shared" si="15"/>
        <v>0.21257700000000002</v>
      </c>
      <c r="K125" s="473">
        <f t="shared" si="13"/>
        <v>0.78742299999999998</v>
      </c>
      <c r="L125" s="473">
        <f t="shared" si="9"/>
        <v>0.14171800000000001</v>
      </c>
      <c r="M125" s="473">
        <f t="shared" si="10"/>
        <v>0.85828199999999999</v>
      </c>
      <c r="N125" s="471">
        <f t="shared" si="14"/>
        <v>20.126683094649685</v>
      </c>
      <c r="O125" s="471">
        <f t="shared" si="11"/>
        <v>0.62517006443141632</v>
      </c>
    </row>
    <row r="126" spans="3:15" ht="16.149999999999999" outlineLevel="1" thickBot="1">
      <c r="E126" s="8"/>
      <c r="F126" s="469" t="s">
        <v>589</v>
      </c>
      <c r="G126" s="470">
        <f>'Aux. Receita'!E22</f>
        <v>0.99215799999999998</v>
      </c>
      <c r="H126" s="470">
        <f t="shared" si="12"/>
        <v>0.12102138566789657</v>
      </c>
      <c r="I126" s="471">
        <f t="shared" si="8"/>
        <v>26.147467278206992</v>
      </c>
      <c r="J126" s="473">
        <f t="shared" si="15"/>
        <v>7.8420000000000156E-3</v>
      </c>
      <c r="K126" s="473">
        <f t="shared" si="13"/>
        <v>0.99215799999999998</v>
      </c>
      <c r="L126" s="473">
        <f t="shared" si="9"/>
        <v>5.2280000000000104E-3</v>
      </c>
      <c r="M126" s="473">
        <f t="shared" si="10"/>
        <v>0.99477199999999999</v>
      </c>
      <c r="N126" s="471">
        <f t="shared" si="14"/>
        <v>26.14639528497106</v>
      </c>
      <c r="O126" s="471">
        <f t="shared" si="11"/>
        <v>1.07199323593272E-3</v>
      </c>
    </row>
    <row r="127" spans="3:15" ht="16.149999999999999" outlineLevel="1" thickBot="1">
      <c r="E127" s="8"/>
      <c r="F127" s="469" t="s">
        <v>590</v>
      </c>
      <c r="G127" s="470">
        <f>'Aux. Receita'!E23</f>
        <v>0.78478499999999995</v>
      </c>
      <c r="H127" s="470">
        <f t="shared" si="12"/>
        <v>9.572645501158103E-2</v>
      </c>
      <c r="I127" s="471">
        <f t="shared" si="8"/>
        <v>20.682330947215739</v>
      </c>
      <c r="J127" s="473">
        <f t="shared" si="15"/>
        <v>0.21521500000000005</v>
      </c>
      <c r="K127" s="473">
        <f t="shared" si="13"/>
        <v>0.78478499999999995</v>
      </c>
      <c r="L127" s="473">
        <f t="shared" si="9"/>
        <v>0.1434766666666667</v>
      </c>
      <c r="M127" s="473">
        <f t="shared" si="10"/>
        <v>0.8565233333333333</v>
      </c>
      <c r="N127" s="471">
        <f t="shared" si="14"/>
        <v>20.043695090167827</v>
      </c>
      <c r="O127" s="471">
        <f t="shared" si="11"/>
        <v>0.6386358570479107</v>
      </c>
    </row>
    <row r="128" spans="3:15" ht="16.149999999999999" outlineLevel="1" thickBot="1">
      <c r="E128" s="8"/>
      <c r="F128" s="469" t="s">
        <v>591</v>
      </c>
      <c r="G128" s="470">
        <f>'Aux. Receita'!E24</f>
        <v>0.58562400000000003</v>
      </c>
      <c r="H128" s="470">
        <f t="shared" si="12"/>
        <v>7.1433207171011343E-2</v>
      </c>
      <c r="I128" s="471">
        <f t="shared" si="8"/>
        <v>15.433614784472528</v>
      </c>
      <c r="J128" s="473">
        <f t="shared" si="15"/>
        <v>0.41437599999999997</v>
      </c>
      <c r="K128" s="473">
        <f t="shared" si="13"/>
        <v>0.58562400000000003</v>
      </c>
      <c r="L128" s="473">
        <f t="shared" si="9"/>
        <v>0.27625066666666664</v>
      </c>
      <c r="M128" s="473">
        <f t="shared" si="10"/>
        <v>0.72374933333333336</v>
      </c>
      <c r="N128" s="471">
        <f t="shared" si="14"/>
        <v>13.666903492495329</v>
      </c>
      <c r="O128" s="471">
        <f t="shared" si="11"/>
        <v>1.7667112919771981</v>
      </c>
    </row>
    <row r="129" spans="1:15" ht="16.149999999999999" outlineLevel="1" thickBot="1">
      <c r="E129" s="8"/>
      <c r="F129" s="469" t="s">
        <v>592</v>
      </c>
      <c r="G129" s="470">
        <f>'Aux. Receita'!E25</f>
        <v>0.387459</v>
      </c>
      <c r="H129" s="470">
        <f t="shared" si="12"/>
        <v>4.7261449355342128E-2</v>
      </c>
      <c r="I129" s="471">
        <f t="shared" si="8"/>
        <v>10.211147341599627</v>
      </c>
      <c r="J129" s="473">
        <f t="shared" si="15"/>
        <v>0.612541</v>
      </c>
      <c r="K129" s="473">
        <f t="shared" si="13"/>
        <v>0.387459</v>
      </c>
      <c r="L129" s="473">
        <f t="shared" si="9"/>
        <v>0.40836066666666671</v>
      </c>
      <c r="M129" s="473">
        <f>1-L129</f>
        <v>0.59163933333333329</v>
      </c>
      <c r="N129" s="471">
        <f t="shared" si="14"/>
        <v>7.6569549303248561</v>
      </c>
      <c r="O129" s="471">
        <f t="shared" si="11"/>
        <v>2.5541924112747711</v>
      </c>
    </row>
    <row r="130" spans="1:15" ht="16.149999999999999" outlineLevel="1" thickBot="1">
      <c r="E130" s="8"/>
      <c r="F130" s="469" t="s">
        <v>593</v>
      </c>
      <c r="G130" s="470">
        <f>'Aux. Receita'!E26</f>
        <v>0</v>
      </c>
      <c r="H130" s="470">
        <f t="shared" si="12"/>
        <v>0</v>
      </c>
      <c r="I130" s="471">
        <f t="shared" si="8"/>
        <v>0</v>
      </c>
      <c r="J130" s="491">
        <f>1-G130</f>
        <v>1</v>
      </c>
      <c r="K130" s="473">
        <f t="shared" si="13"/>
        <v>0</v>
      </c>
      <c r="L130" s="492">
        <v>1</v>
      </c>
      <c r="M130" s="473">
        <f t="shared" si="10"/>
        <v>0</v>
      </c>
      <c r="N130" s="471">
        <f t="shared" si="14"/>
        <v>0</v>
      </c>
      <c r="O130" s="471">
        <f t="shared" si="11"/>
        <v>0</v>
      </c>
    </row>
    <row r="131" spans="1:15" ht="15.6" outlineLevel="1">
      <c r="F131" s="469" t="s">
        <v>479</v>
      </c>
      <c r="G131" s="470">
        <f>SUM(G111:G130)</f>
        <v>8.1982039333333336</v>
      </c>
      <c r="H131" s="470">
        <f>SUM(H111:H130)</f>
        <v>0.99999999999999989</v>
      </c>
      <c r="I131" s="471">
        <f t="shared" ref="I131" si="16">SUM(I111:I130)</f>
        <v>216.05658482509961</v>
      </c>
      <c r="J131" s="468"/>
      <c r="L131" s="468"/>
      <c r="M131" s="490" t="str">
        <f>IF(I131=SUM(N131:O131),"Ok","erro")</f>
        <v>Ok</v>
      </c>
      <c r="N131" s="471">
        <f>SUM(N111:N130)</f>
        <v>182.17214481618913</v>
      </c>
      <c r="O131" s="471">
        <f>SUM(O111:O130)</f>
        <v>33.884440008910474</v>
      </c>
    </row>
    <row r="132" spans="1:15" outlineLevel="1"/>
    <row r="134" spans="1:15" s="5" customFormat="1">
      <c r="A134" s="2"/>
      <c r="C134" s="805" t="s">
        <v>594</v>
      </c>
    </row>
    <row r="135" spans="1:15" s="5" customFormat="1" ht="14.25" customHeight="1">
      <c r="A135" s="2"/>
      <c r="C135" s="805"/>
    </row>
    <row r="136" spans="1:15" outlineLevel="1"/>
    <row r="137" spans="1:15" outlineLevel="1"/>
    <row r="138" spans="1:15" ht="14.45" outlineLevel="1" thickBot="1">
      <c r="C138" s="806" t="s">
        <v>491</v>
      </c>
      <c r="D138" s="806"/>
    </row>
    <row r="139" spans="1:15" outlineLevel="1">
      <c r="C139" s="552" t="s">
        <v>595</v>
      </c>
      <c r="D139" s="421">
        <f>DEMANDA!E25</f>
        <v>9128.2821301026452</v>
      </c>
    </row>
    <row r="140" spans="1:15" outlineLevel="1">
      <c r="C140" s="552" t="s">
        <v>596</v>
      </c>
      <c r="D140" s="614">
        <v>0.1</v>
      </c>
    </row>
    <row r="141" spans="1:15" outlineLevel="1">
      <c r="C141" s="552" t="s">
        <v>597</v>
      </c>
      <c r="D141" s="614">
        <v>1.4999999999999999E-2</v>
      </c>
    </row>
    <row r="142" spans="1:15" outlineLevel="1">
      <c r="D142" s="25"/>
    </row>
    <row r="143" spans="1:15" ht="14.45" outlineLevel="1" thickBot="1">
      <c r="C143" s="811" t="s">
        <v>598</v>
      </c>
      <c r="D143" s="811"/>
    </row>
    <row r="144" spans="1:15" ht="14.45" outlineLevel="1" thickBot="1">
      <c r="C144" s="10" t="s">
        <v>60</v>
      </c>
      <c r="D144" s="12">
        <f>SUM(F153:F157)</f>
        <v>57508.177419646658</v>
      </c>
    </row>
    <row r="145" spans="3:7" ht="14.45" outlineLevel="1" thickBot="1">
      <c r="C145" s="10" t="s">
        <v>57</v>
      </c>
      <c r="D145" s="12">
        <f>D144*12</f>
        <v>690098.12903575995</v>
      </c>
    </row>
    <row r="146" spans="3:7" outlineLevel="1"/>
    <row r="147" spans="3:7" ht="14.45" outlineLevel="1" thickBot="1">
      <c r="C147" s="811" t="s">
        <v>599</v>
      </c>
      <c r="D147" s="811"/>
    </row>
    <row r="148" spans="3:7" ht="14.45" outlineLevel="1" thickBot="1">
      <c r="C148" s="10" t="s">
        <v>60</v>
      </c>
      <c r="D148" s="12">
        <f>D144*$D$140</f>
        <v>5750.8177419646663</v>
      </c>
    </row>
    <row r="149" spans="3:7" ht="14.45" outlineLevel="1" thickBot="1">
      <c r="C149" s="10" t="s">
        <v>57</v>
      </c>
      <c r="D149" s="12">
        <f>D145*$D$140</f>
        <v>69009.812903575992</v>
      </c>
    </row>
    <row r="150" spans="3:7" outlineLevel="1">
      <c r="D150" s="25"/>
    </row>
    <row r="151" spans="3:7" ht="14.45" outlineLevel="1" thickBot="1">
      <c r="C151" s="811" t="s">
        <v>594</v>
      </c>
      <c r="D151" s="811"/>
      <c r="E151" s="811"/>
      <c r="F151" s="811"/>
    </row>
    <row r="152" spans="3:7" ht="14.45" outlineLevel="1" thickBot="1">
      <c r="C152" s="10" t="s">
        <v>497</v>
      </c>
      <c r="D152" s="10" t="s">
        <v>600</v>
      </c>
      <c r="E152" s="10" t="s">
        <v>601</v>
      </c>
      <c r="F152" s="10" t="s">
        <v>602</v>
      </c>
    </row>
    <row r="153" spans="3:7" ht="14.45" outlineLevel="1" thickBot="1">
      <c r="C153" s="457" t="s">
        <v>603</v>
      </c>
      <c r="D153" s="13">
        <f>$D$141*$D$139</f>
        <v>136.92423195153967</v>
      </c>
      <c r="E153" s="572">
        <v>70</v>
      </c>
      <c r="F153" s="12">
        <f>E153*D153</f>
        <v>9584.6962366077769</v>
      </c>
    </row>
    <row r="154" spans="3:7" ht="14.45" outlineLevel="1" thickBot="1">
      <c r="C154" s="457" t="s">
        <v>604</v>
      </c>
      <c r="D154" s="13">
        <f>$D$141*$D$139</f>
        <v>136.92423195153967</v>
      </c>
      <c r="E154" s="572">
        <v>150</v>
      </c>
      <c r="F154" s="12">
        <f t="shared" ref="F154:F157" si="17">E154*D154</f>
        <v>20538.634792730951</v>
      </c>
    </row>
    <row r="155" spans="3:7" ht="14.45" outlineLevel="1" thickBot="1">
      <c r="C155" s="457" t="s">
        <v>605</v>
      </c>
      <c r="D155" s="13">
        <f t="shared" ref="D155:D157" si="18">$D$141*$D$139</f>
        <v>136.92423195153967</v>
      </c>
      <c r="E155" s="572">
        <v>0</v>
      </c>
      <c r="F155" s="12">
        <f t="shared" si="17"/>
        <v>0</v>
      </c>
    </row>
    <row r="156" spans="3:7" ht="14.45" outlineLevel="1" thickBot="1">
      <c r="C156" s="457" t="s">
        <v>606</v>
      </c>
      <c r="D156" s="13">
        <f t="shared" si="18"/>
        <v>136.92423195153967</v>
      </c>
      <c r="E156" s="572">
        <v>0</v>
      </c>
      <c r="F156" s="12">
        <f t="shared" si="17"/>
        <v>0</v>
      </c>
    </row>
    <row r="157" spans="3:7" outlineLevel="1">
      <c r="C157" s="428" t="s">
        <v>607</v>
      </c>
      <c r="D157" s="429">
        <f t="shared" si="18"/>
        <v>136.92423195153967</v>
      </c>
      <c r="E157" s="618">
        <v>200</v>
      </c>
      <c r="F157" s="430">
        <f t="shared" si="17"/>
        <v>27384.846390307932</v>
      </c>
    </row>
    <row r="158" spans="3:7" ht="14.45" outlineLevel="1" thickBot="1">
      <c r="C158" s="457" t="s">
        <v>479</v>
      </c>
      <c r="D158" s="13">
        <f>SUM(D153:D157)</f>
        <v>684.62115975769836</v>
      </c>
      <c r="E158" s="619">
        <f>SUM(E153:E157)</f>
        <v>420</v>
      </c>
      <c r="F158" s="12">
        <f>SUM(F153:F157)</f>
        <v>57508.177419646658</v>
      </c>
      <c r="G158" s="6"/>
    </row>
    <row r="159" spans="3:7" outlineLevel="1"/>
    <row r="161" spans="1:7" s="5" customFormat="1">
      <c r="A161" s="2"/>
      <c r="C161" s="805" t="s">
        <v>35</v>
      </c>
    </row>
    <row r="162" spans="1:7" s="5" customFormat="1">
      <c r="A162" s="2"/>
      <c r="C162" s="805"/>
    </row>
    <row r="163" spans="1:7" outlineLevel="1"/>
    <row r="164" spans="1:7" outlineLevel="1"/>
    <row r="165" spans="1:7" ht="14.45" outlineLevel="1" thickBot="1">
      <c r="C165" s="806" t="s">
        <v>608</v>
      </c>
      <c r="D165" s="806"/>
      <c r="F165" s="539" t="s">
        <v>609</v>
      </c>
      <c r="G165" s="540">
        <f>COUNTIF(G166:G172,"sim")</f>
        <v>3</v>
      </c>
    </row>
    <row r="166" spans="1:7" outlineLevel="1">
      <c r="C166" s="552" t="s">
        <v>610</v>
      </c>
      <c r="D166" s="534">
        <f>_xlfn.PERCENTILE.EXC((DEMANDA!E26:AW26),0.25)</f>
        <v>329.13704637683918</v>
      </c>
      <c r="F166" s="1" t="s">
        <v>611</v>
      </c>
      <c r="G166" s="538" t="s">
        <v>612</v>
      </c>
    </row>
    <row r="167" spans="1:7" outlineLevel="1">
      <c r="C167" s="552" t="s">
        <v>613</v>
      </c>
      <c r="D167" s="534">
        <f>G165*4</f>
        <v>12</v>
      </c>
      <c r="F167" s="1" t="s">
        <v>614</v>
      </c>
      <c r="G167" s="538" t="s">
        <v>612</v>
      </c>
    </row>
    <row r="168" spans="1:7" outlineLevel="1">
      <c r="F168" s="1" t="s">
        <v>615</v>
      </c>
      <c r="G168" s="538" t="s">
        <v>612</v>
      </c>
    </row>
    <row r="169" spans="1:7" ht="14.45" outlineLevel="1" thickBot="1">
      <c r="C169" s="806" t="s">
        <v>616</v>
      </c>
      <c r="D169" s="806"/>
      <c r="F169" s="1" t="s">
        <v>617</v>
      </c>
      <c r="G169" s="538" t="s">
        <v>612</v>
      </c>
    </row>
    <row r="170" spans="1:7" outlineLevel="1">
      <c r="C170" s="552" t="s">
        <v>618</v>
      </c>
      <c r="D170" s="542">
        <v>0.05</v>
      </c>
      <c r="F170" s="1" t="s">
        <v>619</v>
      </c>
      <c r="G170" s="538" t="s">
        <v>13</v>
      </c>
    </row>
    <row r="171" spans="1:7" outlineLevel="1">
      <c r="C171" s="552" t="s">
        <v>620</v>
      </c>
      <c r="D171" s="337">
        <v>1</v>
      </c>
      <c r="F171" s="1" t="s">
        <v>621</v>
      </c>
      <c r="G171" s="538" t="s">
        <v>13</v>
      </c>
    </row>
    <row r="172" spans="1:7" outlineLevel="1">
      <c r="C172" s="552" t="s">
        <v>622</v>
      </c>
      <c r="D172" s="336" t="s">
        <v>623</v>
      </c>
      <c r="F172" s="1" t="s">
        <v>624</v>
      </c>
      <c r="G172" s="538" t="s">
        <v>13</v>
      </c>
    </row>
    <row r="173" spans="1:7" outlineLevel="1">
      <c r="C173" s="552" t="s">
        <v>625</v>
      </c>
      <c r="D173" s="541">
        <v>60</v>
      </c>
    </row>
    <row r="174" spans="1:7" outlineLevel="1"/>
    <row r="175" spans="1:7" ht="14.45" outlineLevel="1" thickBot="1">
      <c r="C175" s="806" t="s">
        <v>626</v>
      </c>
      <c r="D175" s="806"/>
    </row>
    <row r="176" spans="1:7" outlineLevel="1">
      <c r="C176" s="552" t="s">
        <v>627</v>
      </c>
      <c r="D176" s="542">
        <v>0.01</v>
      </c>
    </row>
    <row r="177" spans="3:15" outlineLevel="1">
      <c r="C177" s="552" t="s">
        <v>628</v>
      </c>
      <c r="D177" s="337">
        <v>1</v>
      </c>
    </row>
    <row r="178" spans="3:15" outlineLevel="1">
      <c r="C178" s="552" t="s">
        <v>629</v>
      </c>
      <c r="D178" s="542">
        <v>0.1</v>
      </c>
    </row>
    <row r="179" spans="3:15" outlineLevel="1">
      <c r="C179" s="552" t="s">
        <v>630</v>
      </c>
      <c r="D179" s="541">
        <v>75</v>
      </c>
    </row>
    <row r="180" spans="3:15" outlineLevel="1"/>
    <row r="181" spans="3:15" outlineLevel="1"/>
    <row r="182" spans="3:15" ht="14.45" outlineLevel="1" thickBot="1">
      <c r="C182" s="811" t="s">
        <v>631</v>
      </c>
      <c r="D182" s="811"/>
    </row>
    <row r="183" spans="3:15" ht="14.45" outlineLevel="1" thickBot="1">
      <c r="C183" s="777" t="s">
        <v>247</v>
      </c>
      <c r="D183" s="26">
        <f>(F190*D178)+F191</f>
        <v>1012.0964176087806</v>
      </c>
    </row>
    <row r="184" spans="3:15" ht="14.45" outlineLevel="1" thickBot="1">
      <c r="C184" s="10" t="s">
        <v>60</v>
      </c>
      <c r="D184" s="26">
        <f>D183*D167</f>
        <v>12145.157011305368</v>
      </c>
    </row>
    <row r="185" spans="3:15" ht="14.45" outlineLevel="1" thickBot="1">
      <c r="C185" s="10" t="s">
        <v>57</v>
      </c>
      <c r="D185" s="26">
        <f>D184*12</f>
        <v>145741.88413566441</v>
      </c>
      <c r="G185" s="27"/>
    </row>
    <row r="186" spans="3:15" outlineLevel="1">
      <c r="G186" s="27"/>
    </row>
    <row r="187" spans="3:15" outlineLevel="1"/>
    <row r="188" spans="3:15" ht="14.45" outlineLevel="1" thickBot="1">
      <c r="C188" s="811" t="s">
        <v>632</v>
      </c>
      <c r="D188" s="811"/>
      <c r="E188" s="811"/>
      <c r="F188" s="811"/>
    </row>
    <row r="189" spans="3:15" ht="14.45" outlineLevel="1" thickBot="1">
      <c r="C189" s="10" t="s">
        <v>633</v>
      </c>
      <c r="D189" s="10" t="s">
        <v>634</v>
      </c>
      <c r="E189" s="10" t="s">
        <v>635</v>
      </c>
      <c r="F189" s="10" t="s">
        <v>636</v>
      </c>
    </row>
    <row r="190" spans="3:15" ht="14.45" outlineLevel="1" thickBot="1">
      <c r="C190" s="10" t="s">
        <v>637</v>
      </c>
      <c r="D190" s="13">
        <f>D176*D166</f>
        <v>3.2913704637683918</v>
      </c>
      <c r="E190" s="26">
        <f>D179</f>
        <v>75</v>
      </c>
      <c r="F190" s="26">
        <f>E190*D190</f>
        <v>246.85278478262939</v>
      </c>
      <c r="G190" s="1" t="s">
        <v>638</v>
      </c>
      <c r="H190" s="7"/>
      <c r="I190" s="7"/>
      <c r="J190" s="7"/>
      <c r="K190" s="7"/>
      <c r="L190" s="7"/>
      <c r="M190" s="7"/>
      <c r="N190" s="7"/>
      <c r="O190" s="7"/>
    </row>
    <row r="191" spans="3:15" ht="14.45" outlineLevel="1" thickBot="1">
      <c r="C191" s="10" t="s">
        <v>639</v>
      </c>
      <c r="D191" s="13">
        <f>D166*D170</f>
        <v>16.45685231884196</v>
      </c>
      <c r="E191" s="26">
        <f>D173</f>
        <v>60</v>
      </c>
      <c r="F191" s="26">
        <f>E191*D191</f>
        <v>987.41113913051765</v>
      </c>
      <c r="G191" s="1" t="s">
        <v>640</v>
      </c>
      <c r="H191" s="27"/>
    </row>
    <row r="192" spans="3:15" outlineLevel="1"/>
    <row r="194" spans="1:5" s="5" customFormat="1">
      <c r="A194" s="2"/>
      <c r="C194" s="805" t="s">
        <v>641</v>
      </c>
    </row>
    <row r="195" spans="1:5" s="5" customFormat="1">
      <c r="A195" s="2"/>
      <c r="C195" s="805"/>
    </row>
    <row r="196" spans="1:5" outlineLevel="1"/>
    <row r="197" spans="1:5" outlineLevel="1"/>
    <row r="198" spans="1:5" outlineLevel="1"/>
    <row r="199" spans="1:5" ht="14.45" outlineLevel="1" thickBot="1">
      <c r="C199" s="806" t="s">
        <v>491</v>
      </c>
      <c r="D199" s="806"/>
    </row>
    <row r="200" spans="1:5" outlineLevel="1">
      <c r="C200" s="565" t="s">
        <v>642</v>
      </c>
      <c r="D200" s="564"/>
      <c r="E200" s="6"/>
    </row>
    <row r="201" spans="1:5" outlineLevel="1">
      <c r="C201" s="566" t="s">
        <v>643</v>
      </c>
      <c r="D201" s="562"/>
    </row>
    <row r="202" spans="1:5" outlineLevel="1">
      <c r="C202" s="599" t="s">
        <v>644</v>
      </c>
      <c r="D202" s="562"/>
    </row>
    <row r="203" spans="1:5" outlineLevel="1">
      <c r="C203" s="566" t="s">
        <v>645</v>
      </c>
      <c r="D203" s="562"/>
    </row>
    <row r="204" spans="1:5" outlineLevel="1">
      <c r="C204" s="567" t="s">
        <v>646</v>
      </c>
      <c r="D204" s="563"/>
    </row>
    <row r="205" spans="1:5" outlineLevel="1">
      <c r="C205" s="574" t="s">
        <v>647</v>
      </c>
      <c r="D205" s="568">
        <f>D114-D115</f>
        <v>159.05717847801745</v>
      </c>
    </row>
    <row r="206" spans="1:5" outlineLevel="1">
      <c r="C206" s="575" t="s">
        <v>648</v>
      </c>
      <c r="D206" s="571">
        <v>0.5</v>
      </c>
    </row>
    <row r="207" spans="1:5" outlineLevel="1">
      <c r="C207" s="576" t="s">
        <v>649</v>
      </c>
      <c r="D207" s="569">
        <f>D206*D205</f>
        <v>79.528589239008724</v>
      </c>
    </row>
    <row r="208" spans="1:5" outlineLevel="1">
      <c r="C208" s="595" t="s">
        <v>650</v>
      </c>
      <c r="D208" s="594">
        <f>(ROUND(D207/9,0))</f>
        <v>9</v>
      </c>
      <c r="E208" s="1" t="s">
        <v>651</v>
      </c>
    </row>
    <row r="209" spans="3:6" outlineLevel="1">
      <c r="C209" s="595" t="s">
        <v>652</v>
      </c>
      <c r="D209" s="570">
        <v>7</v>
      </c>
    </row>
    <row r="210" spans="3:6" outlineLevel="1">
      <c r="C210" s="574" t="s">
        <v>653</v>
      </c>
      <c r="D210" s="571">
        <v>0.75</v>
      </c>
    </row>
    <row r="211" spans="3:6" outlineLevel="1">
      <c r="C211" s="574" t="s">
        <v>654</v>
      </c>
      <c r="D211" s="572">
        <f>D210*D120</f>
        <v>2.5</v>
      </c>
    </row>
    <row r="212" spans="3:6" outlineLevel="1">
      <c r="C212" s="577" t="s">
        <v>655</v>
      </c>
      <c r="D212" s="570">
        <v>3</v>
      </c>
    </row>
    <row r="214" spans="3:6" ht="14.45" outlineLevel="1" thickBot="1">
      <c r="C214" s="811" t="s">
        <v>656</v>
      </c>
      <c r="D214" s="811"/>
    </row>
    <row r="215" spans="3:6" ht="14.45" outlineLevel="1" thickBot="1">
      <c r="C215" s="10" t="s">
        <v>545</v>
      </c>
      <c r="D215" s="26">
        <f>SUM(F222:F223)</f>
        <v>1346.4644192925655</v>
      </c>
    </row>
    <row r="216" spans="3:6" ht="14.45" outlineLevel="1" thickBot="1">
      <c r="C216" s="10" t="s">
        <v>60</v>
      </c>
      <c r="D216" s="26">
        <f>D215*30</f>
        <v>40393.932578776963</v>
      </c>
    </row>
    <row r="217" spans="3:6" ht="14.45" outlineLevel="1" thickBot="1">
      <c r="C217" s="10" t="s">
        <v>57</v>
      </c>
      <c r="D217" s="26">
        <f>D216*12</f>
        <v>484727.19094532356</v>
      </c>
    </row>
    <row r="218" spans="3:6" outlineLevel="1"/>
    <row r="219" spans="3:6" outlineLevel="1"/>
    <row r="220" spans="3:6" ht="15.75" customHeight="1" outlineLevel="1" thickBot="1">
      <c r="C220" s="598" t="s">
        <v>641</v>
      </c>
      <c r="D220" s="598"/>
      <c r="E220" s="598"/>
      <c r="F220" s="598"/>
    </row>
    <row r="221" spans="3:6" ht="14.45" outlineLevel="1" thickBot="1">
      <c r="C221" s="10" t="s">
        <v>633</v>
      </c>
      <c r="D221" s="10" t="s">
        <v>657</v>
      </c>
      <c r="E221" s="10" t="s">
        <v>526</v>
      </c>
      <c r="F221" s="10" t="s">
        <v>658</v>
      </c>
    </row>
    <row r="222" spans="3:6" ht="14.45" outlineLevel="1" thickBot="1">
      <c r="C222" s="10" t="s">
        <v>659</v>
      </c>
      <c r="D222" s="596">
        <f>D206*D205</f>
        <v>79.528589239008724</v>
      </c>
      <c r="E222" s="597">
        <f>D211</f>
        <v>2.5</v>
      </c>
      <c r="F222" s="26">
        <f>E222*D222*$D$212</f>
        <v>596.46441929256548</v>
      </c>
    </row>
    <row r="223" spans="3:6" ht="14.45" outlineLevel="1" thickBot="1">
      <c r="C223" s="10" t="s">
        <v>660</v>
      </c>
      <c r="D223" s="596">
        <v>100</v>
      </c>
      <c r="E223" s="597">
        <f>D211</f>
        <v>2.5</v>
      </c>
      <c r="F223" s="26">
        <f>E223*D223*$D$212</f>
        <v>750</v>
      </c>
    </row>
    <row r="224" spans="3:6" outlineLevel="1"/>
    <row r="226" spans="1:11" s="5" customFormat="1">
      <c r="A226" s="2"/>
      <c r="C226" s="805" t="s">
        <v>661</v>
      </c>
    </row>
    <row r="227" spans="1:11" s="5" customFormat="1">
      <c r="A227" s="2"/>
      <c r="C227" s="805"/>
    </row>
    <row r="228" spans="1:11" outlineLevel="1"/>
    <row r="229" spans="1:11" ht="14.45" outlineLevel="1" thickBot="1">
      <c r="C229" s="806" t="s">
        <v>662</v>
      </c>
      <c r="D229" s="806"/>
    </row>
    <row r="230" spans="1:11" outlineLevel="1">
      <c r="C230" s="776" t="s">
        <v>663</v>
      </c>
      <c r="D230" s="675">
        <f>D243</f>
        <v>0.78587196722222219</v>
      </c>
    </row>
    <row r="231" spans="1:11" outlineLevel="1">
      <c r="C231" s="776" t="s">
        <v>664</v>
      </c>
      <c r="D231" s="600">
        <f>D251</f>
        <v>48.585000000000001</v>
      </c>
    </row>
    <row r="232" spans="1:11" outlineLevel="1"/>
    <row r="233" spans="1:11" outlineLevel="1">
      <c r="C233" s="30"/>
    </row>
    <row r="234" spans="1:11" ht="14.45" outlineLevel="1" thickBot="1">
      <c r="C234" s="811" t="s">
        <v>665</v>
      </c>
      <c r="D234" s="811"/>
    </row>
    <row r="235" spans="1:11" ht="14.45" outlineLevel="1" thickBot="1">
      <c r="C235" s="10" t="s">
        <v>666</v>
      </c>
      <c r="D235" s="26">
        <f>D254*D251</f>
        <v>1211.5449667621472</v>
      </c>
    </row>
    <row r="236" spans="1:11" ht="14.45" outlineLevel="1" thickBot="1">
      <c r="C236" s="10" t="s">
        <v>60</v>
      </c>
      <c r="D236" s="26">
        <f>D235*30</f>
        <v>36346.349002864416</v>
      </c>
    </row>
    <row r="237" spans="1:11" ht="14.45" outlineLevel="1" thickBot="1">
      <c r="C237" s="10" t="s">
        <v>57</v>
      </c>
      <c r="D237" s="26">
        <f>D236*12</f>
        <v>436156.18803437299</v>
      </c>
    </row>
    <row r="238" spans="1:11" outlineLevel="1"/>
    <row r="239" spans="1:11" outlineLevel="1"/>
    <row r="240" spans="1:11" outlineLevel="1">
      <c r="C240" s="42" t="s">
        <v>667</v>
      </c>
      <c r="D240" s="604">
        <v>1.080649</v>
      </c>
      <c r="E240" s="40" t="s">
        <v>668</v>
      </c>
      <c r="I240" s="24"/>
      <c r="K240" s="6"/>
    </row>
    <row r="241" spans="3:13" outlineLevel="1">
      <c r="C241" s="37" t="s">
        <v>669</v>
      </c>
      <c r="D241" s="38">
        <v>60</v>
      </c>
    </row>
    <row r="242" spans="3:13" outlineLevel="1">
      <c r="C242" s="37" t="s">
        <v>670</v>
      </c>
      <c r="D242" s="39">
        <f>D252</f>
        <v>0.72722222222222221</v>
      </c>
    </row>
    <row r="243" spans="3:13" outlineLevel="1">
      <c r="C243" s="43" t="s">
        <v>671</v>
      </c>
      <c r="D243" s="44">
        <f>D240*D242</f>
        <v>0.78587196722222219</v>
      </c>
    </row>
    <row r="244" spans="3:13" outlineLevel="1">
      <c r="E244" s="36"/>
    </row>
    <row r="245" spans="3:13" outlineLevel="1"/>
    <row r="246" spans="3:13" outlineLevel="1">
      <c r="C246" s="42" t="s">
        <v>672</v>
      </c>
      <c r="D246" s="603">
        <v>3239</v>
      </c>
      <c r="F246" s="42" t="s">
        <v>673</v>
      </c>
      <c r="G246" s="45" t="s">
        <v>674</v>
      </c>
      <c r="H246" s="45" t="s">
        <v>675</v>
      </c>
      <c r="I246" s="809" t="s">
        <v>676</v>
      </c>
      <c r="J246" s="810"/>
      <c r="K246" s="810"/>
      <c r="L246" s="810"/>
      <c r="M246" s="810"/>
    </row>
    <row r="247" spans="3:13" outlineLevel="1">
      <c r="C247" s="37" t="s">
        <v>677</v>
      </c>
      <c r="D247" s="689">
        <v>1.4999999999999999E-2</v>
      </c>
      <c r="F247" s="37" t="s">
        <v>678</v>
      </c>
      <c r="G247" s="31">
        <v>38</v>
      </c>
      <c r="H247" s="289">
        <f>G247/$D$241</f>
        <v>0.6333333333333333</v>
      </c>
    </row>
    <row r="248" spans="3:13" outlineLevel="1">
      <c r="C248" s="37" t="s">
        <v>679</v>
      </c>
      <c r="D248" s="604">
        <v>5</v>
      </c>
      <c r="F248" s="37" t="s">
        <v>680</v>
      </c>
      <c r="G248" s="31">
        <v>44.9</v>
      </c>
      <c r="H248" s="289">
        <f t="shared" ref="H248:H249" si="19">G248/$D$241</f>
        <v>0.74833333333333329</v>
      </c>
    </row>
    <row r="249" spans="3:13" outlineLevel="1">
      <c r="C249" s="37" t="s">
        <v>681</v>
      </c>
      <c r="D249" s="604">
        <v>1</v>
      </c>
      <c r="F249" s="43" t="s">
        <v>682</v>
      </c>
      <c r="G249" s="47">
        <v>48</v>
      </c>
      <c r="H249" s="47">
        <f t="shared" si="19"/>
        <v>0.8</v>
      </c>
    </row>
    <row r="250" spans="3:13" ht="15" customHeight="1" outlineLevel="1">
      <c r="C250" s="37" t="s">
        <v>683</v>
      </c>
      <c r="D250" s="31">
        <f>D249+D248</f>
        <v>6</v>
      </c>
    </row>
    <row r="251" spans="3:13" outlineLevel="1">
      <c r="C251" s="37" t="s">
        <v>684</v>
      </c>
      <c r="D251" s="600">
        <f>D247*D246</f>
        <v>48.585000000000001</v>
      </c>
      <c r="F251" s="35"/>
    </row>
    <row r="252" spans="3:13" ht="15" customHeight="1" outlineLevel="1">
      <c r="C252" s="37" t="s">
        <v>685</v>
      </c>
      <c r="D252" s="41">
        <f>AVERAGE(H247:H249)</f>
        <v>0.72722222222222221</v>
      </c>
    </row>
    <row r="253" spans="3:13" outlineLevel="1">
      <c r="C253" s="37" t="s">
        <v>686</v>
      </c>
      <c r="D253" s="602">
        <f>AVERAGE(G247:G249)</f>
        <v>43.633333333333333</v>
      </c>
    </row>
    <row r="254" spans="3:13" outlineLevel="1">
      <c r="C254" s="43" t="s">
        <v>687</v>
      </c>
      <c r="D254" s="605">
        <f>D253*D252*D243</f>
        <v>24.936605264220379</v>
      </c>
    </row>
    <row r="255" spans="3:13" outlineLevel="1"/>
    <row r="257" spans="1:10" s="5" customFormat="1">
      <c r="A257" s="2"/>
      <c r="C257" s="805" t="s">
        <v>688</v>
      </c>
    </row>
    <row r="258" spans="1:10" s="5" customFormat="1">
      <c r="A258" s="2"/>
      <c r="C258" s="805"/>
    </row>
    <row r="259" spans="1:10" outlineLevel="1"/>
    <row r="260" spans="1:10" ht="15" outlineLevel="1" thickBot="1">
      <c r="H260"/>
    </row>
    <row r="261" spans="1:10" ht="15" outlineLevel="1" thickBot="1">
      <c r="C261" s="806" t="s">
        <v>491</v>
      </c>
      <c r="D261" s="806"/>
      <c r="F261" s="612" t="str">
        <f t="shared" ref="F261:J267" si="20">C74</f>
        <v>Aluguel de quadras</v>
      </c>
      <c r="H261"/>
    </row>
    <row r="262" spans="1:10" ht="14.45" outlineLevel="1" thickBot="1">
      <c r="C262" s="776" t="s">
        <v>689</v>
      </c>
      <c r="D262" s="616">
        <v>0.2</v>
      </c>
      <c r="F262" s="10" t="str">
        <f t="shared" si="20"/>
        <v>Item</v>
      </c>
      <c r="G262" s="10" t="str">
        <f t="shared" si="20"/>
        <v xml:space="preserve">Quantidade de quadras </v>
      </c>
      <c r="H262" s="10" t="str">
        <f t="shared" si="20"/>
        <v>Preço por hora</v>
      </c>
      <c r="I262" s="10" t="str">
        <f t="shared" si="20"/>
        <v>Demanda Seg-Qua</v>
      </c>
      <c r="J262" s="10" t="str">
        <f t="shared" si="20"/>
        <v>Demanda Qui-Dom</v>
      </c>
    </row>
    <row r="263" spans="1:10" ht="14.45" outlineLevel="1" thickBot="1">
      <c r="C263" s="776" t="s">
        <v>690</v>
      </c>
      <c r="D263" s="617">
        <v>2</v>
      </c>
      <c r="F263" s="10" t="str">
        <f t="shared" si="20"/>
        <v>Quadra poliesportiva</v>
      </c>
      <c r="G263" s="607">
        <f t="shared" si="20"/>
        <v>2</v>
      </c>
      <c r="H263" s="597">
        <f t="shared" si="20"/>
        <v>60</v>
      </c>
      <c r="I263" s="607">
        <f t="shared" si="20"/>
        <v>4</v>
      </c>
      <c r="J263" s="607">
        <f t="shared" si="20"/>
        <v>8</v>
      </c>
    </row>
    <row r="264" spans="1:10" ht="14.45" outlineLevel="1" thickBot="1">
      <c r="C264" s="609" t="str">
        <f>C64</f>
        <v xml:space="preserve">Dias no mês </v>
      </c>
      <c r="D264" s="610">
        <f>D64</f>
        <v>30</v>
      </c>
      <c r="F264" s="10" t="str">
        <f t="shared" si="20"/>
        <v>Quadra society</v>
      </c>
      <c r="G264" s="607">
        <f t="shared" si="20"/>
        <v>1</v>
      </c>
      <c r="H264" s="597">
        <f t="shared" si="20"/>
        <v>125</v>
      </c>
      <c r="I264" s="607">
        <f t="shared" si="20"/>
        <v>4</v>
      </c>
      <c r="J264" s="607">
        <f t="shared" si="20"/>
        <v>8</v>
      </c>
    </row>
    <row r="265" spans="1:10" ht="14.45" outlineLevel="1" thickBot="1">
      <c r="C265" s="611" t="str">
        <f t="shared" ref="C265:D266" si="21">C65</f>
        <v>Dias no mês (Seg-Qua)</v>
      </c>
      <c r="D265" s="606">
        <f t="shared" si="21"/>
        <v>13</v>
      </c>
      <c r="F265" s="10" t="str">
        <f t="shared" si="20"/>
        <v>Quadra de areia</v>
      </c>
      <c r="G265" s="607">
        <f t="shared" si="20"/>
        <v>8</v>
      </c>
      <c r="H265" s="597">
        <f t="shared" si="20"/>
        <v>60</v>
      </c>
      <c r="I265" s="607">
        <f t="shared" si="20"/>
        <v>4</v>
      </c>
      <c r="J265" s="607">
        <f t="shared" si="20"/>
        <v>8</v>
      </c>
    </row>
    <row r="266" spans="1:10" ht="14.45" outlineLevel="1" thickBot="1">
      <c r="C266" s="613" t="str">
        <f t="shared" si="21"/>
        <v>Dias no mês (Qui-Dom)</v>
      </c>
      <c r="D266" s="610">
        <f t="shared" si="21"/>
        <v>17</v>
      </c>
      <c r="F266" s="10" t="str">
        <f t="shared" si="20"/>
        <v>Quadra multiuso</v>
      </c>
      <c r="G266" s="607">
        <f t="shared" si="20"/>
        <v>1</v>
      </c>
      <c r="H266" s="597">
        <f t="shared" si="20"/>
        <v>0</v>
      </c>
      <c r="I266" s="607">
        <f t="shared" si="20"/>
        <v>4</v>
      </c>
      <c r="J266" s="607">
        <f t="shared" si="20"/>
        <v>10</v>
      </c>
    </row>
    <row r="267" spans="1:10" ht="14.45" outlineLevel="1" thickBot="1">
      <c r="C267" s="613" t="s">
        <v>691</v>
      </c>
      <c r="D267" s="615">
        <v>0.4</v>
      </c>
      <c r="F267" s="10" t="str">
        <f t="shared" si="20"/>
        <v>Quadra de tênis</v>
      </c>
      <c r="G267" s="607">
        <f t="shared" si="20"/>
        <v>1</v>
      </c>
      <c r="H267" s="597">
        <f t="shared" si="20"/>
        <v>80</v>
      </c>
      <c r="I267" s="607">
        <f t="shared" si="20"/>
        <v>1</v>
      </c>
      <c r="J267" s="607">
        <f t="shared" si="20"/>
        <v>4</v>
      </c>
    </row>
    <row r="268" spans="1:10" ht="14.45" outlineLevel="1" thickBot="1">
      <c r="F268" s="10" t="str">
        <f>C81</f>
        <v>Pista de skate</v>
      </c>
      <c r="G268" s="607">
        <f>D81</f>
        <v>1</v>
      </c>
      <c r="H268" s="597">
        <f>E81</f>
        <v>0</v>
      </c>
      <c r="I268" s="607">
        <f>F81</f>
        <v>0</v>
      </c>
      <c r="J268" s="607">
        <f>G81</f>
        <v>0</v>
      </c>
    </row>
    <row r="269" spans="1:10" ht="14.45" outlineLevel="1" thickBot="1">
      <c r="C269" s="811" t="s">
        <v>692</v>
      </c>
      <c r="D269" s="811"/>
    </row>
    <row r="270" spans="1:10" ht="15" outlineLevel="1" thickBot="1">
      <c r="C270" s="10" t="s">
        <v>60</v>
      </c>
      <c r="D270" s="26">
        <f>SUM(M275:M285)</f>
        <v>23700.018145132479</v>
      </c>
      <c r="H270"/>
    </row>
    <row r="271" spans="1:10" ht="15" outlineLevel="1" thickBot="1">
      <c r="C271" s="10" t="s">
        <v>57</v>
      </c>
      <c r="D271" s="26">
        <f>D270*12</f>
        <v>284400.21774158976</v>
      </c>
      <c r="H271"/>
    </row>
    <row r="272" spans="1:10" ht="14.45" outlineLevel="1">
      <c r="H272"/>
      <c r="J272" s="304"/>
    </row>
    <row r="273" spans="3:20" ht="14.45" outlineLevel="1" thickBot="1"/>
    <row r="274" spans="3:20" ht="14.45" outlineLevel="1" thickBot="1">
      <c r="C274" s="816" t="s">
        <v>693</v>
      </c>
      <c r="D274" s="817"/>
      <c r="F274" s="10" t="s">
        <v>497</v>
      </c>
      <c r="G274" s="10" t="s">
        <v>694</v>
      </c>
      <c r="H274" s="10" t="s">
        <v>695</v>
      </c>
      <c r="I274" s="10" t="s">
        <v>696</v>
      </c>
      <c r="J274" s="10" t="s">
        <v>697</v>
      </c>
      <c r="K274" s="10" t="s">
        <v>698</v>
      </c>
      <c r="L274" s="10" t="s">
        <v>699</v>
      </c>
      <c r="M274" s="10" t="s">
        <v>700</v>
      </c>
      <c r="O274" s="10" t="s">
        <v>701</v>
      </c>
      <c r="P274" s="10" t="s">
        <v>702</v>
      </c>
      <c r="Q274" s="10" t="s">
        <v>703</v>
      </c>
      <c r="R274" s="10" t="s">
        <v>704</v>
      </c>
      <c r="S274" s="10" t="s">
        <v>705</v>
      </c>
      <c r="T274" s="10" t="s">
        <v>706</v>
      </c>
    </row>
    <row r="275" spans="3:20" ht="14.45" outlineLevel="1" thickBot="1">
      <c r="C275" s="37" t="s">
        <v>707</v>
      </c>
      <c r="D275" s="51">
        <f>E76</f>
        <v>60</v>
      </c>
      <c r="F275" s="10" t="s">
        <v>708</v>
      </c>
      <c r="G275" s="607">
        <f>'CAPEX - Aquisições'!C56</f>
        <v>6</v>
      </c>
      <c r="H275" s="597">
        <f>$D$262*D275</f>
        <v>12</v>
      </c>
      <c r="I275" s="607">
        <f>($D$265*I267 + $D$266 *J267)</f>
        <v>81</v>
      </c>
      <c r="J275" s="596">
        <v>0</v>
      </c>
      <c r="K275" s="597">
        <f>H275+T275</f>
        <v>12.297599451303155</v>
      </c>
      <c r="L275" s="607">
        <f>I275*$D$267</f>
        <v>32.4</v>
      </c>
      <c r="M275" s="597">
        <f>L275*K275*$D$263</f>
        <v>796.8844444444444</v>
      </c>
      <c r="O275" s="10" t="s">
        <v>708</v>
      </c>
      <c r="P275" s="12">
        <f>'CAPEX - Aquisições'!H56</f>
        <v>1735.6</v>
      </c>
      <c r="Q275" s="12">
        <f>P275/G275</f>
        <v>289.26666666666665</v>
      </c>
      <c r="R275" s="32">
        <f>'CAPEX - Aquisições'!G75</f>
        <v>1</v>
      </c>
      <c r="S275" s="32">
        <f>I275*12</f>
        <v>972</v>
      </c>
      <c r="T275" s="292">
        <f>Q275/(R275*S275)</f>
        <v>0.29759945130315502</v>
      </c>
    </row>
    <row r="276" spans="3:20" ht="14.45" outlineLevel="1" thickBot="1">
      <c r="C276" s="37" t="s">
        <v>709</v>
      </c>
      <c r="D276" s="51">
        <f>E77</f>
        <v>125</v>
      </c>
      <c r="F276" s="10" t="s">
        <v>710</v>
      </c>
      <c r="G276" s="607">
        <f>'CAPEX - Aquisições'!C57*(20*3)</f>
        <v>180</v>
      </c>
      <c r="H276" s="597">
        <v>0</v>
      </c>
      <c r="I276" s="607">
        <f>(D265*I267)+(J267*D266)</f>
        <v>81</v>
      </c>
      <c r="J276" s="596">
        <v>0</v>
      </c>
      <c r="K276" s="597">
        <f t="shared" ref="K276:K285" si="22">H276+T276</f>
        <v>0</v>
      </c>
      <c r="L276" s="596">
        <f>I276*$D$267</f>
        <v>32.4</v>
      </c>
      <c r="M276" s="597">
        <f t="shared" ref="M276:M285" si="23">L276*K276*$D$263</f>
        <v>0</v>
      </c>
      <c r="O276" s="10" t="s">
        <v>710</v>
      </c>
      <c r="P276" s="12">
        <v>0</v>
      </c>
      <c r="Q276" s="12">
        <f t="shared" ref="Q276:Q285" si="24">P276/G276</f>
        <v>0</v>
      </c>
      <c r="R276" s="32">
        <f>'CAPEX - Aquisições'!G76</f>
        <v>1</v>
      </c>
      <c r="S276" s="32">
        <f>S275*12</f>
        <v>11664</v>
      </c>
      <c r="T276" s="292">
        <f>Q276/(R276*S276)</f>
        <v>0</v>
      </c>
    </row>
    <row r="277" spans="3:20" ht="14.45" outlineLevel="1" thickBot="1">
      <c r="C277" s="37" t="s">
        <v>711</v>
      </c>
      <c r="D277" s="51">
        <f>E78</f>
        <v>60</v>
      </c>
      <c r="F277" s="10" t="s">
        <v>712</v>
      </c>
      <c r="G277" s="607">
        <f>'CAPEX - Aquisições'!C58+'CAPEX - Aquisições'!C59</f>
        <v>40</v>
      </c>
      <c r="H277" s="597">
        <f>$D$262*D278</f>
        <v>14</v>
      </c>
      <c r="I277" s="596">
        <v>0</v>
      </c>
      <c r="J277" s="596">
        <f>D156</f>
        <v>136.92423195153967</v>
      </c>
      <c r="K277" s="597">
        <f t="shared" si="22"/>
        <v>14.018024161313667</v>
      </c>
      <c r="L277" s="596">
        <f>J277*$D$267</f>
        <v>54.76969278061587</v>
      </c>
      <c r="M277" s="597">
        <f t="shared" si="23"/>
        <v>1535.5257534128</v>
      </c>
      <c r="O277" s="10" t="s">
        <v>712</v>
      </c>
      <c r="P277" s="12">
        <f>'CAPEX - Aquisições'!H58+'CAPEX - Aquisições'!H59</f>
        <v>5923.0666666666675</v>
      </c>
      <c r="Q277" s="12">
        <f t="shared" si="24"/>
        <v>148.07666666666668</v>
      </c>
      <c r="R277" s="32">
        <f>'CAPEX - Aquisições'!G77</f>
        <v>5</v>
      </c>
      <c r="S277" s="32">
        <f>J277*12</f>
        <v>1643.0907834184759</v>
      </c>
      <c r="T277" s="292">
        <f t="shared" ref="T277:T284" si="25">Q277/(R277*S277)</f>
        <v>1.8024161313666538E-2</v>
      </c>
    </row>
    <row r="278" spans="3:20" ht="14.45" outlineLevel="1" thickBot="1">
      <c r="C278" s="37" t="s">
        <v>603</v>
      </c>
      <c r="D278" s="51">
        <f>E153</f>
        <v>70</v>
      </c>
      <c r="F278" s="10" t="s">
        <v>713</v>
      </c>
      <c r="G278" s="607">
        <f>'CAPEX - Aquisições'!C60</f>
        <v>10</v>
      </c>
      <c r="H278" s="597">
        <f>$D$262*D278</f>
        <v>14</v>
      </c>
      <c r="I278" s="607">
        <v>0</v>
      </c>
      <c r="J278" s="596">
        <f>J277</f>
        <v>136.92423195153967</v>
      </c>
      <c r="K278" s="597">
        <f t="shared" si="22"/>
        <v>14.067717094183831</v>
      </c>
      <c r="L278" s="596">
        <f>J278*$D$267</f>
        <v>54.76969278061587</v>
      </c>
      <c r="M278" s="597">
        <f t="shared" si="23"/>
        <v>1540.9690867461331</v>
      </c>
      <c r="O278" s="10" t="s">
        <v>713</v>
      </c>
      <c r="P278" s="12">
        <f>'CAPEX - Aquisições'!H60</f>
        <v>5563.2666666666673</v>
      </c>
      <c r="Q278" s="12">
        <f t="shared" si="24"/>
        <v>556.32666666666671</v>
      </c>
      <c r="R278" s="32">
        <f>'CAPEX - Aquisições'!G79</f>
        <v>5</v>
      </c>
      <c r="S278" s="32">
        <f>J278*12</f>
        <v>1643.0907834184759</v>
      </c>
      <c r="T278" s="292">
        <f t="shared" si="25"/>
        <v>6.7717094183830845E-2</v>
      </c>
    </row>
    <row r="279" spans="3:20" ht="14.45" outlineLevel="1" thickBot="1">
      <c r="C279" s="37" t="s">
        <v>714</v>
      </c>
      <c r="D279" s="51">
        <v>0</v>
      </c>
      <c r="F279" s="10" t="s">
        <v>715</v>
      </c>
      <c r="G279" s="607">
        <f>'CAPEX - Aquisições'!C67</f>
        <v>15</v>
      </c>
      <c r="H279" s="597">
        <f>$D$262*D277</f>
        <v>12</v>
      </c>
      <c r="I279" s="607">
        <f>(D265*I265)+(D266*J265)</f>
        <v>188</v>
      </c>
      <c r="J279" s="596">
        <v>0</v>
      </c>
      <c r="K279" s="597">
        <f t="shared" si="22"/>
        <v>12.078580082742317</v>
      </c>
      <c r="L279" s="596">
        <f t="shared" ref="L279:L285" si="26">I279*$D$267</f>
        <v>75.2</v>
      </c>
      <c r="M279" s="597">
        <f t="shared" si="23"/>
        <v>1816.6184444444445</v>
      </c>
      <c r="O279" s="10" t="s">
        <v>715</v>
      </c>
      <c r="P279" s="12">
        <f>'CAPEX - Aquisições'!H67</f>
        <v>2659.1499999999996</v>
      </c>
      <c r="Q279" s="12">
        <f t="shared" si="24"/>
        <v>177.27666666666664</v>
      </c>
      <c r="R279" s="32">
        <f>'CAPEX - Aquisições'!G86</f>
        <v>1</v>
      </c>
      <c r="S279" s="32">
        <f>I279*12</f>
        <v>2256</v>
      </c>
      <c r="T279" s="292">
        <f t="shared" si="25"/>
        <v>7.8580082742316773E-2</v>
      </c>
    </row>
    <row r="280" spans="3:20" ht="14.45" outlineLevel="1" thickBot="1">
      <c r="C280" s="43" t="s">
        <v>534</v>
      </c>
      <c r="D280" s="46">
        <f>E80</f>
        <v>80</v>
      </c>
      <c r="F280" s="10" t="s">
        <v>716</v>
      </c>
      <c r="G280" s="607">
        <f>'CAPEX - Aquisições'!C68*3</f>
        <v>120</v>
      </c>
      <c r="H280" s="597">
        <v>0</v>
      </c>
      <c r="I280" s="607">
        <f>(D265*I265)+(D266*J265)</f>
        <v>188</v>
      </c>
      <c r="J280" s="596">
        <v>0</v>
      </c>
      <c r="K280" s="597">
        <f t="shared" si="22"/>
        <v>0</v>
      </c>
      <c r="L280" s="596">
        <f t="shared" si="26"/>
        <v>75.2</v>
      </c>
      <c r="M280" s="597">
        <f t="shared" si="23"/>
        <v>0</v>
      </c>
      <c r="O280" s="10" t="s">
        <v>716</v>
      </c>
      <c r="P280" s="12">
        <v>0</v>
      </c>
      <c r="Q280" s="12">
        <f t="shared" si="24"/>
        <v>0</v>
      </c>
      <c r="R280" s="32">
        <f>'CAPEX - Aquisições'!G87</f>
        <v>1</v>
      </c>
      <c r="S280" s="32">
        <f>6*12</f>
        <v>72</v>
      </c>
      <c r="T280" s="292">
        <f t="shared" si="25"/>
        <v>0</v>
      </c>
    </row>
    <row r="281" spans="3:20" ht="14.45" outlineLevel="1" thickBot="1">
      <c r="F281" s="10" t="s">
        <v>717</v>
      </c>
      <c r="G281" s="607">
        <f>'CAPEX - Aquisições'!C61</f>
        <v>10</v>
      </c>
      <c r="H281" s="597">
        <f>$D$262*D276</f>
        <v>25</v>
      </c>
      <c r="I281" s="607">
        <f>(D265*I264)+(D266*J264)</f>
        <v>188</v>
      </c>
      <c r="J281" s="596">
        <v>0</v>
      </c>
      <c r="K281" s="597">
        <f t="shared" si="22"/>
        <v>25.035370370370369</v>
      </c>
      <c r="L281" s="596">
        <f t="shared" si="26"/>
        <v>75.2</v>
      </c>
      <c r="M281" s="597">
        <f t="shared" si="23"/>
        <v>3765.3197037037039</v>
      </c>
      <c r="O281" s="10" t="s">
        <v>717</v>
      </c>
      <c r="P281" s="12">
        <f>'CAPEX - Aquisições'!H65</f>
        <v>2393.8666666666668</v>
      </c>
      <c r="Q281" s="12">
        <f t="shared" si="24"/>
        <v>239.38666666666668</v>
      </c>
      <c r="R281" s="32">
        <f>'CAPEX - Aquisições'!G80</f>
        <v>3</v>
      </c>
      <c r="S281" s="32">
        <f>I281*12</f>
        <v>2256</v>
      </c>
      <c r="T281" s="292">
        <f t="shared" si="25"/>
        <v>3.5370370370370371E-2</v>
      </c>
    </row>
    <row r="282" spans="3:20" ht="14.45" outlineLevel="1" thickBot="1">
      <c r="F282" s="10" t="s">
        <v>718</v>
      </c>
      <c r="G282" s="607">
        <f>'CAPEX - Aquisições'!C62*10</f>
        <v>100</v>
      </c>
      <c r="H282" s="597">
        <f>AVERAGE(D275,D276)*D262</f>
        <v>18.5</v>
      </c>
      <c r="I282" s="607">
        <f>(D265*I264)+(D266*J264)</f>
        <v>188</v>
      </c>
      <c r="J282" s="596">
        <v>0</v>
      </c>
      <c r="K282" s="597">
        <f t="shared" si="22"/>
        <v>18.501237765957448</v>
      </c>
      <c r="L282" s="596">
        <f t="shared" si="26"/>
        <v>75.2</v>
      </c>
      <c r="M282" s="597">
        <f t="shared" si="23"/>
        <v>2782.5861600000003</v>
      </c>
      <c r="O282" s="10" t="s">
        <v>718</v>
      </c>
      <c r="P282" s="12">
        <f>'CAPEX - Aquisições'!H62</f>
        <v>1396.2</v>
      </c>
      <c r="Q282" s="12">
        <f t="shared" si="24"/>
        <v>13.962</v>
      </c>
      <c r="R282" s="32">
        <f>'CAPEX - Aquisições'!G81</f>
        <v>5</v>
      </c>
      <c r="S282" s="32">
        <f>I282*12</f>
        <v>2256</v>
      </c>
      <c r="T282" s="292">
        <f t="shared" si="25"/>
        <v>1.2377659574468085E-3</v>
      </c>
    </row>
    <row r="283" spans="3:20" ht="14.45" outlineLevel="1" thickBot="1">
      <c r="F283" s="10" t="s">
        <v>719</v>
      </c>
      <c r="G283" s="607">
        <f>'CAPEX - Aquisições'!C63</f>
        <v>5</v>
      </c>
      <c r="H283" s="597">
        <f>$D$262*D275</f>
        <v>12</v>
      </c>
      <c r="I283" s="607">
        <f>(D265*I266)+(J266*D266)</f>
        <v>222</v>
      </c>
      <c r="J283" s="596">
        <v>0</v>
      </c>
      <c r="K283" s="597">
        <f t="shared" si="22"/>
        <v>12.013938104771437</v>
      </c>
      <c r="L283" s="596">
        <f t="shared" si="26"/>
        <v>88.800000000000011</v>
      </c>
      <c r="M283" s="597">
        <f t="shared" si="23"/>
        <v>2133.6754074074074</v>
      </c>
      <c r="O283" s="10" t="s">
        <v>719</v>
      </c>
      <c r="P283" s="12">
        <f>'CAPEX - Aquisições'!H63</f>
        <v>556.9666666666667</v>
      </c>
      <c r="Q283" s="12">
        <f t="shared" si="24"/>
        <v>111.39333333333335</v>
      </c>
      <c r="R283" s="32">
        <f>'CAPEX - Aquisições'!G82</f>
        <v>3</v>
      </c>
      <c r="S283" s="32">
        <f>I283*12</f>
        <v>2664</v>
      </c>
      <c r="T283" s="292">
        <f t="shared" si="25"/>
        <v>1.3938104771438106E-2</v>
      </c>
    </row>
    <row r="284" spans="3:20" ht="14.45" outlineLevel="1" thickBot="1">
      <c r="F284" s="10" t="s">
        <v>720</v>
      </c>
      <c r="G284" s="607">
        <f>'CAPEX - Aquisições'!C64</f>
        <v>10</v>
      </c>
      <c r="H284" s="597">
        <f>$D$262*D275</f>
        <v>12</v>
      </c>
      <c r="I284" s="607">
        <f>(D265*I263)+(J263*D266)</f>
        <v>188</v>
      </c>
      <c r="J284" s="596">
        <v>0</v>
      </c>
      <c r="K284" s="597">
        <f t="shared" si="22"/>
        <v>12.013538219070133</v>
      </c>
      <c r="L284" s="596">
        <f t="shared" si="26"/>
        <v>75.2</v>
      </c>
      <c r="M284" s="597">
        <f t="shared" si="23"/>
        <v>1806.8361481481481</v>
      </c>
      <c r="O284" s="10" t="s">
        <v>720</v>
      </c>
      <c r="P284" s="12">
        <f>'CAPEX - Aquisições'!H64</f>
        <v>916.26666666666665</v>
      </c>
      <c r="Q284" s="12">
        <f t="shared" si="24"/>
        <v>91.626666666666665</v>
      </c>
      <c r="R284" s="32">
        <f>'CAPEX - Aquisições'!G83</f>
        <v>3</v>
      </c>
      <c r="S284" s="32">
        <f>I284*12</f>
        <v>2256</v>
      </c>
      <c r="T284" s="292">
        <f t="shared" si="25"/>
        <v>1.3538219070133964E-2</v>
      </c>
    </row>
    <row r="285" spans="3:20" ht="14.45" outlineLevel="1" thickBot="1">
      <c r="F285" s="10" t="s">
        <v>721</v>
      </c>
      <c r="G285" s="607">
        <f>'CAPEX - Aquisições'!C65+'CAPEX - Aquisições'!C66</f>
        <v>35</v>
      </c>
      <c r="H285" s="597">
        <f>$D$262*D276</f>
        <v>25</v>
      </c>
      <c r="I285" s="607">
        <f>((I263*D265)+(J263*D266))+((I264*D265)+(J264*D266))</f>
        <v>376</v>
      </c>
      <c r="J285" s="596">
        <v>0</v>
      </c>
      <c r="K285" s="597">
        <f t="shared" si="22"/>
        <v>25.005329111786558</v>
      </c>
      <c r="L285" s="596">
        <f t="shared" si="26"/>
        <v>150.4</v>
      </c>
      <c r="M285" s="597">
        <f t="shared" si="23"/>
        <v>7521.602996825397</v>
      </c>
      <c r="O285" s="10" t="s">
        <v>721</v>
      </c>
      <c r="P285" s="12">
        <f>'CAPEX - Aquisições'!H65+'CAPEX - Aquisições'!H66</f>
        <v>4207.8666666666668</v>
      </c>
      <c r="Q285" s="12">
        <f t="shared" si="24"/>
        <v>120.22476190476191</v>
      </c>
      <c r="R285" s="32">
        <f>'CAPEX - Aquisições'!G85</f>
        <v>5</v>
      </c>
      <c r="S285" s="32">
        <f>I285*12</f>
        <v>4512</v>
      </c>
      <c r="T285" s="292">
        <f>Q285/(R285*S285)</f>
        <v>5.3291117865585953E-3</v>
      </c>
    </row>
    <row r="286" spans="3:20" outlineLevel="1"/>
    <row r="287" spans="3:20" outlineLevel="1"/>
    <row r="289" spans="1:8" s="5" customFormat="1">
      <c r="A289" s="2"/>
      <c r="C289" s="805" t="s">
        <v>26</v>
      </c>
    </row>
    <row r="290" spans="1:8" s="5" customFormat="1" ht="14.25" customHeight="1">
      <c r="A290" s="2"/>
      <c r="C290" s="805"/>
    </row>
    <row r="291" spans="1:8" ht="14.25" customHeight="1" outlineLevel="1"/>
    <row r="292" spans="1:8" outlineLevel="1"/>
    <row r="293" spans="1:8" ht="14.45" outlineLevel="1" thickBot="1">
      <c r="C293" s="806" t="s">
        <v>491</v>
      </c>
      <c r="D293" s="806"/>
      <c r="F293" s="815" t="s">
        <v>722</v>
      </c>
      <c r="G293" s="815"/>
    </row>
    <row r="294" spans="1:8" outlineLevel="1">
      <c r="C294" s="776" t="s">
        <v>723</v>
      </c>
      <c r="D294" s="620">
        <v>6.6853831740925704</v>
      </c>
    </row>
    <row r="295" spans="1:8" outlineLevel="1">
      <c r="C295" s="776" t="s">
        <v>724</v>
      </c>
      <c r="D295" s="621">
        <v>0.1</v>
      </c>
    </row>
    <row r="296" spans="1:8" outlineLevel="1">
      <c r="C296" s="803" t="s">
        <v>725</v>
      </c>
      <c r="D296" s="803"/>
    </row>
    <row r="297" spans="1:8" outlineLevel="1">
      <c r="C297" s="803" t="s">
        <v>726</v>
      </c>
      <c r="D297" s="803"/>
    </row>
    <row r="298" spans="1:8" outlineLevel="1"/>
    <row r="299" spans="1:8" ht="14.45" outlineLevel="1" thickBot="1">
      <c r="C299" s="811" t="s">
        <v>727</v>
      </c>
      <c r="D299" s="811"/>
      <c r="E299" s="811"/>
    </row>
    <row r="300" spans="1:8" ht="14.45" outlineLevel="1" thickBot="1">
      <c r="C300" s="10" t="s">
        <v>497</v>
      </c>
      <c r="D300" s="457" t="s">
        <v>728</v>
      </c>
      <c r="E300" s="457" t="s">
        <v>729</v>
      </c>
    </row>
    <row r="301" spans="1:8" ht="14.45" outlineLevel="1" thickBot="1">
      <c r="C301" s="10" t="s">
        <v>730</v>
      </c>
      <c r="D301" s="11">
        <v>4</v>
      </c>
      <c r="E301" s="26">
        <f>H306*D301</f>
        <v>105753.40227770073</v>
      </c>
    </row>
    <row r="302" spans="1:8" ht="14.45" outlineLevel="1" thickBot="1">
      <c r="C302" s="10" t="s">
        <v>731</v>
      </c>
      <c r="D302" s="11">
        <v>6</v>
      </c>
      <c r="E302" s="26">
        <f>H307*D302</f>
        <v>10339.867661612185</v>
      </c>
    </row>
    <row r="303" spans="1:8" outlineLevel="1"/>
    <row r="304" spans="1:8" ht="14.45" outlineLevel="1" thickBot="1">
      <c r="C304" s="811" t="s">
        <v>496</v>
      </c>
      <c r="D304" s="811"/>
      <c r="E304" s="811"/>
      <c r="F304" s="811"/>
      <c r="G304" s="811"/>
      <c r="H304" s="811"/>
    </row>
    <row r="305" spans="1:8" ht="14.45" outlineLevel="1" thickBot="1">
      <c r="C305" s="10" t="s">
        <v>497</v>
      </c>
      <c r="D305" s="457" t="s">
        <v>498</v>
      </c>
      <c r="E305" s="457" t="s">
        <v>499</v>
      </c>
      <c r="F305" s="457" t="s">
        <v>490</v>
      </c>
      <c r="G305" s="457" t="s">
        <v>732</v>
      </c>
      <c r="H305" s="457" t="s">
        <v>733</v>
      </c>
    </row>
    <row r="306" spans="1:8" ht="14.45" outlineLevel="1" thickBot="1">
      <c r="C306" s="10" t="s">
        <v>734</v>
      </c>
      <c r="D306" s="11">
        <v>1</v>
      </c>
      <c r="E306" s="159">
        <f>'Quadro de áreas'!G18</f>
        <v>3954.65</v>
      </c>
      <c r="F306" s="12">
        <f>D294</f>
        <v>6.6853831740925704</v>
      </c>
      <c r="G306" s="26">
        <f>F306*E306</f>
        <v>26438.350569425183</v>
      </c>
      <c r="H306" s="26">
        <f>G306*D306</f>
        <v>26438.350569425183</v>
      </c>
    </row>
    <row r="307" spans="1:8" ht="14.45" outlineLevel="1" thickBot="1">
      <c r="C307" s="10" t="s">
        <v>735</v>
      </c>
      <c r="D307" s="11">
        <v>1</v>
      </c>
      <c r="E307" s="159">
        <f>'Quadro de áreas'!G41*D295</f>
        <v>257.77300000000002</v>
      </c>
      <c r="F307" s="12">
        <f>D294</f>
        <v>6.6853831740925704</v>
      </c>
      <c r="G307" s="26">
        <f>F307*E307</f>
        <v>1723.3112769353643</v>
      </c>
      <c r="H307" s="26">
        <f>G307*D307</f>
        <v>1723.3112769353643</v>
      </c>
    </row>
    <row r="308" spans="1:8" outlineLevel="1"/>
    <row r="309" spans="1:8">
      <c r="C309" s="305"/>
    </row>
    <row r="310" spans="1:8" s="5" customFormat="1">
      <c r="A310" s="2"/>
      <c r="C310" s="805" t="s">
        <v>29</v>
      </c>
    </row>
    <row r="311" spans="1:8" s="5" customFormat="1">
      <c r="A311" s="2"/>
      <c r="C311" s="805"/>
    </row>
    <row r="312" spans="1:8" outlineLevel="1"/>
    <row r="313" spans="1:8" outlineLevel="1">
      <c r="E313" s="304"/>
    </row>
    <row r="314" spans="1:8" ht="14.45" outlineLevel="1" thickBot="1">
      <c r="C314" s="806" t="s">
        <v>662</v>
      </c>
      <c r="D314" s="806"/>
    </row>
    <row r="315" spans="1:8" outlineLevel="1">
      <c r="C315" s="776" t="s">
        <v>736</v>
      </c>
      <c r="D315" s="625">
        <v>1E-3</v>
      </c>
    </row>
    <row r="316" spans="1:8" outlineLevel="1">
      <c r="C316" s="776" t="s">
        <v>737</v>
      </c>
      <c r="D316" s="625">
        <v>5.0000000000000001E-3</v>
      </c>
    </row>
    <row r="317" spans="1:8" outlineLevel="1">
      <c r="C317" s="776" t="s">
        <v>738</v>
      </c>
      <c r="D317" s="625">
        <v>1E-3</v>
      </c>
    </row>
    <row r="318" spans="1:8" outlineLevel="1">
      <c r="C318" s="627" t="s">
        <v>739</v>
      </c>
      <c r="D318" s="627"/>
    </row>
    <row r="319" spans="1:8" outlineLevel="1">
      <c r="C319" s="776" t="s">
        <v>740</v>
      </c>
      <c r="D319" s="776">
        <v>90</v>
      </c>
    </row>
    <row r="320" spans="1:8" outlineLevel="1">
      <c r="C320" s="776" t="s">
        <v>741</v>
      </c>
      <c r="D320" s="776">
        <v>15</v>
      </c>
    </row>
    <row r="321" spans="3:10" outlineLevel="1">
      <c r="D321" s="35"/>
    </row>
    <row r="322" spans="3:10" outlineLevel="1">
      <c r="D322" s="35"/>
    </row>
    <row r="323" spans="3:10" outlineLevel="1">
      <c r="C323" s="776" t="s">
        <v>742</v>
      </c>
      <c r="D323" s="776" t="s">
        <v>743</v>
      </c>
    </row>
    <row r="324" spans="3:10" outlineLevel="1">
      <c r="C324" s="776" t="s">
        <v>744</v>
      </c>
      <c r="D324" s="624">
        <v>2</v>
      </c>
    </row>
    <row r="325" spans="3:10" outlineLevel="1">
      <c r="C325" s="776" t="s">
        <v>745</v>
      </c>
      <c r="D325" s="624">
        <v>13</v>
      </c>
    </row>
    <row r="326" spans="3:10" outlineLevel="1">
      <c r="C326" s="776" t="s">
        <v>746</v>
      </c>
      <c r="D326" s="624">
        <v>5</v>
      </c>
    </row>
    <row r="327" spans="3:10" outlineLevel="1">
      <c r="D327" s="35"/>
      <c r="G327" s="1" t="s">
        <v>747</v>
      </c>
    </row>
    <row r="328" spans="3:10" ht="14.45" outlineLevel="1" thickBot="1">
      <c r="D328" s="35"/>
    </row>
    <row r="329" spans="3:10" ht="14.45" outlineLevel="1" thickBot="1">
      <c r="C329" s="10" t="s">
        <v>742</v>
      </c>
      <c r="D329" s="10" t="s">
        <v>748</v>
      </c>
      <c r="E329" s="10" t="s">
        <v>749</v>
      </c>
      <c r="F329" s="10" t="s">
        <v>750</v>
      </c>
      <c r="G329" s="10" t="s">
        <v>751</v>
      </c>
      <c r="H329" s="10" t="s">
        <v>752</v>
      </c>
    </row>
    <row r="330" spans="3:10" ht="14.45" outlineLevel="1" thickBot="1">
      <c r="C330" s="10" t="s">
        <v>744</v>
      </c>
      <c r="D330" s="11">
        <f>D324</f>
        <v>2</v>
      </c>
      <c r="E330" s="626">
        <v>1200</v>
      </c>
      <c r="F330" s="537">
        <f>D315*$F$357</f>
        <v>10.64</v>
      </c>
      <c r="G330" s="26">
        <f>F330*E330</f>
        <v>12768</v>
      </c>
      <c r="H330" s="26">
        <f>G330*12</f>
        <v>153216</v>
      </c>
    </row>
    <row r="331" spans="3:10" ht="14.45" outlineLevel="1" thickBot="1">
      <c r="C331" s="10" t="s">
        <v>753</v>
      </c>
      <c r="D331" s="11">
        <f>D325</f>
        <v>13</v>
      </c>
      <c r="E331" s="626">
        <v>1900</v>
      </c>
      <c r="F331" s="11">
        <f>D316*$F$357</f>
        <v>53.2</v>
      </c>
      <c r="G331" s="26">
        <f>F331*E331</f>
        <v>101080</v>
      </c>
      <c r="H331" s="26">
        <f>G331*12</f>
        <v>1212960</v>
      </c>
    </row>
    <row r="332" spans="3:10" ht="14.45" outlineLevel="1" thickBot="1">
      <c r="C332" s="10" t="s">
        <v>754</v>
      </c>
      <c r="D332" s="11">
        <f>D326</f>
        <v>5</v>
      </c>
      <c r="E332" s="626">
        <f>E331</f>
        <v>1900</v>
      </c>
      <c r="F332" s="11">
        <f t="shared" ref="F332" si="27">D317*$F$357</f>
        <v>10.64</v>
      </c>
      <c r="G332" s="26">
        <f>F332*E332</f>
        <v>20216</v>
      </c>
      <c r="H332" s="26">
        <f>G332*12</f>
        <v>242592</v>
      </c>
    </row>
    <row r="333" spans="3:10" outlineLevel="1">
      <c r="D333" s="35"/>
    </row>
    <row r="334" spans="3:10" outlineLevel="1">
      <c r="F334" s="383"/>
      <c r="G334" s="383"/>
      <c r="J334" s="384"/>
    </row>
    <row r="335" spans="3:10">
      <c r="C335" s="772" t="s">
        <v>755</v>
      </c>
      <c r="D335" s="772" t="s">
        <v>756</v>
      </c>
      <c r="E335" s="772" t="s">
        <v>757</v>
      </c>
      <c r="F335" s="772" t="s">
        <v>758</v>
      </c>
      <c r="J335" s="384"/>
    </row>
    <row r="336" spans="3:10">
      <c r="C336" s="141" t="s">
        <v>759</v>
      </c>
      <c r="D336" s="141" t="s">
        <v>479</v>
      </c>
      <c r="E336" s="32">
        <v>41822</v>
      </c>
      <c r="F336" s="32"/>
    </row>
    <row r="337" spans="3:12">
      <c r="C337" s="141" t="s">
        <v>759</v>
      </c>
      <c r="D337" s="141" t="s">
        <v>760</v>
      </c>
      <c r="E337" s="32">
        <v>154</v>
      </c>
      <c r="F337" s="32"/>
    </row>
    <row r="338" spans="3:12">
      <c r="C338" s="141" t="s">
        <v>759</v>
      </c>
      <c r="D338" s="141" t="s">
        <v>761</v>
      </c>
      <c r="E338" s="32">
        <v>55</v>
      </c>
      <c r="F338" s="32"/>
    </row>
    <row r="339" spans="3:12">
      <c r="C339" s="141" t="s">
        <v>759</v>
      </c>
      <c r="D339" s="141" t="s">
        <v>762</v>
      </c>
      <c r="E339" s="32">
        <v>2256</v>
      </c>
      <c r="F339" s="32"/>
    </row>
    <row r="340" spans="3:12">
      <c r="C340" s="141" t="s">
        <v>759</v>
      </c>
      <c r="D340" s="141" t="s">
        <v>763</v>
      </c>
      <c r="E340" s="32">
        <v>114</v>
      </c>
      <c r="F340" s="32"/>
    </row>
    <row r="341" spans="3:12">
      <c r="C341" s="141" t="s">
        <v>759</v>
      </c>
      <c r="D341" s="141" t="s">
        <v>764</v>
      </c>
      <c r="E341" s="32">
        <v>97</v>
      </c>
      <c r="F341" s="32"/>
    </row>
    <row r="342" spans="3:12">
      <c r="C342" s="141" t="s">
        <v>759</v>
      </c>
      <c r="D342" s="141" t="s">
        <v>765</v>
      </c>
      <c r="E342" s="32">
        <v>2602</v>
      </c>
      <c r="F342" s="32"/>
    </row>
    <row r="343" spans="3:12">
      <c r="C343" s="141" t="s">
        <v>759</v>
      </c>
      <c r="D343" s="141" t="s">
        <v>766</v>
      </c>
      <c r="E343" s="32">
        <v>15500</v>
      </c>
      <c r="F343" s="32"/>
      <c r="G343" s="383"/>
      <c r="H343" s="383"/>
      <c r="I343" s="383"/>
      <c r="J343" s="383"/>
      <c r="K343" s="383"/>
      <c r="L343" s="383"/>
    </row>
    <row r="344" spans="3:12">
      <c r="C344" s="141" t="s">
        <v>759</v>
      </c>
      <c r="D344" s="141" t="s">
        <v>767</v>
      </c>
      <c r="E344" s="32">
        <v>1011</v>
      </c>
      <c r="F344" s="32"/>
      <c r="G344" s="383"/>
      <c r="H344" s="383"/>
      <c r="I344" s="383"/>
      <c r="J344" s="383"/>
      <c r="K344" s="383"/>
      <c r="L344" s="383"/>
    </row>
    <row r="345" spans="3:12">
      <c r="C345" s="141" t="s">
        <v>759</v>
      </c>
      <c r="D345" s="141" t="s">
        <v>768</v>
      </c>
      <c r="E345" s="32">
        <v>2202</v>
      </c>
      <c r="F345" s="32">
        <f t="shared" ref="F345:F354" si="28">E345</f>
        <v>2202</v>
      </c>
      <c r="G345" s="383"/>
      <c r="H345" s="383"/>
      <c r="I345" s="383"/>
      <c r="J345" s="383"/>
      <c r="K345" s="383"/>
      <c r="L345" s="383"/>
    </row>
    <row r="346" spans="3:12">
      <c r="C346" s="141" t="s">
        <v>759</v>
      </c>
      <c r="D346" s="141" t="s">
        <v>769</v>
      </c>
      <c r="E346" s="32">
        <v>1103</v>
      </c>
      <c r="F346" s="32">
        <f t="shared" si="28"/>
        <v>1103</v>
      </c>
      <c r="G346" s="383"/>
      <c r="H346" s="383"/>
      <c r="I346" s="383"/>
      <c r="J346" s="383"/>
      <c r="K346" s="383"/>
      <c r="L346" s="383"/>
    </row>
    <row r="347" spans="3:12">
      <c r="C347" s="141" t="s">
        <v>759</v>
      </c>
      <c r="D347" s="141" t="s">
        <v>770</v>
      </c>
      <c r="E347" s="32">
        <v>675</v>
      </c>
      <c r="F347" s="32">
        <f t="shared" si="28"/>
        <v>675</v>
      </c>
      <c r="G347" s="383"/>
      <c r="H347" s="383"/>
      <c r="I347" s="383"/>
      <c r="J347" s="383"/>
      <c r="K347" s="383"/>
      <c r="L347" s="383"/>
    </row>
    <row r="348" spans="3:12">
      <c r="C348" s="141" t="s">
        <v>759</v>
      </c>
      <c r="D348" s="141" t="s">
        <v>771</v>
      </c>
      <c r="E348" s="32">
        <v>671</v>
      </c>
      <c r="F348" s="32">
        <f>E348</f>
        <v>671</v>
      </c>
      <c r="G348" s="383"/>
      <c r="H348" s="383"/>
      <c r="I348" s="383"/>
      <c r="J348" s="383"/>
      <c r="K348" s="383"/>
      <c r="L348" s="383"/>
    </row>
    <row r="349" spans="3:12">
      <c r="C349" s="141" t="s">
        <v>759</v>
      </c>
      <c r="D349" s="141" t="s">
        <v>772</v>
      </c>
      <c r="E349" s="32">
        <v>3480</v>
      </c>
      <c r="F349" s="32"/>
      <c r="G349" s="383"/>
      <c r="H349" s="383"/>
      <c r="I349" s="383"/>
      <c r="J349" s="383"/>
      <c r="K349" s="383"/>
      <c r="L349" s="383"/>
    </row>
    <row r="350" spans="3:12" ht="14.25" customHeight="1">
      <c r="C350" s="141" t="s">
        <v>759</v>
      </c>
      <c r="D350" s="141" t="s">
        <v>773</v>
      </c>
      <c r="E350" s="32">
        <v>2907</v>
      </c>
      <c r="F350" s="32"/>
      <c r="G350" s="383"/>
      <c r="H350" s="383"/>
      <c r="I350" s="383"/>
      <c r="J350" s="383"/>
      <c r="K350" s="383"/>
      <c r="L350" s="383"/>
    </row>
    <row r="351" spans="3:12">
      <c r="C351" s="141" t="s">
        <v>759</v>
      </c>
      <c r="D351" s="141" t="s">
        <v>774</v>
      </c>
      <c r="E351" s="32">
        <v>194</v>
      </c>
      <c r="F351" s="32"/>
      <c r="G351" s="383"/>
      <c r="H351" s="383"/>
      <c r="I351" s="383"/>
      <c r="J351" s="383"/>
      <c r="K351" s="383"/>
      <c r="L351" s="383"/>
    </row>
    <row r="352" spans="3:12">
      <c r="C352" s="141" t="s">
        <v>759</v>
      </c>
      <c r="D352" s="141" t="s">
        <v>775</v>
      </c>
      <c r="E352" s="32">
        <v>1614</v>
      </c>
      <c r="F352" s="32">
        <f t="shared" si="28"/>
        <v>1614</v>
      </c>
      <c r="G352" s="383"/>
      <c r="H352" s="383"/>
      <c r="I352" s="383"/>
      <c r="J352" s="383"/>
      <c r="K352" s="383"/>
      <c r="L352" s="383"/>
    </row>
    <row r="353" spans="3:12">
      <c r="C353" s="141" t="s">
        <v>759</v>
      </c>
      <c r="D353" s="141" t="s">
        <v>776</v>
      </c>
      <c r="E353" s="32">
        <v>3689</v>
      </c>
      <c r="F353" s="32">
        <f>E353</f>
        <v>3689</v>
      </c>
      <c r="G353" s="383"/>
      <c r="H353" s="383"/>
      <c r="I353" s="383"/>
      <c r="J353" s="383"/>
      <c r="K353" s="383"/>
      <c r="L353" s="383"/>
    </row>
    <row r="354" spans="3:12">
      <c r="C354" s="141" t="s">
        <v>759</v>
      </c>
      <c r="D354" s="141" t="s">
        <v>777</v>
      </c>
      <c r="E354" s="32">
        <v>686</v>
      </c>
      <c r="F354" s="32">
        <f t="shared" si="28"/>
        <v>686</v>
      </c>
      <c r="G354" s="383"/>
      <c r="H354" s="383"/>
      <c r="I354" s="383"/>
      <c r="J354" s="383"/>
      <c r="K354" s="383"/>
      <c r="L354" s="383"/>
    </row>
    <row r="355" spans="3:12">
      <c r="C355" s="141" t="s">
        <v>759</v>
      </c>
      <c r="D355" s="141" t="s">
        <v>778</v>
      </c>
      <c r="E355" s="32">
        <v>2812</v>
      </c>
      <c r="F355" s="32"/>
      <c r="G355" s="383"/>
      <c r="H355" s="383"/>
      <c r="I355" s="383"/>
      <c r="J355" s="383"/>
      <c r="K355" s="383"/>
      <c r="L355" s="383"/>
    </row>
    <row r="356" spans="3:12">
      <c r="C356" s="141" t="s">
        <v>759</v>
      </c>
      <c r="D356" s="141" t="s">
        <v>779</v>
      </c>
      <c r="E356" s="32" t="s">
        <v>780</v>
      </c>
      <c r="F356" s="32"/>
      <c r="G356" s="383"/>
      <c r="H356" s="383"/>
      <c r="I356" s="383"/>
      <c r="J356" s="383"/>
      <c r="K356" s="383"/>
      <c r="L356" s="383"/>
    </row>
    <row r="357" spans="3:12">
      <c r="C357" s="141" t="s">
        <v>759</v>
      </c>
      <c r="D357" s="141" t="s">
        <v>479</v>
      </c>
      <c r="E357" s="32">
        <f>SUM(E336:E356)</f>
        <v>83644</v>
      </c>
      <c r="F357" s="32">
        <f>SUM(F336:F356)</f>
        <v>10640</v>
      </c>
      <c r="G357" s="383"/>
      <c r="H357" s="383"/>
      <c r="I357" s="383"/>
      <c r="J357" s="383"/>
      <c r="K357" s="383"/>
      <c r="L357" s="383"/>
    </row>
    <row r="358" spans="3:12">
      <c r="F358" s="383"/>
      <c r="G358" s="383"/>
      <c r="H358" s="383"/>
      <c r="I358" s="383"/>
      <c r="J358" s="383"/>
      <c r="K358" s="383"/>
      <c r="L358" s="383"/>
    </row>
    <row r="359" spans="3:12" ht="15">
      <c r="C359" s="177" t="s">
        <v>781</v>
      </c>
      <c r="D359" s="177"/>
    </row>
    <row r="360" spans="3:12" ht="72">
      <c r="C360" s="111" t="s">
        <v>782</v>
      </c>
    </row>
  </sheetData>
  <mergeCells count="53">
    <mergeCell ref="C1:C2"/>
    <mergeCell ref="C90:D90"/>
    <mergeCell ref="C35:D35"/>
    <mergeCell ref="C9:D9"/>
    <mergeCell ref="C25:C26"/>
    <mergeCell ref="C29:D29"/>
    <mergeCell ref="C52:C53"/>
    <mergeCell ref="C74:J74"/>
    <mergeCell ref="C56:D56"/>
    <mergeCell ref="C69:D69"/>
    <mergeCell ref="C84:C85"/>
    <mergeCell ref="C89:D89"/>
    <mergeCell ref="C314:D314"/>
    <mergeCell ref="C226:C227"/>
    <mergeCell ref="C257:C258"/>
    <mergeCell ref="C214:D214"/>
    <mergeCell ref="C234:D234"/>
    <mergeCell ref="C310:C311"/>
    <mergeCell ref="C299:E299"/>
    <mergeCell ref="C296:D296"/>
    <mergeCell ref="C297:D297"/>
    <mergeCell ref="C289:C290"/>
    <mergeCell ref="C293:D293"/>
    <mergeCell ref="C304:H304"/>
    <mergeCell ref="F293:G293"/>
    <mergeCell ref="C261:D261"/>
    <mergeCell ref="C274:D274"/>
    <mergeCell ref="C269:D269"/>
    <mergeCell ref="J109:K109"/>
    <mergeCell ref="L109:M109"/>
    <mergeCell ref="C151:F151"/>
    <mergeCell ref="C147:D147"/>
    <mergeCell ref="C97:D97"/>
    <mergeCell ref="C143:D143"/>
    <mergeCell ref="C134:C135"/>
    <mergeCell ref="C138:D138"/>
    <mergeCell ref="I246:M246"/>
    <mergeCell ref="C188:F188"/>
    <mergeCell ref="C182:D182"/>
    <mergeCell ref="C165:D165"/>
    <mergeCell ref="C175:D175"/>
    <mergeCell ref="C194:C195"/>
    <mergeCell ref="C199:D199"/>
    <mergeCell ref="C229:D229"/>
    <mergeCell ref="C92:D92"/>
    <mergeCell ref="C87:D87"/>
    <mergeCell ref="C161:C162"/>
    <mergeCell ref="C169:D169"/>
    <mergeCell ref="C41:H41"/>
    <mergeCell ref="C91:D91"/>
    <mergeCell ref="C93:D93"/>
    <mergeCell ref="C94:D94"/>
    <mergeCell ref="C88:D88"/>
  </mergeCells>
  <phoneticPr fontId="69" type="noConversion"/>
  <conditionalFormatting sqref="G166:G172">
    <cfRule type="cellIs" dxfId="48" priority="1" operator="equal">
      <formula>"Sim"</formula>
    </cfRule>
    <cfRule type="cellIs" dxfId="47" priority="2" operator="equal">
      <formula>"Não"</formula>
    </cfRule>
  </conditionalFormatting>
  <conditionalFormatting sqref="M131">
    <cfRule type="cellIs" dxfId="46" priority="3" operator="equal">
      <formula>"ok"</formula>
    </cfRule>
  </conditionalFormatting>
  <dataValidations count="2">
    <dataValidation allowBlank="1" showInputMessage="1" showErrorMessage="1" promptTitle="Mensagem" prompt="Valor Atribuído como premissa e utilizado no equilibrio do MEF" sqref="D32" xr:uid="{00000000-0002-0000-0400-000000000000}"/>
    <dataValidation type="list" allowBlank="1" showInputMessage="1" showErrorMessage="1" sqref="G166:G172" xr:uid="{00000000-0002-0000-0400-000001000000}">
      <formula1>"Sim, Não"</formula1>
    </dataValidation>
  </dataValidations>
  <hyperlinks>
    <hyperlink ref="G247" r:id="rId1" location=":~:text=padr%C3%B5es%20do%20INMETRO.-,Bateria,segura%20e%20eficiente%20do%20mercado." display=":~:text=padr%C3%B5es%20do%20INMETRO.-,Bateria,segura%20e%20eficiente%20do%20mercado." xr:uid="{00000000-0004-0000-0400-000000000000}"/>
    <hyperlink ref="G248" r:id="rId2" display="https://www.byd.com/br/car/dolphin-plus" xr:uid="{00000000-0004-0000-0400-000001000000}"/>
    <hyperlink ref="G249" r:id="rId3" display="https://www.gwmmotors.com.br/pt/modelos/ora-03-skin" xr:uid="{00000000-0004-0000-0400-000002000000}"/>
    <hyperlink ref="C112" r:id="rId4" xr:uid="{00000000-0004-0000-0400-000003000000}"/>
    <hyperlink ref="C359" r:id="rId5" display="https://www.ibge.gov.br/estatisticas/economicas/comercio/9016-estatisticas-do-cadastro-central-de-empresas.html" xr:uid="{C4E66620-C5DC-4439-9408-7C321E072E5E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6"/>
  <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22"/>
  <dimension ref="A1:X78"/>
  <sheetViews>
    <sheetView showGridLines="0" zoomScale="85" zoomScaleNormal="85" workbookViewId="0"/>
  </sheetViews>
  <sheetFormatPr defaultRowHeight="14.45" outlineLevelRow="1"/>
  <cols>
    <col min="1" max="1" width="8.85546875" style="2"/>
    <col min="2" max="2" width="9.7109375" bestFit="1" customWidth="1"/>
    <col min="3" max="3" width="13.7109375" bestFit="1" customWidth="1"/>
    <col min="4" max="4" width="14.7109375" customWidth="1"/>
    <col min="5" max="5" width="12" bestFit="1" customWidth="1"/>
    <col min="6" max="6" width="16.28515625" bestFit="1" customWidth="1"/>
    <col min="7" max="7" width="40.28515625" bestFit="1" customWidth="1"/>
    <col min="8" max="8" width="55" customWidth="1"/>
    <col min="9" max="9" width="23.140625" bestFit="1" customWidth="1"/>
    <col min="10" max="10" width="68.7109375" bestFit="1" customWidth="1"/>
    <col min="12" max="12" width="14.5703125" bestFit="1" customWidth="1"/>
    <col min="13" max="13" width="22.28515625" bestFit="1" customWidth="1"/>
    <col min="14" max="14" width="14.5703125" bestFit="1" customWidth="1"/>
    <col min="15" max="15" width="15.42578125" bestFit="1" customWidth="1"/>
    <col min="16" max="16" width="10.5703125" bestFit="1" customWidth="1"/>
    <col min="17" max="17" width="8.85546875" style="15"/>
    <col min="18" max="18" width="12.7109375" bestFit="1" customWidth="1"/>
    <col min="19" max="19" width="11.7109375" customWidth="1"/>
    <col min="23" max="23" width="33.7109375" bestFit="1" customWidth="1"/>
  </cols>
  <sheetData>
    <row r="1" spans="1:24" s="2" customFormat="1" ht="13.9">
      <c r="C1" s="798" t="s">
        <v>783</v>
      </c>
      <c r="D1" s="798"/>
      <c r="E1" s="798"/>
      <c r="F1" s="798"/>
      <c r="G1" s="798"/>
      <c r="Q1" s="487"/>
    </row>
    <row r="2" spans="1:24" s="2" customFormat="1" ht="13.9">
      <c r="C2" s="798"/>
      <c r="D2" s="798"/>
      <c r="E2" s="798"/>
      <c r="F2" s="798"/>
      <c r="G2" s="798"/>
      <c r="Q2" s="487"/>
    </row>
    <row r="4" spans="1:24" s="517" customFormat="1" ht="15.6">
      <c r="A4" s="2"/>
      <c r="C4" s="517" t="s">
        <v>536</v>
      </c>
    </row>
    <row r="5" spans="1:24" outlineLevel="1">
      <c r="C5" s="818" t="s">
        <v>784</v>
      </c>
      <c r="D5" s="818"/>
      <c r="E5" s="818"/>
      <c r="F5" s="818"/>
      <c r="G5" s="818"/>
    </row>
    <row r="6" spans="1:24" outlineLevel="1">
      <c r="C6" s="459" t="s">
        <v>554</v>
      </c>
      <c r="D6" s="459" t="s">
        <v>785</v>
      </c>
      <c r="E6" s="459" t="s">
        <v>786</v>
      </c>
      <c r="F6" s="459" t="s">
        <v>787</v>
      </c>
      <c r="G6" s="459" t="s">
        <v>788</v>
      </c>
      <c r="I6" s="818" t="s">
        <v>789</v>
      </c>
      <c r="J6" s="818"/>
      <c r="K6" s="818"/>
      <c r="L6" s="818"/>
      <c r="N6" s="818" t="s">
        <v>790</v>
      </c>
      <c r="O6" s="818"/>
      <c r="Q6" s="493"/>
      <c r="R6" s="493"/>
      <c r="S6" s="493" t="s">
        <v>791</v>
      </c>
      <c r="T6" s="493"/>
      <c r="U6" s="493"/>
      <c r="W6" s="497" t="s">
        <v>792</v>
      </c>
      <c r="X6" s="497"/>
    </row>
    <row r="7" spans="1:24" outlineLevel="1">
      <c r="B7" s="466">
        <f t="shared" ref="B7:B26" si="0">E7</f>
        <v>0.20718933333333334</v>
      </c>
      <c r="C7" s="478" t="s">
        <v>565</v>
      </c>
      <c r="D7" s="479" t="s">
        <v>793</v>
      </c>
      <c r="E7" s="480">
        <v>0.20718933333333334</v>
      </c>
      <c r="F7" s="481">
        <f>E7/SUM($E$7:$E$26)</f>
        <v>2.5272527375284695E-2</v>
      </c>
      <c r="G7" s="16" t="s">
        <v>794</v>
      </c>
      <c r="I7" s="460" t="s">
        <v>785</v>
      </c>
      <c r="J7" s="460" t="s">
        <v>795</v>
      </c>
      <c r="K7" s="460" t="s">
        <v>796</v>
      </c>
      <c r="L7" s="460" t="s">
        <v>797</v>
      </c>
      <c r="N7" s="460" t="s">
        <v>798</v>
      </c>
      <c r="O7" s="460" t="s">
        <v>799</v>
      </c>
      <c r="Q7" s="493" t="str">
        <f>'RECEITAS '!F110</f>
        <v>Hora</v>
      </c>
      <c r="R7" s="493" t="str">
        <f>'RECEITAS '!I110</f>
        <v>Veículos (A+ B)</v>
      </c>
      <c r="S7" s="493" t="str">
        <f>'RECEITAS '!J110</f>
        <v>Probabilidade de haver vaga gratuita</v>
      </c>
      <c r="T7" s="493" t="str">
        <f>'RECEITAS '!L110</f>
        <v>Probabilidade De usar a  vaga gratuita</v>
      </c>
      <c r="U7" s="493" t="str">
        <f>'RECEITAS '!M110</f>
        <v>Probabilidade de ir Usar a vaga paga</v>
      </c>
      <c r="W7" s="498" t="s">
        <v>800</v>
      </c>
      <c r="X7" s="498"/>
    </row>
    <row r="8" spans="1:24" outlineLevel="1">
      <c r="B8" s="466">
        <f t="shared" si="0"/>
        <v>0.62156800000000001</v>
      </c>
      <c r="C8" s="478" t="s">
        <v>567</v>
      </c>
      <c r="D8" s="482" t="s">
        <v>801</v>
      </c>
      <c r="E8" s="478">
        <v>0.62156800000000001</v>
      </c>
      <c r="F8" s="481">
        <f t="shared" ref="F8:F26" si="1">E8/SUM($E$7:$E$26)</f>
        <v>7.5817582125854086E-2</v>
      </c>
      <c r="G8" s="16" t="s">
        <v>802</v>
      </c>
      <c r="I8" t="s">
        <v>793</v>
      </c>
      <c r="J8" s="192">
        <f>COUNTIF(D:D,I8)</f>
        <v>7</v>
      </c>
      <c r="K8" s="461">
        <f>J8/SUM(J$8:J$11)</f>
        <v>0.35</v>
      </c>
      <c r="L8" s="462">
        <f>AVERAGEIF(D:D,I8,E:E)</f>
        <v>0.11825199047619048</v>
      </c>
      <c r="N8" s="114" t="s">
        <v>803</v>
      </c>
      <c r="O8" s="415">
        <f>SUM('RECEITAS '!H111:H114)</f>
        <v>0.2279206944018527</v>
      </c>
      <c r="Q8" s="478" t="str">
        <f>'RECEITAS '!F111</f>
        <v>5h</v>
      </c>
      <c r="R8" s="494">
        <f>'RECEITAS '!I111</f>
        <v>5.4602959546028504</v>
      </c>
      <c r="S8" s="488">
        <f>'RECEITAS '!J111</f>
        <v>0.79281066666666666</v>
      </c>
      <c r="T8" s="488">
        <f>'RECEITAS '!L111</f>
        <v>0.52854044444444437</v>
      </c>
      <c r="U8" s="488">
        <f>'RECEITAS '!M111</f>
        <v>0.47145955555555563</v>
      </c>
      <c r="W8" s="499" t="str">
        <f>'RECEITAS '!C119</f>
        <v>Tempo médio de permanência</v>
      </c>
      <c r="X8" s="500">
        <f>'RECEITAS '!D119</f>
        <v>2</v>
      </c>
    </row>
    <row r="9" spans="1:24" outlineLevel="1">
      <c r="B9" s="466">
        <f t="shared" si="0"/>
        <v>0.58156799999999997</v>
      </c>
      <c r="C9" s="478" t="s">
        <v>569</v>
      </c>
      <c r="D9" s="482" t="s">
        <v>804</v>
      </c>
      <c r="E9" s="478">
        <v>0.58156799999999997</v>
      </c>
      <c r="F9" s="481">
        <f t="shared" si="1"/>
        <v>7.0938464659970765E-2</v>
      </c>
      <c r="G9" s="16" t="s">
        <v>805</v>
      </c>
      <c r="I9" t="s">
        <v>806</v>
      </c>
      <c r="J9" s="192">
        <f>COUNTIF(D:D,I9)</f>
        <v>8</v>
      </c>
      <c r="K9" s="461">
        <f t="shared" ref="K9:L12" si="2">J9/SUM(J$8:J$11)</f>
        <v>0.4</v>
      </c>
      <c r="L9" s="462">
        <f>AVERAGEIF(D:D,I9,E:E)</f>
        <v>0.45036725</v>
      </c>
      <c r="N9" s="114" t="s">
        <v>807</v>
      </c>
      <c r="O9" s="415">
        <f>SUM('RECEITAS '!H115:H117)</f>
        <v>0.16596281466821119</v>
      </c>
      <c r="Q9" s="478" t="str">
        <f>'RECEITAS '!F112</f>
        <v>6h</v>
      </c>
      <c r="R9" s="494">
        <f>'RECEITAS '!I112</f>
        <v>16.38088786380855</v>
      </c>
      <c r="S9" s="488">
        <f>'RECEITAS '!J112</f>
        <v>0.37843199999999999</v>
      </c>
      <c r="T9" s="488">
        <f>'RECEITAS '!L112</f>
        <v>0.25228799999999996</v>
      </c>
      <c r="U9" s="488">
        <f>'RECEITAS '!M112</f>
        <v>0.74771200000000004</v>
      </c>
      <c r="W9" s="499" t="s">
        <v>808</v>
      </c>
      <c r="X9" s="501">
        <f>'RECEITAS '!N131</f>
        <v>182.17214481618913</v>
      </c>
    </row>
    <row r="10" spans="1:24" outlineLevel="1">
      <c r="B10" s="466">
        <f t="shared" si="0"/>
        <v>0.45821499999999998</v>
      </c>
      <c r="C10" s="478" t="s">
        <v>571</v>
      </c>
      <c r="D10" s="482" t="s">
        <v>806</v>
      </c>
      <c r="E10" s="478">
        <v>0.45821499999999998</v>
      </c>
      <c r="F10" s="481">
        <f t="shared" si="1"/>
        <v>5.589212024074313E-2</v>
      </c>
      <c r="G10" s="16" t="s">
        <v>809</v>
      </c>
      <c r="H10" s="477"/>
      <c r="I10" t="s">
        <v>804</v>
      </c>
      <c r="J10" s="192">
        <f>COUNTIF(D:D,I10)</f>
        <v>3</v>
      </c>
      <c r="K10" s="461">
        <f t="shared" si="2"/>
        <v>0.15</v>
      </c>
      <c r="L10" s="462">
        <f>AVERAGEIF(D:D,I10,E:E)</f>
        <v>0.71792533333333319</v>
      </c>
      <c r="N10" s="114" t="s">
        <v>810</v>
      </c>
      <c r="O10" s="415">
        <f>SUM('RECEITAS '!H118:H123)</f>
        <v>0.12429924996823896</v>
      </c>
      <c r="Q10" s="478" t="str">
        <f>'RECEITAS '!F113</f>
        <v>7h</v>
      </c>
      <c r="R10" s="494">
        <f>'RECEITAS '!I113</f>
        <v>15.326722407169306</v>
      </c>
      <c r="S10" s="488">
        <f>'RECEITAS '!J113</f>
        <v>0.41843200000000003</v>
      </c>
      <c r="T10" s="488">
        <f>'RECEITAS '!L113</f>
        <v>0.27895466666666668</v>
      </c>
      <c r="U10" s="488">
        <f>'RECEITAS '!M113</f>
        <v>0.72104533333333332</v>
      </c>
      <c r="W10" s="499" t="s">
        <v>811</v>
      </c>
      <c r="X10" s="500">
        <f>'RECEITAS '!D118</f>
        <v>20</v>
      </c>
    </row>
    <row r="11" spans="1:24" outlineLevel="1">
      <c r="B11" s="466">
        <f t="shared" si="0"/>
        <v>0.45589300000000005</v>
      </c>
      <c r="C11" s="478" t="s">
        <v>573</v>
      </c>
      <c r="D11" s="482" t="s">
        <v>806</v>
      </c>
      <c r="E11" s="478">
        <v>0.45589300000000005</v>
      </c>
      <c r="F11" s="481">
        <f t="shared" si="1"/>
        <v>5.5608887471848611E-2</v>
      </c>
      <c r="G11" s="16" t="s">
        <v>812</v>
      </c>
      <c r="H11" s="477"/>
      <c r="I11" s="463" t="s">
        <v>801</v>
      </c>
      <c r="J11" s="190">
        <f>COUNTIF(D:D,I11)</f>
        <v>2</v>
      </c>
      <c r="K11" s="464">
        <f t="shared" si="2"/>
        <v>0.1</v>
      </c>
      <c r="L11" s="465">
        <f>AVERAGEIF(D:D,I11,E:E)</f>
        <v>0.806863</v>
      </c>
      <c r="N11" s="475" t="s">
        <v>813</v>
      </c>
      <c r="O11" s="476">
        <f>SUM('RECEITAS '!H124:H130)</f>
        <v>0.48181724096169709</v>
      </c>
      <c r="Q11" s="478" t="str">
        <f>'RECEITAS '!F114</f>
        <v>8h</v>
      </c>
      <c r="R11" s="494">
        <f>'RECEITAS '!I114</f>
        <v>12.075860617848786</v>
      </c>
      <c r="S11" s="488">
        <f>'RECEITAS '!J114</f>
        <v>0.54178499999999996</v>
      </c>
      <c r="T11" s="488">
        <f>'RECEITAS '!L114</f>
        <v>0.36119000000000001</v>
      </c>
      <c r="U11" s="488">
        <f>'RECEITAS '!M114</f>
        <v>0.63880999999999999</v>
      </c>
      <c r="W11" s="499" t="s">
        <v>814</v>
      </c>
      <c r="X11" s="502">
        <f>(X9*X8)/X10</f>
        <v>18.217214481618914</v>
      </c>
    </row>
    <row r="12" spans="1:24" ht="15" outlineLevel="1" thickBot="1">
      <c r="B12" s="466">
        <f t="shared" si="0"/>
        <v>0.45354200000000006</v>
      </c>
      <c r="C12" s="478" t="s">
        <v>575</v>
      </c>
      <c r="D12" s="482" t="s">
        <v>806</v>
      </c>
      <c r="E12" s="478">
        <v>0.45354200000000006</v>
      </c>
      <c r="F12" s="481">
        <f t="shared" si="1"/>
        <v>5.532211734279132E-2</v>
      </c>
      <c r="G12" s="16" t="s">
        <v>815</v>
      </c>
      <c r="H12" s="477"/>
      <c r="I12" t="s">
        <v>479</v>
      </c>
      <c r="J12" s="192">
        <f>SUM(J8:J11)</f>
        <v>20</v>
      </c>
      <c r="K12" s="461">
        <f t="shared" si="2"/>
        <v>1</v>
      </c>
      <c r="L12" s="462">
        <f t="shared" si="2"/>
        <v>1</v>
      </c>
      <c r="N12" s="474" t="s">
        <v>479</v>
      </c>
      <c r="O12" s="415">
        <f>SUM(O8:O11)</f>
        <v>0.99999999999999989</v>
      </c>
      <c r="Q12" s="478" t="str">
        <f>'RECEITAS '!F115</f>
        <v>9h</v>
      </c>
      <c r="R12" s="494">
        <f>'RECEITAS '!I115</f>
        <v>12.01466631309088</v>
      </c>
      <c r="S12" s="488">
        <f>'RECEITAS '!J115</f>
        <v>0.5441069999999999</v>
      </c>
      <c r="T12" s="488">
        <f>'RECEITAS '!L115</f>
        <v>0.36273799999999989</v>
      </c>
      <c r="U12" s="488">
        <f>'RECEITAS '!M115</f>
        <v>0.63726200000000011</v>
      </c>
      <c r="W12" s="503" t="str">
        <f>'RECEITAS '!C116</f>
        <v>Capacidade estacionamento pago</v>
      </c>
      <c r="X12" s="504">
        <f>'RECEITAS '!D116</f>
        <v>120</v>
      </c>
    </row>
    <row r="13" spans="1:24" outlineLevel="1">
      <c r="B13" s="466">
        <f t="shared" si="0"/>
        <v>0.45116200000000001</v>
      </c>
      <c r="C13" s="478" t="s">
        <v>577</v>
      </c>
      <c r="D13" s="482" t="s">
        <v>806</v>
      </c>
      <c r="E13" s="478">
        <v>0.45116200000000001</v>
      </c>
      <c r="F13" s="481">
        <f t="shared" si="1"/>
        <v>5.5031809853571256E-2</v>
      </c>
      <c r="G13" s="16" t="s">
        <v>815</v>
      </c>
      <c r="H13" s="477"/>
      <c r="Q13" s="478" t="str">
        <f>'RECEITAS '!F116</f>
        <v>10h</v>
      </c>
      <c r="R13" s="494">
        <f>'RECEITAS '!I116</f>
        <v>11.952707738376908</v>
      </c>
      <c r="S13" s="488">
        <f>'RECEITAS '!J116</f>
        <v>0.54645799999999989</v>
      </c>
      <c r="T13" s="488">
        <f>'RECEITAS '!L116</f>
        <v>0.36430533333333326</v>
      </c>
      <c r="U13" s="488">
        <f>'RECEITAS '!M116</f>
        <v>0.63569466666666674</v>
      </c>
      <c r="W13" s="505" t="s">
        <v>816</v>
      </c>
      <c r="X13" s="506">
        <f>X11/X12</f>
        <v>0.15181012068015762</v>
      </c>
    </row>
    <row r="14" spans="1:24" outlineLevel="1">
      <c r="B14" s="466">
        <f t="shared" si="0"/>
        <v>0.20574199999999992</v>
      </c>
      <c r="C14" s="478" t="s">
        <v>579</v>
      </c>
      <c r="D14" s="482" t="s">
        <v>793</v>
      </c>
      <c r="E14" s="478">
        <v>0.20574199999999992</v>
      </c>
      <c r="F14" s="481">
        <f t="shared" si="1"/>
        <v>2.5095984641644142E-2</v>
      </c>
      <c r="G14" s="16" t="s">
        <v>817</v>
      </c>
      <c r="H14" s="477"/>
      <c r="Q14" s="478" t="str">
        <f>'RECEITAS '!F117</f>
        <v>11h</v>
      </c>
      <c r="R14" s="494">
        <f>'RECEITAS '!I117</f>
        <v>11.889984893706872</v>
      </c>
      <c r="S14" s="488">
        <f>'RECEITAS '!J117</f>
        <v>0.54883799999999994</v>
      </c>
      <c r="T14" s="488">
        <f>'RECEITAS '!L117</f>
        <v>0.365892</v>
      </c>
      <c r="U14" s="488">
        <f>'RECEITAS '!M117</f>
        <v>0.634108</v>
      </c>
      <c r="W14" s="499" t="str">
        <f>IF(X13&lt;100%,"Opera com Capacidade Ociosa", "Lotado")</f>
        <v>Opera com Capacidade Ociosa</v>
      </c>
      <c r="X14" s="507">
        <f>100% -X13</f>
        <v>0.84818987931984235</v>
      </c>
    </row>
    <row r="15" spans="1:24" outlineLevel="1">
      <c r="B15" s="466">
        <f t="shared" si="0"/>
        <v>0.11456799999999999</v>
      </c>
      <c r="C15" s="478" t="s">
        <v>581</v>
      </c>
      <c r="D15" s="482" t="s">
        <v>793</v>
      </c>
      <c r="E15" s="478">
        <v>0.11456799999999999</v>
      </c>
      <c r="F15" s="481">
        <f t="shared" si="1"/>
        <v>1.3974768245783004E-2</v>
      </c>
      <c r="G15" s="16" t="s">
        <v>818</v>
      </c>
      <c r="H15" s="477"/>
      <c r="Q15" s="478" t="str">
        <f>'RECEITAS '!F118</f>
        <v>12h</v>
      </c>
      <c r="R15" s="494">
        <f>'RECEITAS '!I118</f>
        <v>5.4221527344967857</v>
      </c>
      <c r="S15" s="488">
        <f>'RECEITAS '!J118</f>
        <v>0.79425800000000013</v>
      </c>
      <c r="T15" s="488">
        <f>'RECEITAS '!L118</f>
        <v>0.52950533333333349</v>
      </c>
      <c r="U15" s="488">
        <f>'RECEITAS '!M118</f>
        <v>0.47049466666666651</v>
      </c>
      <c r="W15" s="508"/>
      <c r="X15" s="508"/>
    </row>
    <row r="16" spans="1:24" outlineLevel="1">
      <c r="B16" s="466">
        <f t="shared" si="0"/>
        <v>8.7742999999999988E-2</v>
      </c>
      <c r="C16" s="478" t="s">
        <v>583</v>
      </c>
      <c r="D16" s="482" t="s">
        <v>793</v>
      </c>
      <c r="E16" s="478">
        <v>8.7742999999999988E-2</v>
      </c>
      <c r="F16" s="481">
        <f t="shared" si="1"/>
        <v>1.0702710095225002E-2</v>
      </c>
      <c r="G16" s="16" t="s">
        <v>819</v>
      </c>
      <c r="H16" s="477"/>
      <c r="Q16" s="478" t="str">
        <f>'RECEITAS '!F119</f>
        <v>13h</v>
      </c>
      <c r="R16" s="494">
        <f>'RECEITAS '!I119</f>
        <v>3.0193407009061244</v>
      </c>
      <c r="S16" s="488">
        <f>'RECEITAS '!J119</f>
        <v>0.885432</v>
      </c>
      <c r="T16" s="488">
        <f>'RECEITAS '!L119</f>
        <v>0.59028799999999992</v>
      </c>
      <c r="U16" s="488">
        <f>'RECEITAS '!M119</f>
        <v>0.40971200000000008</v>
      </c>
      <c r="W16" s="498" t="s">
        <v>820</v>
      </c>
      <c r="X16" s="498"/>
    </row>
    <row r="17" spans="2:24" outlineLevel="1">
      <c r="B17" s="466">
        <f t="shared" si="0"/>
        <v>9.9998000000000004E-2</v>
      </c>
      <c r="C17" s="478" t="s">
        <v>584</v>
      </c>
      <c r="D17" s="482" t="s">
        <v>793</v>
      </c>
      <c r="E17" s="478">
        <v>9.9998000000000004E-2</v>
      </c>
      <c r="F17" s="481">
        <f t="shared" si="1"/>
        <v>1.2197549708835007E-2</v>
      </c>
      <c r="G17" s="16" t="s">
        <v>821</v>
      </c>
      <c r="H17" s="477"/>
      <c r="Q17" s="478" t="str">
        <f>'RECEITAS '!F120</f>
        <v>14h</v>
      </c>
      <c r="R17" s="494">
        <f>'RECEITAS '!I120</f>
        <v>2.312390991547431</v>
      </c>
      <c r="S17" s="488">
        <f>'RECEITAS '!J120</f>
        <v>0.91225699999999998</v>
      </c>
      <c r="T17" s="488">
        <f>'RECEITAS '!L120</f>
        <v>0.6081713333333334</v>
      </c>
      <c r="U17" s="488">
        <f>'RECEITAS '!M120</f>
        <v>0.3918286666666666</v>
      </c>
      <c r="W17" s="499" t="s">
        <v>822</v>
      </c>
      <c r="X17" s="509">
        <f>'RECEITAS '!N131</f>
        <v>182.17214481618913</v>
      </c>
    </row>
    <row r="18" spans="2:24" ht="15" outlineLevel="1" thickBot="1">
      <c r="B18" s="466">
        <f t="shared" si="0"/>
        <v>0.1125236</v>
      </c>
      <c r="C18" s="478" t="s">
        <v>585</v>
      </c>
      <c r="D18" s="482" t="s">
        <v>793</v>
      </c>
      <c r="E18" s="478">
        <v>0.1125236</v>
      </c>
      <c r="F18" s="481">
        <f t="shared" si="1"/>
        <v>1.3725396552101709E-2</v>
      </c>
      <c r="G18" s="16" t="s">
        <v>823</v>
      </c>
      <c r="H18" s="477"/>
      <c r="Q18" s="478" t="str">
        <f>'RECEITAS '!F121</f>
        <v>15h</v>
      </c>
      <c r="R18" s="494">
        <f>'RECEITAS '!I121</f>
        <v>2.6353609333252801</v>
      </c>
      <c r="S18" s="488">
        <f>'RECEITAS '!J121</f>
        <v>0.90000199999999997</v>
      </c>
      <c r="T18" s="488">
        <f>'RECEITAS '!L121</f>
        <v>0.60000133333333339</v>
      </c>
      <c r="U18" s="488">
        <f>'RECEITAS '!M121</f>
        <v>0.39999866666666661</v>
      </c>
      <c r="W18" s="503" t="s">
        <v>824</v>
      </c>
      <c r="X18" s="510">
        <f>'RECEITAS '!D119</f>
        <v>2</v>
      </c>
    </row>
    <row r="19" spans="2:24" outlineLevel="1">
      <c r="B19" s="466">
        <f t="shared" si="0"/>
        <v>0.39845599999999998</v>
      </c>
      <c r="C19" s="478" t="s">
        <v>586</v>
      </c>
      <c r="D19" s="482" t="s">
        <v>806</v>
      </c>
      <c r="E19" s="478">
        <v>0.39845599999999998</v>
      </c>
      <c r="F19" s="481">
        <f t="shared" si="1"/>
        <v>4.8602840724650098E-2</v>
      </c>
      <c r="G19" s="16" t="s">
        <v>825</v>
      </c>
      <c r="Q19" s="478" t="str">
        <f>'RECEITAS '!F122</f>
        <v>16h</v>
      </c>
      <c r="R19" s="494">
        <f>'RECEITAS '!I122</f>
        <v>2.9654623044172927</v>
      </c>
      <c r="S19" s="488">
        <f>'RECEITAS '!J122</f>
        <v>0.88747639999999994</v>
      </c>
      <c r="T19" s="488">
        <f>'RECEITAS '!L122</f>
        <v>0.5916509333333333</v>
      </c>
      <c r="U19" s="488">
        <f>'RECEITAS '!M122</f>
        <v>0.4083490666666667</v>
      </c>
      <c r="W19" s="499" t="s">
        <v>826</v>
      </c>
      <c r="X19" s="511">
        <f>X17*X18</f>
        <v>364.34428963237826</v>
      </c>
    </row>
    <row r="20" spans="2:24" outlineLevel="1">
      <c r="B20" s="466">
        <f t="shared" si="0"/>
        <v>0.41258699999999998</v>
      </c>
      <c r="C20" s="478" t="s">
        <v>587</v>
      </c>
      <c r="D20" s="482" t="s">
        <v>806</v>
      </c>
      <c r="E20" s="478">
        <v>0.41258699999999998</v>
      </c>
      <c r="F20" s="481">
        <f t="shared" si="1"/>
        <v>5.032651094741003E-2</v>
      </c>
      <c r="G20" s="16" t="s">
        <v>827</v>
      </c>
      <c r="Q20" s="478" t="str">
        <f>'RECEITAS '!F123</f>
        <v>17h</v>
      </c>
      <c r="R20" s="494">
        <f>'RECEITAS '!I123</f>
        <v>10.50096377976617</v>
      </c>
      <c r="S20" s="488">
        <f>'RECEITAS '!J123</f>
        <v>0.60154400000000008</v>
      </c>
      <c r="T20" s="488">
        <f>'RECEITAS '!L123</f>
        <v>0.40102933333333335</v>
      </c>
      <c r="U20" s="488">
        <f>'RECEITAS '!M123</f>
        <v>0.59897066666666665</v>
      </c>
      <c r="W20" s="508"/>
      <c r="X20" s="508"/>
    </row>
    <row r="21" spans="2:24" outlineLevel="1">
      <c r="B21" s="466">
        <f t="shared" si="0"/>
        <v>0.78742299999999998</v>
      </c>
      <c r="C21" s="478" t="s">
        <v>588</v>
      </c>
      <c r="D21" s="482" t="s">
        <v>804</v>
      </c>
      <c r="E21" s="478">
        <v>0.78742299999999998</v>
      </c>
      <c r="F21" s="481">
        <f t="shared" si="1"/>
        <v>9.6048232808456036E-2</v>
      </c>
      <c r="G21" s="16" t="s">
        <v>828</v>
      </c>
      <c r="Q21" s="478" t="str">
        <f>'RECEITAS '!F124</f>
        <v>18h</v>
      </c>
      <c r="R21" s="494">
        <f>'RECEITAS '!I124</f>
        <v>10.873374081460401</v>
      </c>
      <c r="S21" s="488">
        <f>'RECEITAS '!J124</f>
        <v>0.58741299999999996</v>
      </c>
      <c r="T21" s="488">
        <f>'RECEITAS '!L124</f>
        <v>0.3916086666666666</v>
      </c>
      <c r="U21" s="488">
        <f>'RECEITAS '!M124</f>
        <v>0.6083913333333334</v>
      </c>
      <c r="W21" s="499" t="str">
        <f>'RECEITAS '!C116</f>
        <v>Capacidade estacionamento pago</v>
      </c>
      <c r="X21" s="509">
        <f>'RECEITAS '!D116</f>
        <v>120</v>
      </c>
    </row>
    <row r="22" spans="2:24" ht="15" outlineLevel="1" thickBot="1">
      <c r="B22" s="466">
        <f t="shared" si="0"/>
        <v>0.99215799999999998</v>
      </c>
      <c r="C22" s="478" t="s">
        <v>589</v>
      </c>
      <c r="D22" s="482" t="s">
        <v>801</v>
      </c>
      <c r="E22" s="478">
        <v>0.99215799999999998</v>
      </c>
      <c r="F22" s="481">
        <f t="shared" si="1"/>
        <v>0.12102138566789657</v>
      </c>
      <c r="G22" s="16" t="s">
        <v>829</v>
      </c>
      <c r="Q22" s="478" t="str">
        <f>'RECEITAS '!F125</f>
        <v>19h</v>
      </c>
      <c r="R22" s="494">
        <f>'RECEITAS '!I125</f>
        <v>20.751853159081101</v>
      </c>
      <c r="S22" s="488">
        <f>'RECEITAS '!J125</f>
        <v>0.21257700000000002</v>
      </c>
      <c r="T22" s="488">
        <f>'RECEITAS '!L125</f>
        <v>0.14171800000000001</v>
      </c>
      <c r="U22" s="488">
        <f>'RECEITAS '!M125</f>
        <v>0.85828199999999999</v>
      </c>
      <c r="W22" s="503" t="str">
        <f>'RECEITAS '!C118</f>
        <v>Horas de funcionamento</v>
      </c>
      <c r="X22" s="510">
        <f>'RECEITAS '!D118</f>
        <v>20</v>
      </c>
    </row>
    <row r="23" spans="2:24" outlineLevel="1">
      <c r="B23" s="466">
        <f t="shared" si="0"/>
        <v>0.78478499999999995</v>
      </c>
      <c r="C23" s="478" t="s">
        <v>590</v>
      </c>
      <c r="D23" s="482" t="s">
        <v>804</v>
      </c>
      <c r="E23" s="478">
        <v>0.78478499999999995</v>
      </c>
      <c r="F23" s="481">
        <f>E23/SUM($E$7:$E$26)</f>
        <v>9.572645501158103E-2</v>
      </c>
      <c r="G23" s="16" t="s">
        <v>830</v>
      </c>
      <c r="Q23" s="478" t="str">
        <f>'RECEITAS '!F126</f>
        <v>20h</v>
      </c>
      <c r="R23" s="494">
        <f>'RECEITAS '!I126</f>
        <v>26.147467278206992</v>
      </c>
      <c r="S23" s="488">
        <f>'RECEITAS '!J126</f>
        <v>7.8420000000000156E-3</v>
      </c>
      <c r="T23" s="488">
        <f>'RECEITAS '!L126</f>
        <v>5.2280000000000104E-3</v>
      </c>
      <c r="U23" s="488">
        <f>'RECEITAS '!M126</f>
        <v>0.99477199999999999</v>
      </c>
      <c r="W23" s="499" t="s">
        <v>831</v>
      </c>
      <c r="X23" s="512">
        <f>X21*X22</f>
        <v>2400</v>
      </c>
    </row>
    <row r="24" spans="2:24" outlineLevel="1">
      <c r="B24" s="466">
        <f t="shared" si="0"/>
        <v>0.58562400000000003</v>
      </c>
      <c r="C24" s="478" t="s">
        <v>591</v>
      </c>
      <c r="D24" s="482" t="s">
        <v>806</v>
      </c>
      <c r="E24" s="478">
        <v>0.58562400000000003</v>
      </c>
      <c r="F24" s="481">
        <f t="shared" si="1"/>
        <v>7.1433207171011343E-2</v>
      </c>
      <c r="G24" s="16" t="s">
        <v>832</v>
      </c>
      <c r="Q24" s="478" t="str">
        <f>'RECEITAS '!F127</f>
        <v>21h</v>
      </c>
      <c r="R24" s="494">
        <f>'RECEITAS '!I127</f>
        <v>20.682330947215739</v>
      </c>
      <c r="S24" s="488">
        <f>'RECEITAS '!J127</f>
        <v>0.21521500000000005</v>
      </c>
      <c r="T24" s="488">
        <f>'RECEITAS '!L127</f>
        <v>0.1434766666666667</v>
      </c>
      <c r="U24" s="488">
        <f>'RECEITAS '!M127</f>
        <v>0.8565233333333333</v>
      </c>
      <c r="W24" s="499"/>
      <c r="X24" s="499"/>
    </row>
    <row r="25" spans="2:24" outlineLevel="1">
      <c r="B25" s="466">
        <f t="shared" si="0"/>
        <v>0.387459</v>
      </c>
      <c r="C25" s="478" t="s">
        <v>592</v>
      </c>
      <c r="D25" s="482" t="s">
        <v>806</v>
      </c>
      <c r="E25" s="478">
        <v>0.387459</v>
      </c>
      <c r="F25" s="481">
        <f>E25/SUM($E$7:$E$26)</f>
        <v>4.7261449355342128E-2</v>
      </c>
      <c r="G25" s="16" t="s">
        <v>833</v>
      </c>
      <c r="Q25" s="478" t="str">
        <f>'RECEITAS '!F128</f>
        <v>22h</v>
      </c>
      <c r="R25" s="494">
        <f>'RECEITAS '!I128</f>
        <v>15.433614784472528</v>
      </c>
      <c r="S25" s="488">
        <f>'RECEITAS '!J128</f>
        <v>0.41437599999999997</v>
      </c>
      <c r="T25" s="488">
        <f>'RECEITAS '!L128</f>
        <v>0.27625066666666664</v>
      </c>
      <c r="U25" s="488">
        <f>'RECEITAS '!M128</f>
        <v>0.72374933333333336</v>
      </c>
      <c r="W25" s="505" t="str">
        <f>W13</f>
        <v>Taxa de Ocupação média Diária</v>
      </c>
      <c r="X25" s="506">
        <f>X19/X23</f>
        <v>0.15181012068015762</v>
      </c>
    </row>
    <row r="26" spans="2:24" outlineLevel="1">
      <c r="B26" s="466">
        <f t="shared" si="0"/>
        <v>0</v>
      </c>
      <c r="C26" s="483" t="s">
        <v>834</v>
      </c>
      <c r="D26" s="484" t="s">
        <v>793</v>
      </c>
      <c r="E26" s="486">
        <v>0</v>
      </c>
      <c r="F26" s="485">
        <f t="shared" si="1"/>
        <v>0</v>
      </c>
      <c r="G26" s="420" t="s">
        <v>835</v>
      </c>
      <c r="Q26" s="478" t="str">
        <f>'RECEITAS '!F129</f>
        <v>23h</v>
      </c>
      <c r="R26" s="494">
        <f>'RECEITAS '!I129</f>
        <v>10.211147341599627</v>
      </c>
      <c r="S26" s="488">
        <f>'RECEITAS '!J129</f>
        <v>0.612541</v>
      </c>
      <c r="T26" s="488">
        <f>'RECEITAS '!L129</f>
        <v>0.40836066666666671</v>
      </c>
      <c r="U26" s="488">
        <f>'RECEITAS '!M129</f>
        <v>0.59163933333333329</v>
      </c>
      <c r="W26" s="499" t="str">
        <f>IF(X25&lt;100%,"Opera com Capacidade Ociosa", "Lotado")</f>
        <v>Opera com Capacidade Ociosa</v>
      </c>
      <c r="X26" s="507">
        <f>100% -X25</f>
        <v>0.84818987931984235</v>
      </c>
    </row>
    <row r="27" spans="2:24" ht="15.6" outlineLevel="1">
      <c r="C27" s="16"/>
      <c r="D27" s="16"/>
      <c r="E27" s="478">
        <f>SUM(E7:E26)</f>
        <v>8.1982039333333336</v>
      </c>
      <c r="F27" s="481">
        <f>SUM(F7:F26)</f>
        <v>0.99999999999999989</v>
      </c>
      <c r="G27" s="16"/>
      <c r="Q27" s="483" t="str">
        <f>'RECEITAS '!F130</f>
        <v>00h</v>
      </c>
      <c r="R27" s="495">
        <f>'RECEITAS '!I130</f>
        <v>0</v>
      </c>
      <c r="S27" s="489">
        <f>'RECEITAS '!J130</f>
        <v>1</v>
      </c>
      <c r="T27" s="489">
        <f>'RECEITAS '!L130</f>
        <v>1</v>
      </c>
      <c r="U27" s="489">
        <f>'RECEITAS '!M130</f>
        <v>0</v>
      </c>
      <c r="X27" s="490" t="str">
        <f>IF(X25=X13,"OK","erro")</f>
        <v>OK</v>
      </c>
    </row>
    <row r="28" spans="2:24" outlineLevel="1">
      <c r="F28" s="15"/>
      <c r="Q28" s="478" t="s">
        <v>479</v>
      </c>
      <c r="R28" s="494">
        <f>SUM(R8:R27)</f>
        <v>216.05658482509961</v>
      </c>
      <c r="S28" s="488" t="s">
        <v>780</v>
      </c>
      <c r="T28" s="488" t="s">
        <v>780</v>
      </c>
      <c r="U28" s="488" t="s">
        <v>780</v>
      </c>
    </row>
    <row r="29" spans="2:24" outlineLevel="1">
      <c r="F29" s="15"/>
    </row>
    <row r="30" spans="2:24" outlineLevel="1">
      <c r="D30" s="192" t="s">
        <v>836</v>
      </c>
      <c r="E30" s="478">
        <f>LARGE(E7:E26,1)</f>
        <v>0.99215799999999998</v>
      </c>
      <c r="F30" s="15" t="str">
        <f>VLOOKUP(E30,B6:E26,2,FALSE)</f>
        <v>20h</v>
      </c>
    </row>
    <row r="31" spans="2:24" outlineLevel="1">
      <c r="D31" s="192" t="s">
        <v>837</v>
      </c>
      <c r="E31" s="496">
        <f>SMALL(E7:E26,2)</f>
        <v>8.7742999999999988E-2</v>
      </c>
      <c r="F31" s="15" t="str">
        <f>VLOOKUP(E31,B6:E26,2,FALSE)</f>
        <v>14h</v>
      </c>
    </row>
    <row r="32" spans="2:24" ht="14.45" customHeight="1" outlineLevel="1">
      <c r="D32" s="111" t="s">
        <v>838</v>
      </c>
      <c r="E32" s="111"/>
      <c r="F32" s="516">
        <f>X11</f>
        <v>18.217214481618914</v>
      </c>
    </row>
    <row r="33" spans="1:6" ht="28.9" outlineLevel="1">
      <c r="D33" s="111" t="s">
        <v>839</v>
      </c>
      <c r="E33" s="514">
        <f>F33/'RECEITAS '!I131</f>
        <v>0.15683132285155915</v>
      </c>
      <c r="F33" s="513">
        <f>'RECEITAS '!O131</f>
        <v>33.884440008910474</v>
      </c>
    </row>
    <row r="34" spans="1:6" ht="14.45" customHeight="1" outlineLevel="1">
      <c r="B34" s="466" t="e">
        <f>#REF!</f>
        <v>#REF!</v>
      </c>
      <c r="D34" s="111"/>
      <c r="E34" s="111"/>
    </row>
    <row r="35" spans="1:6" outlineLevel="1">
      <c r="B35" s="466">
        <f>E34</f>
        <v>0</v>
      </c>
      <c r="C35" s="192"/>
    </row>
    <row r="36" spans="1:6" outlineLevel="1">
      <c r="B36" s="466">
        <f t="shared" ref="B36:B49" si="3">E36</f>
        <v>0</v>
      </c>
      <c r="C36" s="192"/>
      <c r="E36" s="458"/>
      <c r="F36" s="458"/>
    </row>
    <row r="37" spans="1:6" outlineLevel="1">
      <c r="B37" s="466">
        <f t="shared" si="3"/>
        <v>0</v>
      </c>
      <c r="C37" s="192"/>
      <c r="E37" s="458"/>
      <c r="F37" s="458"/>
    </row>
    <row r="38" spans="1:6" outlineLevel="1">
      <c r="B38" s="466">
        <f t="shared" si="3"/>
        <v>0</v>
      </c>
      <c r="C38" s="192"/>
      <c r="E38" s="458"/>
      <c r="F38" s="458"/>
    </row>
    <row r="39" spans="1:6" outlineLevel="1">
      <c r="B39" s="466">
        <f t="shared" si="3"/>
        <v>0</v>
      </c>
      <c r="C39" s="192"/>
      <c r="E39" s="458"/>
      <c r="F39" s="458"/>
    </row>
    <row r="40" spans="1:6" outlineLevel="1">
      <c r="B40" s="466">
        <f t="shared" si="3"/>
        <v>0</v>
      </c>
      <c r="C40" s="192"/>
      <c r="E40" s="458"/>
      <c r="F40" s="458"/>
    </row>
    <row r="41" spans="1:6" outlineLevel="1">
      <c r="B41" s="466">
        <f t="shared" si="3"/>
        <v>0</v>
      </c>
      <c r="C41" s="192"/>
      <c r="E41" s="458"/>
      <c r="F41" s="458"/>
    </row>
    <row r="42" spans="1:6" outlineLevel="1">
      <c r="B42" s="466">
        <f t="shared" si="3"/>
        <v>0</v>
      </c>
      <c r="C42" s="192"/>
      <c r="E42" s="458"/>
      <c r="F42" s="458"/>
    </row>
    <row r="43" spans="1:6" outlineLevel="1">
      <c r="B43" s="466">
        <f t="shared" si="3"/>
        <v>0</v>
      </c>
      <c r="C43" s="192"/>
      <c r="E43" s="458"/>
      <c r="F43" s="458"/>
    </row>
    <row r="44" spans="1:6" outlineLevel="1">
      <c r="B44" s="466">
        <f t="shared" si="3"/>
        <v>0</v>
      </c>
      <c r="C44" s="192"/>
      <c r="E44" s="458"/>
      <c r="F44" s="458"/>
    </row>
    <row r="45" spans="1:6" outlineLevel="1">
      <c r="B45" s="466">
        <f t="shared" si="3"/>
        <v>0</v>
      </c>
      <c r="C45" s="192"/>
      <c r="E45" s="458"/>
      <c r="F45" s="458"/>
    </row>
    <row r="46" spans="1:6">
      <c r="B46" s="466">
        <f t="shared" si="3"/>
        <v>0</v>
      </c>
      <c r="C46" s="192"/>
      <c r="E46" s="458"/>
      <c r="F46" s="458"/>
    </row>
    <row r="47" spans="1:6">
      <c r="B47" s="466">
        <f t="shared" si="3"/>
        <v>0</v>
      </c>
      <c r="C47" s="192"/>
      <c r="E47" s="458"/>
      <c r="F47" s="458"/>
    </row>
    <row r="48" spans="1:6" s="517" customFormat="1" ht="15.6">
      <c r="A48" s="2"/>
      <c r="C48" s="517" t="s">
        <v>490</v>
      </c>
    </row>
    <row r="49" spans="2:16">
      <c r="B49" s="466">
        <f t="shared" si="3"/>
        <v>0</v>
      </c>
      <c r="C49" s="192"/>
      <c r="E49" s="458"/>
      <c r="F49" s="458"/>
    </row>
    <row r="50" spans="2:16">
      <c r="B50" s="190" t="s">
        <v>840</v>
      </c>
      <c r="C50" s="190" t="s">
        <v>841</v>
      </c>
      <c r="D50" s="190" t="s">
        <v>842</v>
      </c>
      <c r="E50" s="190" t="s">
        <v>843</v>
      </c>
      <c r="F50" s="190" t="s">
        <v>844</v>
      </c>
      <c r="G50" s="190" t="s">
        <v>845</v>
      </c>
      <c r="H50" s="190" t="s">
        <v>846</v>
      </c>
      <c r="I50" s="190" t="s">
        <v>847</v>
      </c>
      <c r="J50" s="190" t="s">
        <v>848</v>
      </c>
    </row>
    <row r="51" spans="2:16">
      <c r="B51" s="518" t="s">
        <v>849</v>
      </c>
      <c r="C51" s="519">
        <v>6500</v>
      </c>
      <c r="D51" s="519">
        <v>0</v>
      </c>
      <c r="E51" s="519">
        <v>0</v>
      </c>
      <c r="F51" s="520">
        <v>200</v>
      </c>
      <c r="G51" s="119">
        <f t="shared" ref="G51:G75" si="4">C51/F51</f>
        <v>32.5</v>
      </c>
      <c r="H51" s="521" t="s">
        <v>850</v>
      </c>
      <c r="I51" s="522" t="s">
        <v>851</v>
      </c>
      <c r="J51" s="177" t="s">
        <v>852</v>
      </c>
      <c r="M51" s="180" t="s">
        <v>853</v>
      </c>
      <c r="N51" s="180" t="s">
        <v>854</v>
      </c>
      <c r="O51" s="180" t="s">
        <v>855</v>
      </c>
      <c r="P51" s="180" t="s">
        <v>845</v>
      </c>
    </row>
    <row r="52" spans="2:16">
      <c r="B52" s="518" t="s">
        <v>856</v>
      </c>
      <c r="C52" s="524">
        <v>5000</v>
      </c>
      <c r="D52" s="524">
        <v>250</v>
      </c>
      <c r="E52" s="524">
        <v>0</v>
      </c>
      <c r="F52" s="520">
        <v>200</v>
      </c>
      <c r="G52" s="119">
        <f t="shared" si="4"/>
        <v>25</v>
      </c>
      <c r="H52" s="521" t="s">
        <v>857</v>
      </c>
      <c r="I52" s="525" t="s">
        <v>858</v>
      </c>
      <c r="J52" s="177" t="s">
        <v>859</v>
      </c>
      <c r="M52" s="526">
        <f>2000</f>
        <v>2000</v>
      </c>
      <c r="N52" s="526">
        <v>1100</v>
      </c>
      <c r="O52" s="527">
        <v>32</v>
      </c>
      <c r="P52" s="519">
        <f>M52/O52</f>
        <v>62.5</v>
      </c>
    </row>
    <row r="53" spans="2:16">
      <c r="B53" s="518" t="s">
        <v>860</v>
      </c>
      <c r="C53" s="519">
        <v>2500</v>
      </c>
      <c r="D53" s="519">
        <v>0</v>
      </c>
      <c r="E53" s="519">
        <v>0</v>
      </c>
      <c r="F53" s="520">
        <v>200</v>
      </c>
      <c r="G53" s="119">
        <f t="shared" si="4"/>
        <v>12.5</v>
      </c>
      <c r="H53" s="521" t="s">
        <v>861</v>
      </c>
      <c r="I53" s="522" t="s">
        <v>862</v>
      </c>
      <c r="J53" s="177" t="s">
        <v>863</v>
      </c>
      <c r="M53" s="526">
        <f>1200</f>
        <v>1200</v>
      </c>
      <c r="N53" s="526">
        <v>350</v>
      </c>
      <c r="O53" s="527">
        <v>9</v>
      </c>
      <c r="P53" s="519">
        <f>M53/O53</f>
        <v>133.33333333333334</v>
      </c>
    </row>
    <row r="54" spans="2:16">
      <c r="B54" s="518" t="s">
        <v>864</v>
      </c>
      <c r="C54" s="519">
        <v>1200</v>
      </c>
      <c r="D54" s="519">
        <v>0</v>
      </c>
      <c r="E54" s="519">
        <v>0</v>
      </c>
      <c r="F54" s="520">
        <v>175</v>
      </c>
      <c r="G54" s="119">
        <f t="shared" si="4"/>
        <v>6.8571428571428568</v>
      </c>
      <c r="H54" s="521" t="s">
        <v>865</v>
      </c>
      <c r="I54" s="522" t="s">
        <v>780</v>
      </c>
      <c r="J54" s="177" t="s">
        <v>866</v>
      </c>
      <c r="M54" s="526">
        <f>1700</f>
        <v>1700</v>
      </c>
      <c r="N54" s="526">
        <f>+((1100/32)*24)</f>
        <v>825</v>
      </c>
      <c r="O54" s="527">
        <v>24</v>
      </c>
      <c r="P54" s="519">
        <f>M54/O54</f>
        <v>70.833333333333329</v>
      </c>
    </row>
    <row r="55" spans="2:16">
      <c r="B55" s="518" t="s">
        <v>867</v>
      </c>
      <c r="C55" s="519">
        <v>8000</v>
      </c>
      <c r="D55" s="519">
        <v>0</v>
      </c>
      <c r="E55" s="519">
        <v>0</v>
      </c>
      <c r="F55" s="520">
        <v>120</v>
      </c>
      <c r="G55" s="119">
        <f t="shared" si="4"/>
        <v>66.666666666666671</v>
      </c>
      <c r="H55" s="521" t="s">
        <v>868</v>
      </c>
      <c r="I55" s="522" t="s">
        <v>869</v>
      </c>
      <c r="J55" s="177" t="s">
        <v>870</v>
      </c>
      <c r="M55" s="180" t="s">
        <v>871</v>
      </c>
      <c r="N55" s="180" t="s">
        <v>854</v>
      </c>
      <c r="O55" s="180" t="s">
        <v>855</v>
      </c>
      <c r="P55" s="180" t="s">
        <v>845</v>
      </c>
    </row>
    <row r="56" spans="2:16">
      <c r="B56" s="518" t="s">
        <v>872</v>
      </c>
      <c r="C56" s="519">
        <v>2200</v>
      </c>
      <c r="D56" s="519">
        <v>0</v>
      </c>
      <c r="E56" s="519">
        <v>0</v>
      </c>
      <c r="F56" s="520">
        <v>80</v>
      </c>
      <c r="G56" s="119">
        <f t="shared" si="4"/>
        <v>27.5</v>
      </c>
      <c r="H56" s="521" t="s">
        <v>873</v>
      </c>
      <c r="I56" s="522" t="s">
        <v>874</v>
      </c>
      <c r="J56" s="177" t="s">
        <v>875</v>
      </c>
      <c r="M56" s="526">
        <f>2200</f>
        <v>2200</v>
      </c>
      <c r="N56" s="526">
        <v>200</v>
      </c>
      <c r="O56" s="527">
        <v>10</v>
      </c>
      <c r="P56" s="519">
        <f>M56/O56</f>
        <v>220</v>
      </c>
    </row>
    <row r="57" spans="2:16">
      <c r="B57" s="518" t="s">
        <v>876</v>
      </c>
      <c r="C57" s="519">
        <v>6500</v>
      </c>
      <c r="D57" s="519">
        <v>700</v>
      </c>
      <c r="E57" s="519">
        <v>0</v>
      </c>
      <c r="F57" s="520">
        <v>75</v>
      </c>
      <c r="G57" s="119">
        <f t="shared" si="4"/>
        <v>86.666666666666671</v>
      </c>
      <c r="H57" s="521" t="s">
        <v>877</v>
      </c>
      <c r="I57" s="522" t="s">
        <v>878</v>
      </c>
      <c r="J57" s="523" t="s">
        <v>879</v>
      </c>
      <c r="M57" s="180" t="s">
        <v>880</v>
      </c>
      <c r="N57" s="180" t="s">
        <v>854</v>
      </c>
      <c r="O57" s="180" t="s">
        <v>855</v>
      </c>
      <c r="P57" s="180" t="s">
        <v>845</v>
      </c>
    </row>
    <row r="58" spans="2:16">
      <c r="B58" s="518" t="s">
        <v>881</v>
      </c>
      <c r="C58" s="524">
        <v>3000</v>
      </c>
      <c r="D58" s="524">
        <v>0</v>
      </c>
      <c r="E58" s="524">
        <v>0</v>
      </c>
      <c r="F58" s="520">
        <v>70</v>
      </c>
      <c r="G58" s="119">
        <f t="shared" si="4"/>
        <v>42.857142857142854</v>
      </c>
      <c r="H58" s="521" t="s">
        <v>882</v>
      </c>
      <c r="I58" s="525" t="s">
        <v>780</v>
      </c>
      <c r="J58" s="192" t="s">
        <v>780</v>
      </c>
      <c r="M58" s="192" t="s">
        <v>780</v>
      </c>
      <c r="N58" s="526" t="s">
        <v>780</v>
      </c>
      <c r="O58" s="527" t="s">
        <v>780</v>
      </c>
      <c r="P58" s="519">
        <v>55.5</v>
      </c>
    </row>
    <row r="59" spans="2:16">
      <c r="B59" s="518" t="s">
        <v>883</v>
      </c>
      <c r="C59" s="524">
        <v>3800</v>
      </c>
      <c r="D59" s="524">
        <v>0</v>
      </c>
      <c r="E59" s="524">
        <v>0</v>
      </c>
      <c r="F59" s="520">
        <v>60</v>
      </c>
      <c r="G59" s="119">
        <f t="shared" si="4"/>
        <v>63.333333333333336</v>
      </c>
      <c r="H59" s="521" t="s">
        <v>884</v>
      </c>
      <c r="I59" s="525" t="s">
        <v>885</v>
      </c>
      <c r="J59" s="177" t="s">
        <v>886</v>
      </c>
      <c r="M59" s="180" t="s">
        <v>887</v>
      </c>
      <c r="N59" s="180" t="s">
        <v>854</v>
      </c>
      <c r="O59" s="180" t="s">
        <v>855</v>
      </c>
      <c r="P59" s="180" t="s">
        <v>845</v>
      </c>
    </row>
    <row r="60" spans="2:16">
      <c r="B60" s="518" t="s">
        <v>888</v>
      </c>
      <c r="C60" s="519">
        <v>2000</v>
      </c>
      <c r="D60" s="519">
        <v>0</v>
      </c>
      <c r="E60" s="519">
        <v>0</v>
      </c>
      <c r="F60" s="520">
        <v>60</v>
      </c>
      <c r="G60" s="119">
        <f t="shared" si="4"/>
        <v>33.333333333333336</v>
      </c>
      <c r="H60" s="521" t="s">
        <v>889</v>
      </c>
      <c r="I60" s="522" t="s">
        <v>890</v>
      </c>
      <c r="J60" s="523" t="s">
        <v>891</v>
      </c>
      <c r="M60" s="526">
        <v>3500</v>
      </c>
      <c r="N60" s="526">
        <v>2949.97</v>
      </c>
      <c r="O60" s="527">
        <v>32</v>
      </c>
      <c r="P60" s="519">
        <f>M60/O60</f>
        <v>109.375</v>
      </c>
    </row>
    <row r="61" spans="2:16">
      <c r="B61" s="518" t="s">
        <v>892</v>
      </c>
      <c r="C61" s="519">
        <v>1700</v>
      </c>
      <c r="D61" s="519">
        <v>0</v>
      </c>
      <c r="E61" s="519">
        <v>0</v>
      </c>
      <c r="F61" s="520">
        <v>55</v>
      </c>
      <c r="G61" s="119">
        <f t="shared" si="4"/>
        <v>30.90909090909091</v>
      </c>
      <c r="H61" s="521" t="s">
        <v>893</v>
      </c>
      <c r="I61" s="522" t="s">
        <v>894</v>
      </c>
      <c r="J61" s="177" t="s">
        <v>895</v>
      </c>
      <c r="M61" s="526">
        <v>10000</v>
      </c>
      <c r="N61" s="526">
        <v>6800</v>
      </c>
      <c r="O61" s="527">
        <v>77</v>
      </c>
      <c r="P61" s="519">
        <f>M61/O61</f>
        <v>129.87012987012986</v>
      </c>
    </row>
    <row r="62" spans="2:16">
      <c r="B62" s="518" t="s">
        <v>896</v>
      </c>
      <c r="C62" s="519">
        <v>1750</v>
      </c>
      <c r="D62" s="519">
        <v>0</v>
      </c>
      <c r="E62" s="519">
        <v>0</v>
      </c>
      <c r="F62" s="520">
        <v>50</v>
      </c>
      <c r="G62" s="119">
        <f t="shared" si="4"/>
        <v>35</v>
      </c>
      <c r="H62" s="521" t="s">
        <v>893</v>
      </c>
      <c r="I62" s="522" t="s">
        <v>894</v>
      </c>
      <c r="J62" s="177" t="s">
        <v>897</v>
      </c>
      <c r="M62" s="526">
        <v>4800</v>
      </c>
      <c r="N62" s="526" t="s">
        <v>780</v>
      </c>
      <c r="O62" s="527">
        <v>6</v>
      </c>
      <c r="P62" s="519">
        <f>M62/O62</f>
        <v>800</v>
      </c>
    </row>
    <row r="63" spans="2:16">
      <c r="B63" s="518" t="s">
        <v>898</v>
      </c>
      <c r="C63" s="519">
        <v>1600</v>
      </c>
      <c r="D63" s="519">
        <v>0</v>
      </c>
      <c r="E63" s="519">
        <v>0</v>
      </c>
      <c r="F63" s="520">
        <v>50</v>
      </c>
      <c r="G63" s="119">
        <f t="shared" si="4"/>
        <v>32</v>
      </c>
      <c r="H63" s="521" t="s">
        <v>899</v>
      </c>
      <c r="I63" s="522" t="s">
        <v>900</v>
      </c>
      <c r="J63" s="523" t="s">
        <v>901</v>
      </c>
      <c r="M63" s="180" t="s">
        <v>902</v>
      </c>
      <c r="N63" s="180" t="s">
        <v>854</v>
      </c>
      <c r="O63" s="180" t="s">
        <v>855</v>
      </c>
      <c r="P63" s="180" t="s">
        <v>845</v>
      </c>
    </row>
    <row r="64" spans="2:16">
      <c r="B64" s="518" t="s">
        <v>903</v>
      </c>
      <c r="C64" s="519">
        <v>1500</v>
      </c>
      <c r="D64" s="519">
        <v>0</v>
      </c>
      <c r="E64" s="519">
        <v>0</v>
      </c>
      <c r="F64" s="520">
        <v>50</v>
      </c>
      <c r="G64" s="119">
        <f t="shared" si="4"/>
        <v>30</v>
      </c>
      <c r="H64" s="521" t="s">
        <v>884</v>
      </c>
      <c r="I64" s="522" t="s">
        <v>885</v>
      </c>
      <c r="J64" s="177" t="s">
        <v>886</v>
      </c>
      <c r="M64" s="526">
        <v>7000</v>
      </c>
      <c r="N64" s="526">
        <v>6000</v>
      </c>
      <c r="O64" s="527">
        <v>32</v>
      </c>
      <c r="P64" s="519">
        <f>M64/O64</f>
        <v>218.75</v>
      </c>
    </row>
    <row r="65" spans="2:16">
      <c r="B65" s="518" t="s">
        <v>904</v>
      </c>
      <c r="C65" s="519">
        <v>2300</v>
      </c>
      <c r="D65" s="519">
        <v>829</v>
      </c>
      <c r="E65" s="519">
        <v>0</v>
      </c>
      <c r="F65" s="520">
        <v>48</v>
      </c>
      <c r="G65" s="119">
        <f t="shared" si="4"/>
        <v>47.916666666666664</v>
      </c>
      <c r="H65" s="521" t="s">
        <v>905</v>
      </c>
      <c r="I65" s="522" t="s">
        <v>906</v>
      </c>
      <c r="J65" s="177" t="s">
        <v>907</v>
      </c>
      <c r="M65" s="528" t="s">
        <v>806</v>
      </c>
      <c r="N65" s="528"/>
      <c r="O65" s="528"/>
      <c r="P65" s="529">
        <f>AVERAGE(P51:P64)</f>
        <v>200.0179773929774</v>
      </c>
    </row>
    <row r="66" spans="2:16">
      <c r="B66" s="518" t="s">
        <v>908</v>
      </c>
      <c r="C66" s="519">
        <v>2500</v>
      </c>
      <c r="D66" s="519">
        <v>0</v>
      </c>
      <c r="E66" s="519">
        <v>0</v>
      </c>
      <c r="F66" s="520">
        <v>43</v>
      </c>
      <c r="G66" s="119">
        <f t="shared" si="4"/>
        <v>58.139534883720927</v>
      </c>
      <c r="H66" s="521" t="s">
        <v>909</v>
      </c>
      <c r="I66" s="522" t="s">
        <v>910</v>
      </c>
      <c r="J66" s="523" t="s">
        <v>911</v>
      </c>
    </row>
    <row r="67" spans="2:16">
      <c r="B67" s="518" t="s">
        <v>912</v>
      </c>
      <c r="C67" s="519">
        <v>3000</v>
      </c>
      <c r="D67" s="519">
        <v>450</v>
      </c>
      <c r="E67" s="519">
        <v>0</v>
      </c>
      <c r="F67" s="520">
        <v>40</v>
      </c>
      <c r="G67" s="119">
        <f t="shared" si="4"/>
        <v>75</v>
      </c>
      <c r="H67" s="521" t="s">
        <v>877</v>
      </c>
      <c r="I67" s="522" t="s">
        <v>913</v>
      </c>
      <c r="J67" s="523" t="s">
        <v>914</v>
      </c>
    </row>
    <row r="68" spans="2:16">
      <c r="B68" s="518" t="s">
        <v>915</v>
      </c>
      <c r="C68" s="519">
        <v>2500</v>
      </c>
      <c r="D68" s="519">
        <v>0</v>
      </c>
      <c r="E68" s="519">
        <v>0</v>
      </c>
      <c r="F68" s="520">
        <v>40</v>
      </c>
      <c r="G68" s="119">
        <f t="shared" si="4"/>
        <v>62.5</v>
      </c>
      <c r="H68" s="521" t="s">
        <v>916</v>
      </c>
      <c r="I68" s="522" t="s">
        <v>917</v>
      </c>
      <c r="J68" s="177" t="s">
        <v>918</v>
      </c>
    </row>
    <row r="69" spans="2:16">
      <c r="B69" s="518" t="s">
        <v>919</v>
      </c>
      <c r="C69" s="519">
        <v>1300</v>
      </c>
      <c r="D69" s="519">
        <v>0</v>
      </c>
      <c r="E69" s="519">
        <v>300</v>
      </c>
      <c r="F69" s="520">
        <v>40</v>
      </c>
      <c r="G69" s="119">
        <f t="shared" si="4"/>
        <v>32.5</v>
      </c>
      <c r="H69" s="521" t="s">
        <v>920</v>
      </c>
      <c r="I69" s="522" t="s">
        <v>921</v>
      </c>
      <c r="J69" s="177" t="s">
        <v>922</v>
      </c>
    </row>
    <row r="70" spans="2:16">
      <c r="B70" s="518" t="s">
        <v>923</v>
      </c>
      <c r="C70" s="519">
        <v>2000</v>
      </c>
      <c r="D70" s="519">
        <v>0</v>
      </c>
      <c r="E70" s="519">
        <v>0</v>
      </c>
      <c r="F70" s="520">
        <v>36</v>
      </c>
      <c r="G70" s="119">
        <f t="shared" si="4"/>
        <v>55.555555555555557</v>
      </c>
      <c r="H70" s="521" t="s">
        <v>924</v>
      </c>
      <c r="I70" s="522" t="s">
        <v>780</v>
      </c>
      <c r="J70" s="177" t="s">
        <v>925</v>
      </c>
    </row>
    <row r="71" spans="2:16">
      <c r="B71" s="518" t="s">
        <v>926</v>
      </c>
      <c r="C71" s="519">
        <v>3500</v>
      </c>
      <c r="D71" s="519">
        <v>0</v>
      </c>
      <c r="E71" s="519">
        <v>0</v>
      </c>
      <c r="F71" s="520">
        <v>34</v>
      </c>
      <c r="G71" s="119">
        <f t="shared" si="4"/>
        <v>102.94117647058823</v>
      </c>
      <c r="H71" s="521" t="s">
        <v>927</v>
      </c>
      <c r="I71" s="522" t="s">
        <v>928</v>
      </c>
      <c r="J71" s="523" t="s">
        <v>929</v>
      </c>
    </row>
    <row r="72" spans="2:16">
      <c r="B72" s="518" t="s">
        <v>930</v>
      </c>
      <c r="C72" s="519">
        <v>1700</v>
      </c>
      <c r="D72" s="519">
        <v>250</v>
      </c>
      <c r="E72" s="519">
        <v>0</v>
      </c>
      <c r="F72" s="520">
        <v>31</v>
      </c>
      <c r="G72" s="119">
        <f t="shared" si="4"/>
        <v>54.838709677419352</v>
      </c>
      <c r="H72" s="521" t="s">
        <v>931</v>
      </c>
      <c r="I72" s="522" t="s">
        <v>932</v>
      </c>
      <c r="J72" s="177" t="s">
        <v>933</v>
      </c>
    </row>
    <row r="73" spans="2:16">
      <c r="B73" s="518" t="s">
        <v>934</v>
      </c>
      <c r="C73" s="519">
        <v>1200</v>
      </c>
      <c r="D73" s="519">
        <v>326</v>
      </c>
      <c r="E73" s="519">
        <v>0</v>
      </c>
      <c r="F73" s="520">
        <v>28</v>
      </c>
      <c r="G73" s="119">
        <f t="shared" si="4"/>
        <v>42.857142857142854</v>
      </c>
      <c r="H73" s="521" t="s">
        <v>935</v>
      </c>
      <c r="I73" s="522" t="s">
        <v>780</v>
      </c>
      <c r="J73" s="177" t="s">
        <v>936</v>
      </c>
    </row>
    <row r="74" spans="2:16">
      <c r="B74" s="518" t="s">
        <v>937</v>
      </c>
      <c r="C74" s="519">
        <v>3000</v>
      </c>
      <c r="D74" s="519">
        <v>0</v>
      </c>
      <c r="E74" s="519">
        <v>0</v>
      </c>
      <c r="F74" s="520">
        <v>20</v>
      </c>
      <c r="G74" s="119">
        <f t="shared" si="4"/>
        <v>150</v>
      </c>
      <c r="H74" s="521" t="s">
        <v>938</v>
      </c>
      <c r="I74" s="522" t="s">
        <v>939</v>
      </c>
      <c r="J74" s="523" t="s">
        <v>940</v>
      </c>
    </row>
    <row r="75" spans="2:16">
      <c r="B75" s="518" t="s">
        <v>941</v>
      </c>
      <c r="C75" s="519">
        <v>1500</v>
      </c>
      <c r="D75" s="519">
        <v>0</v>
      </c>
      <c r="E75" s="519">
        <v>0</v>
      </c>
      <c r="F75" s="520">
        <v>10</v>
      </c>
      <c r="G75" s="119">
        <f t="shared" si="4"/>
        <v>150</v>
      </c>
      <c r="H75" s="521" t="s">
        <v>942</v>
      </c>
      <c r="I75" s="522" t="s">
        <v>943</v>
      </c>
      <c r="J75" s="523" t="s">
        <v>944</v>
      </c>
    </row>
    <row r="78" spans="2:16">
      <c r="C78" t="s">
        <v>945</v>
      </c>
      <c r="D78" s="531">
        <v>1</v>
      </c>
    </row>
  </sheetData>
  <autoFilter ref="F50:F75" xr:uid="{00000000-0009-0000-0000-000005000000}">
    <sortState xmlns:xlrd2="http://schemas.microsoft.com/office/spreadsheetml/2017/richdata2" ref="B51:J75">
      <sortCondition descending="1" ref="F50:F75"/>
    </sortState>
  </autoFilter>
  <mergeCells count="4">
    <mergeCell ref="C1:G2"/>
    <mergeCell ref="C5:G5"/>
    <mergeCell ref="I6:L6"/>
    <mergeCell ref="N6:O6"/>
  </mergeCells>
  <conditionalFormatting sqref="D7:D26">
    <cfRule type="cellIs" dxfId="45" priority="2" operator="equal">
      <formula>"Muito Alta"</formula>
    </cfRule>
    <cfRule type="cellIs" dxfId="44" priority="3" operator="equal">
      <formula>"Muito Alta"</formula>
    </cfRule>
    <cfRule type="cellIs" dxfId="43" priority="4" operator="equal">
      <formula>"Alta"</formula>
    </cfRule>
    <cfRule type="cellIs" dxfId="42" priority="5" operator="equal">
      <formula>"Média"</formula>
    </cfRule>
    <cfRule type="cellIs" dxfId="41" priority="6" operator="equal">
      <formula>"Baixa"</formula>
    </cfRule>
  </conditionalFormatting>
  <conditionalFormatting sqref="D36:D51">
    <cfRule type="containsText" dxfId="40" priority="20" stopIfTrue="1" operator="containsText" text="Muito Baixa">
      <formula>NOT(ISERROR(SEARCH("Muito Baixa",D36)))</formula>
    </cfRule>
    <cfRule type="containsText" dxfId="39" priority="21" stopIfTrue="1" operator="containsText" text="Baixa">
      <formula>NOT(ISERROR(SEARCH("Baixa",D36)))</formula>
    </cfRule>
    <cfRule type="containsText" dxfId="38" priority="22" stopIfTrue="1" operator="containsText" text="Média">
      <formula>NOT(ISERROR(SEARCH("Média",D36)))</formula>
    </cfRule>
    <cfRule type="containsText" dxfId="37" priority="23" stopIfTrue="1" operator="containsText" text="Alta">
      <formula>NOT(ISERROR(SEARCH("Alta",D36)))</formula>
    </cfRule>
  </conditionalFormatting>
  <conditionalFormatting sqref="E22">
    <cfRule type="cellIs" dxfId="36" priority="10" operator="equal">
      <formula>"Muito Alta"</formula>
    </cfRule>
    <cfRule type="cellIs" dxfId="35" priority="11" operator="equal">
      <formula>"Muito Alta"</formula>
    </cfRule>
    <cfRule type="cellIs" dxfId="34" priority="12" operator="equal">
      <formula>"Muito Alta "</formula>
    </cfRule>
    <cfRule type="containsText" dxfId="33" priority="13" stopIfTrue="1" operator="containsText" text="Muito Baixa">
      <formula>NOT(ISERROR(SEARCH("Muito Baixa",E22)))</formula>
    </cfRule>
    <cfRule type="containsText" dxfId="32" priority="14" stopIfTrue="1" operator="containsText" text="Baixa">
      <formula>NOT(ISERROR(SEARCH("Baixa",E22)))</formula>
    </cfRule>
    <cfRule type="containsText" dxfId="31" priority="15" stopIfTrue="1" operator="containsText" text="Média">
      <formula>NOT(ISERROR(SEARCH("Média",E22)))</formula>
    </cfRule>
    <cfRule type="containsText" dxfId="30" priority="16" stopIfTrue="1" operator="containsText" text="Alta">
      <formula>NOT(ISERROR(SEARCH("Alta",E22)))</formula>
    </cfRule>
  </conditionalFormatting>
  <conditionalFormatting sqref="X27">
    <cfRule type="cellIs" dxfId="29" priority="1" operator="equal">
      <formula>"ok"</formula>
    </cfRule>
  </conditionalFormatting>
  <dataValidations count="1">
    <dataValidation type="custom" errorStyle="warning" allowBlank="1" showInputMessage="1" showErrorMessage="1" errorTitle="Percentual Inválido" error="O &quot;%considerado&quot;  não pode ser igual a 0% nem superior a 100%" sqref="D78" xr:uid="{00000000-0002-0000-0500-000000000000}">
      <formula1>D78&gt;0</formula1>
    </dataValidation>
  </dataValidations>
  <hyperlinks>
    <hyperlink ref="J74" r:id="rId1" display="https://www.google.com.br/maps/place/5%C2%B004'42.0%22S+42%C2%B047'35.0%22W/@-5.0783333,-42.7956305,17z/data=!3m1!4b1!4m4!3m3!8m2!3d-5.0783333!4d-42.7930556?entry=ttu&amp;g_ep=EgoyMDI1MDgxOS4wIKXMDSoASAFQAw%3D%3D" xr:uid="{00000000-0004-0000-0500-000000000000}"/>
    <hyperlink ref="B74" r:id="rId2" xr:uid="{00000000-0004-0000-0500-000001000000}"/>
    <hyperlink ref="B57" r:id="rId3" xr:uid="{00000000-0004-0000-0500-000002000000}"/>
    <hyperlink ref="J57" r:id="rId4" display="https://www.google.com.br/maps/place/5%C2%B003'48.0%22S+42%C2%B047'47.8%22W/@-5.0633333,-42.799186,17z/data=!3m1!4b1!4m4!3m3!8m2!3d-5.0633333!4d-42.7966111?entry=ttu&amp;g_ep=EgoyMDI1MDgxOS4wIKXMDSoASAFQAw%3D%3D" xr:uid="{00000000-0004-0000-0500-000003000000}"/>
    <hyperlink ref="B63" r:id="rId5" xr:uid="{00000000-0004-0000-0500-000004000000}"/>
    <hyperlink ref="J63" r:id="rId6" display="https://www.google.com.br/maps/place/5%C2%B005'12.1%22S+42%C2%B047'12.0%22W/@-5.0866944,-42.7892416,17z/data=!3m1!4b1!4m4!3m3!8m2!3d-5.0866944!4d-42.7866667?entry=ttu&amp;g_ep=EgoyMDI1MDgxOS4wIKXMDSoASAFQAw%3D%3D" xr:uid="{00000000-0004-0000-0500-000005000000}"/>
    <hyperlink ref="J75" r:id="rId7" display="https://www.google.com.br/maps/place/5%C2%B004'18.8%22S+42%C2%B047'11.7%22W/@-5.0790258,-42.8010573,15z/data=!4m4!3m3!8m2!3d-5.0718889!4d-42.7865833?entry=ttu&amp;g_ep=EgoyMDI1MDgxOS4wIKXMDSoASAFQAw%3D%3D" xr:uid="{00000000-0004-0000-0500-000006000000}"/>
    <hyperlink ref="B75" r:id="rId8" xr:uid="{00000000-0004-0000-0500-000007000000}"/>
    <hyperlink ref="J66" r:id="rId9" display="https://www.google.com.br/maps/place/5%C2%B003'51.9%22S+42%C2%B047'08.2%22W/@-5.0746317,-42.803225,15z/data=!4m4!3m3!8m2!3d-5.0644167!4d-42.7856111?entry=ttu&amp;g_ep=EgoyMDI1MDgxOS4wIKXMDSoASAFQAw%3D%3D" xr:uid="{00000000-0004-0000-0500-000008000000}"/>
    <hyperlink ref="B66" r:id="rId10" xr:uid="{00000000-0004-0000-0500-000009000000}"/>
    <hyperlink ref="J60" r:id="rId11" display="https://www.google.com.br/maps/place/5%C2%B004'14.3%22S+42%C2%B047'43.0%22W/@-5.0705194,-42.7990304,16.5z/data=!4m4!3m3!8m2!3d-5.0706389!4d-42.7952778?entry=ttu&amp;g_ep=EgoyMDI1MDgxOS4wIKXMDSoASAFQAw%3D%3D" xr:uid="{00000000-0004-0000-0500-00000A000000}"/>
    <hyperlink ref="B60" r:id="rId12" xr:uid="{00000000-0004-0000-0500-00000B000000}"/>
    <hyperlink ref="B67" r:id="rId13" xr:uid="{00000000-0004-0000-0500-00000C000000}"/>
    <hyperlink ref="J67" r:id="rId14" display="https://www.google.com.br/maps/place/5%C2%B003'48.2%22S+42%C2%B047'47.0%22W/@-5.0633889,-42.7989638,17z/data=!3m1!4b1!4m4!3m3!8m2!3d-5.0633889!4d-42.7963889?entry=ttu&amp;g_ep=EgoyMDI1MDgxOS4wIKXMDSoASAFQAw%3D%3D" xr:uid="{00000000-0004-0000-0500-00000D000000}"/>
    <hyperlink ref="J71" r:id="rId15" display="https://www.google.com.br/maps/place/5%C2%B004'34.6%22S+42%C2%B046'44.3%22W/@-5.0762778,-42.7815471,17z/data=!3m1!4b1!4m4!3m3!8m2!3d-5.0762778!4d-42.7789722?entry=ttu&amp;g_ep=EgoyMDI1MDgxOS4wIKXMDSoASAFQAw%3D%3D" xr:uid="{00000000-0004-0000-0500-00000E000000}"/>
    <hyperlink ref="B71" r:id="rId16" xr:uid="{00000000-0004-0000-0500-00000F000000}"/>
    <hyperlink ref="B56" r:id="rId17" xr:uid="{00000000-0004-0000-0500-000010000000}"/>
    <hyperlink ref="J56" r:id="rId18" display="https://www.google.com.br/maps/place/5%C2%B003'38.6%22S+42%C2%B047'06.0%22W/@-5.0607222,-42.7875749,17z/data=!3m1!4b1!4m4!3m3!8m2!3d-5.0607222!4d-42.785?entry=ttu&amp;g_ep=EgoyMDI1MDgxOS4wIKXMDSoASAFQAw%3D%3D" xr:uid="{00000000-0004-0000-0500-000011000000}"/>
    <hyperlink ref="B51" r:id="rId19" xr:uid="{00000000-0004-0000-0500-000012000000}"/>
    <hyperlink ref="J51" r:id="rId20" display="https://www.google.com.br/maps/place/5%C2%B004'26.8%22S+42%C2%B046'37.9%22W/@-5.0727365,-42.7926057,14.5z/data=!4m4!3m3!8m2!3d-5.0741111!4d-42.7771944?entry=ttu&amp;g_ep=EgoyMDI1MDgxOS4wIKXMDSoASAFQAw%3D%3D" xr:uid="{00000000-0004-0000-0500-000013000000}"/>
    <hyperlink ref="J72" r:id="rId21" display="https://www.google.com.br/maps/place/5%C2%B003'54.7%22S+42%C2%B047'38.0%22W/@-5.0651944,-42.7964638,17z/data=!3m1!4b1!4m4!3m3!8m2!3d-5.0651944!4d-42.7938889?entry=ttu&amp;g_ep=EgoyMDI1MDgxOS4wIKXMDSoASAFQAw%3D%3D" xr:uid="{00000000-0004-0000-0500-000014000000}"/>
    <hyperlink ref="B72" r:id="rId22" xr:uid="{00000000-0004-0000-0500-000015000000}"/>
    <hyperlink ref="J68" r:id="rId23" display="https://www.google.com.br/maps/place/5%C2%B004'40.7%22S+42%C2%B046'58.9%22W/@-5.0813437,-42.7888528,15.75z/data=!4m4!3m3!8m2!3d-5.0779722!4d-42.7830278?entry=ttu&amp;g_ep=EgoyMDI1MDgxOS4wIKXMDSoASAFQAw%3D%3D" xr:uid="{00000000-0004-0000-0500-000016000000}"/>
    <hyperlink ref="J69" r:id="rId24" display="https://www.google.com.br/maps/place/5%C2%B003'20.3%22S+42%C2%B046'56.8%22W/@-5.0588738,-42.7976113,14.5z/data=!4m4!3m3!8m2!3d-5.0556389!4d-42.7824444?entry=ttu&amp;g_ep=EgoyMDI1MDgxOS4wIKXMDSoASAFQAw%3D%3D" xr:uid="{00000000-0004-0000-0500-000017000000}"/>
    <hyperlink ref="B69" r:id="rId25" xr:uid="{00000000-0004-0000-0500-000018000000}"/>
    <hyperlink ref="B68" r:id="rId26" xr:uid="{00000000-0004-0000-0500-000019000000}"/>
    <hyperlink ref="J65" r:id="rId27" display="https://www.google.com.br/maps/place/5%C2%B004'38.7%22S+42%C2%B047'48.1%22W/@-5.076519,-42.8017262,16z/data=!4m4!3m3!8m2!3d-5.0774167!4d-42.7966944?entry=ttu&amp;g_ep=EgoyMDI1MDgxOS4wIKXMDSoASAFQAw%3D%3D" xr:uid="{00000000-0004-0000-0500-00001A000000}"/>
    <hyperlink ref="J53" r:id="rId28" display="https://www.google.com.br/maps/place/5%C2%B004'30.7%22S+42%C2%B046'19.1%22W/@-5.0751944,-42.7745471,17z/data=!3m1!4b1!4m4!3m3!8m2!3d-5.0751944!4d-42.7719722?entry=ttu&amp;g_ep=EgoyMDI1MDgxOS4wIKXMDSoASAFQAw%3D%3D" xr:uid="{00000000-0004-0000-0500-00001B000000}"/>
    <hyperlink ref="B64" r:id="rId29" xr:uid="{00000000-0004-0000-0500-00001C000000}"/>
    <hyperlink ref="B53" r:id="rId30" xr:uid="{00000000-0004-0000-0500-00001D000000}"/>
    <hyperlink ref="B65" r:id="rId31" xr:uid="{00000000-0004-0000-0500-00001E000000}"/>
    <hyperlink ref="J64" r:id="rId32" display="https://www.google.com.br/maps/place/5%C2%B005'00.1%22S+42%C2%B047'19.9%22W/@-5.0833611,-42.791436,17z/data=!3m1!4b1!4m4!3m3!8m2!3d-5.0833611!4d-42.7888611?entry=ttu&amp;g_ep=EgoyMDI1MDgxOS4wIKXMDSoASAFQAw%3D%3D" xr:uid="{00000000-0004-0000-0500-00001F000000}"/>
    <hyperlink ref="B73" r:id="rId33" xr:uid="{00000000-0004-0000-0500-000020000000}"/>
    <hyperlink ref="J73" r:id="rId34" display="https://www.zapimoveis.com.br/imovel/aluguel-conjunto-comercial-sala-sao-cristovao-teresina-pi-28m2-id-2777361845/?source=ranking%2Crp" xr:uid="{00000000-0004-0000-0500-000021000000}"/>
    <hyperlink ref="J70" r:id="rId35" display="https://www.google.com/maps?ll=-5.085275,-42.790646&amp;z=17&amp;t=m&amp;hl=pt-BR&amp;gl=US&amp;mapclient=embed&amp;q=Rua+Nogueira+Tapety+-+Noivos+Teresina+-+PI+64046-020" xr:uid="{00000000-0004-0000-0500-000022000000}"/>
    <hyperlink ref="B70" r:id="rId36" xr:uid="{00000000-0004-0000-0500-000023000000}"/>
    <hyperlink ref="B55" r:id="rId37" xr:uid="{00000000-0004-0000-0500-000024000000}"/>
    <hyperlink ref="J55" r:id="rId38" display="https://www.google.com/maps/place/5%C2%B004'51.3%22S+42%C2%B046'31.0%22W/@-5.0809167,-42.7778527,17z/data=!3m1!4b1!4m4!3m3!8m2!3d-5.0809167!4d-42.7752778?hl=pt-BR&amp;entry=ttu&amp;g_ep=EgoyMDI1MDgxOS4wIKXMDSoASAFQAw%3D%3D" xr:uid="{00000000-0004-0000-0500-000025000000}"/>
    <hyperlink ref="J61" r:id="rId39" display="https://www.google.com/maps/place/5%C2%B004'55.8%22S+42%C2%B047'23.9%22W/@-5.0821667,-42.7925471,17z/data=!3m1!4b1!4m4!3m3!8m2!3d-5.0821667!4d-42.7899722?hl=pt-BR&amp;entry=ttu&amp;g_ep=EgoyMDI1MDgxOS4wIKXMDSoASAFQAw%3D%3D" xr:uid="{00000000-0004-0000-0500-000026000000}"/>
    <hyperlink ref="B61" r:id="rId40" xr:uid="{00000000-0004-0000-0500-000027000000}"/>
    <hyperlink ref="B62" r:id="rId41" xr:uid="{00000000-0004-0000-0500-000028000000}"/>
    <hyperlink ref="J62" r:id="rId42" display="https://www.zapimoveis.com.br/imovel/aluguel-conjunto-comercial-sala-com-cozinha-noivos-teresina-pi-50m2-id-2710405054/?source=ranking%2Crp" xr:uid="{00000000-0004-0000-0500-000029000000}"/>
    <hyperlink ref="B59" r:id="rId43" xr:uid="{00000000-0004-0000-0500-00002A000000}"/>
    <hyperlink ref="J59" r:id="rId44" display="https://www.google.com/maps/place/5%C2%B005'00.1%22S+42%C2%B047'19.9%22W/@-5.0833611,-42.791436,17z/data=!3m1!4b1!4m4!3m3!8m2!3d-5.0833611!4d-42.7888611?hl=pt-BR&amp;entry=ttu&amp;g_ep=EgoyMDI1MDgxOS4wIKXMDSoASAFQAw%3D%3D" xr:uid="{00000000-0004-0000-0500-00002B000000}"/>
    <hyperlink ref="B52" r:id="rId45" xr:uid="{00000000-0004-0000-0500-00002C000000}"/>
    <hyperlink ref="J52" r:id="rId46" display="https://www.google.com/maps/place/5%C2%B004'50.1%22S+42%C2%B047'20.0%22W/@-5.0823393,-42.7935505,16.25z/data=!4m4!3m3!8m2!3d-5.0805833!4d-42.7888889?hl=pt-BR&amp;entry=ttu&amp;g_ep=EgoyMDI1MDgxOS4wIKXMDSoASAFQAw%3D%3D" xr:uid="{00000000-0004-0000-0500-00002D000000}"/>
    <hyperlink ref="B58" r:id="rId47" xr:uid="{00000000-0004-0000-0500-00002E000000}"/>
    <hyperlink ref="J54" r:id="rId48" display="https://www.google.com/maps/place/R.+Raimundo+da+Paz+-+Noivos,+Teresina+-+PI,+64046-100,+Brasil/@-5.084202,-42.789289,17z/data=!4m6!3m5!1s0x78e39f79d702a4f:0xa46efcbf58856b4b!8m2!3d-5.08215!4d-42.7879585!16s%2Fg%2F1ymwgymc6?hl=pt-BR&amp;entry=ttu&amp;g_ep=EgoyMDI1MDgxOS4wIKXMDSoASAFQAw%3D%3D" xr:uid="{00000000-0004-0000-0500-00002F000000}"/>
    <hyperlink ref="B54" r:id="rId49" xr:uid="{00000000-0004-0000-0500-000030000000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50"/>
  <drawing r:id="rId5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4">
    <tabColor rgb="FFE03F3F"/>
  </sheetPr>
  <dimension ref="A1:AN58"/>
  <sheetViews>
    <sheetView showGridLines="0" zoomScaleNormal="100" workbookViewId="0">
      <selection activeCell="G12" sqref="G12"/>
    </sheetView>
  </sheetViews>
  <sheetFormatPr defaultColWidth="9.140625" defaultRowHeight="13.9"/>
  <cols>
    <col min="1" max="1" width="9.140625" style="2"/>
    <col min="2" max="2" width="9.140625" style="21"/>
    <col min="3" max="3" width="37.7109375" style="21" bestFit="1" customWidth="1"/>
    <col min="4" max="4" width="18" style="21" bestFit="1" customWidth="1"/>
    <col min="5" max="39" width="20.28515625" style="21" customWidth="1"/>
    <col min="40" max="40" width="18.7109375" style="21" bestFit="1" customWidth="1"/>
    <col min="41" max="41" width="13.5703125" style="21" customWidth="1"/>
    <col min="42" max="16384" width="9.140625" style="21"/>
  </cols>
  <sheetData>
    <row r="1" spans="3:40" s="2" customFormat="1"/>
    <row r="2" spans="3:40" s="2" customFormat="1"/>
    <row r="4" spans="3:40">
      <c r="C4" s="798" t="s">
        <v>946</v>
      </c>
    </row>
    <row r="5" spans="3:40">
      <c r="C5" s="798"/>
    </row>
    <row r="7" spans="3:40" ht="15.75" customHeight="1">
      <c r="C7" s="144"/>
      <c r="D7" s="780" t="s">
        <v>224</v>
      </c>
      <c r="E7" s="780" t="s">
        <v>84</v>
      </c>
      <c r="F7" s="780" t="s">
        <v>86</v>
      </c>
      <c r="G7" s="780" t="s">
        <v>92</v>
      </c>
      <c r="H7" s="780" t="s">
        <v>93</v>
      </c>
      <c r="I7" s="780" t="s">
        <v>94</v>
      </c>
      <c r="J7" s="780" t="s">
        <v>95</v>
      </c>
      <c r="K7" s="780" t="s">
        <v>96</v>
      </c>
      <c r="L7" s="780" t="s">
        <v>97</v>
      </c>
      <c r="M7" s="780" t="s">
        <v>98</v>
      </c>
      <c r="N7" s="780" t="s">
        <v>99</v>
      </c>
      <c r="O7" s="780" t="s">
        <v>100</v>
      </c>
      <c r="P7" s="780" t="s">
        <v>101</v>
      </c>
      <c r="Q7" s="780" t="s">
        <v>102</v>
      </c>
      <c r="R7" s="780" t="s">
        <v>103</v>
      </c>
      <c r="S7" s="780" t="s">
        <v>104</v>
      </c>
      <c r="T7" s="780" t="s">
        <v>105</v>
      </c>
      <c r="U7" s="780" t="s">
        <v>106</v>
      </c>
      <c r="V7" s="780" t="s">
        <v>107</v>
      </c>
      <c r="W7" s="780" t="s">
        <v>108</v>
      </c>
      <c r="X7" s="780" t="s">
        <v>109</v>
      </c>
      <c r="Y7" s="780" t="s">
        <v>110</v>
      </c>
      <c r="Z7" s="780" t="s">
        <v>111</v>
      </c>
      <c r="AA7" s="780" t="s">
        <v>112</v>
      </c>
      <c r="AB7" s="780" t="s">
        <v>113</v>
      </c>
      <c r="AC7" s="780" t="s">
        <v>114</v>
      </c>
      <c r="AD7" s="780" t="s">
        <v>115</v>
      </c>
      <c r="AE7" s="780" t="s">
        <v>116</v>
      </c>
      <c r="AF7" s="780" t="s">
        <v>117</v>
      </c>
      <c r="AG7" s="780" t="s">
        <v>118</v>
      </c>
      <c r="AH7" s="780" t="s">
        <v>119</v>
      </c>
      <c r="AI7" s="780" t="s">
        <v>120</v>
      </c>
      <c r="AJ7" s="780" t="s">
        <v>121</v>
      </c>
      <c r="AK7" s="780" t="s">
        <v>122</v>
      </c>
      <c r="AL7" s="780" t="s">
        <v>123</v>
      </c>
      <c r="AM7" s="780" t="s">
        <v>124</v>
      </c>
      <c r="AN7" s="799" t="s">
        <v>483</v>
      </c>
    </row>
    <row r="8" spans="3:40">
      <c r="C8" s="143"/>
      <c r="D8" s="772">
        <v>2025</v>
      </c>
      <c r="E8" s="772">
        <v>2026</v>
      </c>
      <c r="F8" s="772">
        <v>2027</v>
      </c>
      <c r="G8" s="772">
        <v>2028</v>
      </c>
      <c r="H8" s="772">
        <v>2029</v>
      </c>
      <c r="I8" s="772">
        <v>2030</v>
      </c>
      <c r="J8" s="772">
        <v>2031</v>
      </c>
      <c r="K8" s="772">
        <v>2032</v>
      </c>
      <c r="L8" s="772">
        <v>2033</v>
      </c>
      <c r="M8" s="772">
        <v>2034</v>
      </c>
      <c r="N8" s="772">
        <v>2035</v>
      </c>
      <c r="O8" s="772">
        <v>2036</v>
      </c>
      <c r="P8" s="772">
        <v>2037</v>
      </c>
      <c r="Q8" s="772">
        <v>2038</v>
      </c>
      <c r="R8" s="772">
        <v>2039</v>
      </c>
      <c r="S8" s="772">
        <v>2040</v>
      </c>
      <c r="T8" s="772">
        <v>2041</v>
      </c>
      <c r="U8" s="772">
        <v>2042</v>
      </c>
      <c r="V8" s="772">
        <v>2043</v>
      </c>
      <c r="W8" s="772">
        <v>2044</v>
      </c>
      <c r="X8" s="772">
        <v>2045</v>
      </c>
      <c r="Y8" s="772">
        <v>2046</v>
      </c>
      <c r="Z8" s="772">
        <v>2047</v>
      </c>
      <c r="AA8" s="772">
        <v>2048</v>
      </c>
      <c r="AB8" s="772">
        <v>2049</v>
      </c>
      <c r="AC8" s="772">
        <v>2050</v>
      </c>
      <c r="AD8" s="772">
        <v>2051</v>
      </c>
      <c r="AE8" s="772">
        <v>2052</v>
      </c>
      <c r="AF8" s="772">
        <v>2053</v>
      </c>
      <c r="AG8" s="772">
        <v>2054</v>
      </c>
      <c r="AH8" s="772">
        <v>2055</v>
      </c>
      <c r="AI8" s="772">
        <v>2056</v>
      </c>
      <c r="AJ8" s="772">
        <v>2057</v>
      </c>
      <c r="AK8" s="772">
        <v>2058</v>
      </c>
      <c r="AL8" s="772">
        <v>2059</v>
      </c>
      <c r="AM8" s="772">
        <v>2060</v>
      </c>
      <c r="AN8" s="799"/>
    </row>
    <row r="9" spans="3:40">
      <c r="C9" s="143" t="s">
        <v>947</v>
      </c>
      <c r="D9" s="156">
        <v>0</v>
      </c>
      <c r="E9" s="156">
        <v>0</v>
      </c>
      <c r="F9" s="156">
        <v>0</v>
      </c>
      <c r="G9" s="156">
        <f>'RECEITAS '!G6*$D$31</f>
        <v>34464.08416948923</v>
      </c>
      <c r="H9" s="156">
        <f>'RECEITAS '!H6*$D$31</f>
        <v>34464.08416948923</v>
      </c>
      <c r="I9" s="156">
        <f>'RECEITAS '!I6*$D$31</f>
        <v>34464.08416948923</v>
      </c>
      <c r="J9" s="156">
        <f>'RECEITAS '!J6*$D$31</f>
        <v>34464.08416948923</v>
      </c>
      <c r="K9" s="156">
        <f>'RECEITAS '!K6*$D$31</f>
        <v>34464.08416948923</v>
      </c>
      <c r="L9" s="156">
        <f>'RECEITAS '!L6*$D$31</f>
        <v>34464.08416948923</v>
      </c>
      <c r="M9" s="156">
        <f>'RECEITAS '!M6*$D$31</f>
        <v>34464.08416948923</v>
      </c>
      <c r="N9" s="156">
        <f>'RECEITAS '!N6*$D$31</f>
        <v>34464.08416948923</v>
      </c>
      <c r="O9" s="156">
        <f>'RECEITAS '!O6*$D$31</f>
        <v>34464.08416948923</v>
      </c>
      <c r="P9" s="156">
        <f>'RECEITAS '!P6*$D$31</f>
        <v>34464.08416948923</v>
      </c>
      <c r="Q9" s="156">
        <f>'RECEITAS '!Q6*$D$31</f>
        <v>34464.08416948923</v>
      </c>
      <c r="R9" s="156">
        <f>'RECEITAS '!R6*$D$31</f>
        <v>34464.08416948923</v>
      </c>
      <c r="S9" s="156">
        <f>'RECEITAS '!S6*$D$31</f>
        <v>34464.08416948923</v>
      </c>
      <c r="T9" s="156">
        <f>'RECEITAS '!T6*$D$31</f>
        <v>34464.08416948923</v>
      </c>
      <c r="U9" s="156">
        <f>'RECEITAS '!U6*$D$31</f>
        <v>34464.08416948923</v>
      </c>
      <c r="V9" s="156">
        <f>'RECEITAS '!V6*$D$31</f>
        <v>34464.08416948923</v>
      </c>
      <c r="W9" s="156">
        <f>'RECEITAS '!W6*$D$31</f>
        <v>34464.08416948923</v>
      </c>
      <c r="X9" s="156">
        <f>'RECEITAS '!X6*$D$31</f>
        <v>34464.08416948923</v>
      </c>
      <c r="Y9" s="156">
        <f>'RECEITAS '!Y6*$D$31</f>
        <v>34464.08416948923</v>
      </c>
      <c r="Z9" s="156">
        <f>'RECEITAS '!Z6*$D$31</f>
        <v>34464.08416948923</v>
      </c>
      <c r="AA9" s="156">
        <f>'RECEITAS '!AA6*$D$31</f>
        <v>34464.08416948923</v>
      </c>
      <c r="AB9" s="156">
        <f>'RECEITAS '!AB6*$D$31</f>
        <v>34464.08416948923</v>
      </c>
      <c r="AC9" s="156">
        <f>'RECEITAS '!AC6*$D$31</f>
        <v>34464.08416948923</v>
      </c>
      <c r="AD9" s="156">
        <f>'RECEITAS '!AD6*$D$31</f>
        <v>34464.08416948923</v>
      </c>
      <c r="AE9" s="156">
        <f>'RECEITAS '!AE6*$D$31</f>
        <v>34464.08416948923</v>
      </c>
      <c r="AF9" s="156">
        <f>'RECEITAS '!AF6*$D$31</f>
        <v>34464.08416948923</v>
      </c>
      <c r="AG9" s="156">
        <f>'RECEITAS '!AG6*$D$31</f>
        <v>34464.08416948923</v>
      </c>
      <c r="AH9" s="156">
        <f>'RECEITAS '!AH6*$D$31</f>
        <v>34464.08416948923</v>
      </c>
      <c r="AI9" s="156">
        <f>'RECEITAS '!AI6*$D$31</f>
        <v>34464.08416948923</v>
      </c>
      <c r="AJ9" s="156">
        <f>'RECEITAS '!AJ6*$D$31</f>
        <v>34464.08416948923</v>
      </c>
      <c r="AK9" s="156">
        <f>'RECEITAS '!AK6*$D$31</f>
        <v>34464.08416948923</v>
      </c>
      <c r="AL9" s="156">
        <f>'RECEITAS '!AL6*$D$31</f>
        <v>34464.08416948923</v>
      </c>
      <c r="AM9" s="156">
        <f>'RECEITAS '!AM6*$D$31</f>
        <v>34464.08416948923</v>
      </c>
      <c r="AN9" s="545">
        <f t="shared" ref="AN9:AN26" si="0">SUM(D9:AM9)</f>
        <v>1137314.7775931444</v>
      </c>
    </row>
    <row r="10" spans="3:40">
      <c r="C10" s="143" t="s">
        <v>948</v>
      </c>
      <c r="D10" s="156">
        <v>0</v>
      </c>
      <c r="E10" s="156">
        <v>0</v>
      </c>
      <c r="F10" s="156">
        <v>0</v>
      </c>
      <c r="G10" s="156">
        <f>'Aux. OPEX'!I9</f>
        <v>1532997.7402087827</v>
      </c>
      <c r="H10" s="156">
        <f>$G10</f>
        <v>1532997.7402087827</v>
      </c>
      <c r="I10" s="156">
        <f>$H$10</f>
        <v>1532997.7402087827</v>
      </c>
      <c r="J10" s="156">
        <f t="shared" ref="J10:AM10" si="1">$H$10</f>
        <v>1532997.7402087827</v>
      </c>
      <c r="K10" s="156">
        <f t="shared" si="1"/>
        <v>1532997.7402087827</v>
      </c>
      <c r="L10" s="156">
        <f t="shared" si="1"/>
        <v>1532997.7402087827</v>
      </c>
      <c r="M10" s="156">
        <f t="shared" si="1"/>
        <v>1532997.7402087827</v>
      </c>
      <c r="N10" s="156">
        <f t="shared" si="1"/>
        <v>1532997.7402087827</v>
      </c>
      <c r="O10" s="156">
        <f t="shared" si="1"/>
        <v>1532997.7402087827</v>
      </c>
      <c r="P10" s="156">
        <f t="shared" si="1"/>
        <v>1532997.7402087827</v>
      </c>
      <c r="Q10" s="156">
        <f t="shared" si="1"/>
        <v>1532997.7402087827</v>
      </c>
      <c r="R10" s="156">
        <f t="shared" si="1"/>
        <v>1532997.7402087827</v>
      </c>
      <c r="S10" s="156">
        <f t="shared" si="1"/>
        <v>1532997.7402087827</v>
      </c>
      <c r="T10" s="156">
        <f t="shared" si="1"/>
        <v>1532997.7402087827</v>
      </c>
      <c r="U10" s="156">
        <f t="shared" si="1"/>
        <v>1532997.7402087827</v>
      </c>
      <c r="V10" s="156">
        <f t="shared" si="1"/>
        <v>1532997.7402087827</v>
      </c>
      <c r="W10" s="156">
        <f t="shared" si="1"/>
        <v>1532997.7402087827</v>
      </c>
      <c r="X10" s="156">
        <f t="shared" si="1"/>
        <v>1532997.7402087827</v>
      </c>
      <c r="Y10" s="156">
        <f t="shared" si="1"/>
        <v>1532997.7402087827</v>
      </c>
      <c r="Z10" s="156">
        <f t="shared" si="1"/>
        <v>1532997.7402087827</v>
      </c>
      <c r="AA10" s="156">
        <f t="shared" si="1"/>
        <v>1532997.7402087827</v>
      </c>
      <c r="AB10" s="156">
        <f t="shared" si="1"/>
        <v>1532997.7402087827</v>
      </c>
      <c r="AC10" s="156">
        <f t="shared" si="1"/>
        <v>1532997.7402087827</v>
      </c>
      <c r="AD10" s="156">
        <f t="shared" si="1"/>
        <v>1532997.7402087827</v>
      </c>
      <c r="AE10" s="156">
        <f t="shared" si="1"/>
        <v>1532997.7402087827</v>
      </c>
      <c r="AF10" s="156">
        <f t="shared" si="1"/>
        <v>1532997.7402087827</v>
      </c>
      <c r="AG10" s="156">
        <f t="shared" si="1"/>
        <v>1532997.7402087827</v>
      </c>
      <c r="AH10" s="156">
        <f t="shared" si="1"/>
        <v>1532997.7402087827</v>
      </c>
      <c r="AI10" s="156">
        <f t="shared" si="1"/>
        <v>1532997.7402087827</v>
      </c>
      <c r="AJ10" s="156">
        <f t="shared" si="1"/>
        <v>1532997.7402087827</v>
      </c>
      <c r="AK10" s="156">
        <f t="shared" si="1"/>
        <v>1532997.7402087827</v>
      </c>
      <c r="AL10" s="156">
        <f t="shared" si="1"/>
        <v>1532997.7402087827</v>
      </c>
      <c r="AM10" s="156">
        <f t="shared" si="1"/>
        <v>1532997.7402087827</v>
      </c>
      <c r="AN10" s="545">
        <f t="shared" si="0"/>
        <v>50588925.426889822</v>
      </c>
    </row>
    <row r="11" spans="3:40">
      <c r="C11" s="143" t="s">
        <v>949</v>
      </c>
      <c r="D11" s="156">
        <v>0</v>
      </c>
      <c r="E11" s="156">
        <v>0</v>
      </c>
      <c r="F11" s="156">
        <v>0</v>
      </c>
      <c r="G11" s="156">
        <f>'Aux. OPEX'!D15</f>
        <v>230056.74267494195</v>
      </c>
      <c r="H11" s="156">
        <f t="shared" ref="H11:H21" si="2">$G11</f>
        <v>230056.74267494195</v>
      </c>
      <c r="I11" s="156">
        <f>$H$11</f>
        <v>230056.74267494195</v>
      </c>
      <c r="J11" s="156">
        <f t="shared" ref="J11:AM11" si="3">$H$11</f>
        <v>230056.74267494195</v>
      </c>
      <c r="K11" s="156">
        <f t="shared" si="3"/>
        <v>230056.74267494195</v>
      </c>
      <c r="L11" s="156">
        <f t="shared" si="3"/>
        <v>230056.74267494195</v>
      </c>
      <c r="M11" s="156">
        <f t="shared" si="3"/>
        <v>230056.74267494195</v>
      </c>
      <c r="N11" s="156">
        <f t="shared" si="3"/>
        <v>230056.74267494195</v>
      </c>
      <c r="O11" s="156">
        <f t="shared" si="3"/>
        <v>230056.74267494195</v>
      </c>
      <c r="P11" s="156">
        <f t="shared" si="3"/>
        <v>230056.74267494195</v>
      </c>
      <c r="Q11" s="156">
        <f t="shared" si="3"/>
        <v>230056.74267494195</v>
      </c>
      <c r="R11" s="156">
        <f t="shared" si="3"/>
        <v>230056.74267494195</v>
      </c>
      <c r="S11" s="156">
        <f t="shared" si="3"/>
        <v>230056.74267494195</v>
      </c>
      <c r="T11" s="156">
        <f t="shared" si="3"/>
        <v>230056.74267494195</v>
      </c>
      <c r="U11" s="156">
        <f t="shared" si="3"/>
        <v>230056.74267494195</v>
      </c>
      <c r="V11" s="156">
        <f t="shared" si="3"/>
        <v>230056.74267494195</v>
      </c>
      <c r="W11" s="156">
        <f t="shared" si="3"/>
        <v>230056.74267494195</v>
      </c>
      <c r="X11" s="156">
        <f t="shared" si="3"/>
        <v>230056.74267494195</v>
      </c>
      <c r="Y11" s="156">
        <f t="shared" si="3"/>
        <v>230056.74267494195</v>
      </c>
      <c r="Z11" s="156">
        <f t="shared" si="3"/>
        <v>230056.74267494195</v>
      </c>
      <c r="AA11" s="156">
        <f t="shared" si="3"/>
        <v>230056.74267494195</v>
      </c>
      <c r="AB11" s="156">
        <f t="shared" si="3"/>
        <v>230056.74267494195</v>
      </c>
      <c r="AC11" s="156">
        <f t="shared" si="3"/>
        <v>230056.74267494195</v>
      </c>
      <c r="AD11" s="156">
        <f t="shared" si="3"/>
        <v>230056.74267494195</v>
      </c>
      <c r="AE11" s="156">
        <f t="shared" si="3"/>
        <v>230056.74267494195</v>
      </c>
      <c r="AF11" s="156">
        <f t="shared" si="3"/>
        <v>230056.74267494195</v>
      </c>
      <c r="AG11" s="156">
        <f t="shared" si="3"/>
        <v>230056.74267494195</v>
      </c>
      <c r="AH11" s="156">
        <f t="shared" si="3"/>
        <v>230056.74267494195</v>
      </c>
      <c r="AI11" s="156">
        <f t="shared" si="3"/>
        <v>230056.74267494195</v>
      </c>
      <c r="AJ11" s="156">
        <f t="shared" si="3"/>
        <v>230056.74267494195</v>
      </c>
      <c r="AK11" s="156">
        <f t="shared" si="3"/>
        <v>230056.74267494195</v>
      </c>
      <c r="AL11" s="156">
        <f t="shared" si="3"/>
        <v>230056.74267494195</v>
      </c>
      <c r="AM11" s="156">
        <f t="shared" si="3"/>
        <v>230056.74267494195</v>
      </c>
      <c r="AN11" s="545">
        <f t="shared" si="0"/>
        <v>7591872.5082730884</v>
      </c>
    </row>
    <row r="12" spans="3:40">
      <c r="C12" s="143" t="s">
        <v>950</v>
      </c>
      <c r="D12" s="156">
        <v>0</v>
      </c>
      <c r="E12" s="156">
        <v>0</v>
      </c>
      <c r="F12" s="156">
        <v>0</v>
      </c>
      <c r="G12" s="156">
        <f>'Aux. OPEX'!D16</f>
        <v>855103.72139279998</v>
      </c>
      <c r="H12" s="156">
        <f t="shared" si="2"/>
        <v>855103.72139279998</v>
      </c>
      <c r="I12" s="156">
        <f>$H$12</f>
        <v>855103.72139279998</v>
      </c>
      <c r="J12" s="156">
        <f t="shared" ref="J12:AM12" si="4">$H$12</f>
        <v>855103.72139279998</v>
      </c>
      <c r="K12" s="156">
        <f t="shared" si="4"/>
        <v>855103.72139279998</v>
      </c>
      <c r="L12" s="156">
        <f t="shared" si="4"/>
        <v>855103.72139279998</v>
      </c>
      <c r="M12" s="156">
        <f t="shared" si="4"/>
        <v>855103.72139279998</v>
      </c>
      <c r="N12" s="156">
        <f t="shared" si="4"/>
        <v>855103.72139279998</v>
      </c>
      <c r="O12" s="156">
        <f t="shared" si="4"/>
        <v>855103.72139279998</v>
      </c>
      <c r="P12" s="156">
        <f t="shared" si="4"/>
        <v>855103.72139279998</v>
      </c>
      <c r="Q12" s="156">
        <f t="shared" si="4"/>
        <v>855103.72139279998</v>
      </c>
      <c r="R12" s="156">
        <f t="shared" si="4"/>
        <v>855103.72139279998</v>
      </c>
      <c r="S12" s="156">
        <f t="shared" si="4"/>
        <v>855103.72139279998</v>
      </c>
      <c r="T12" s="156">
        <f t="shared" si="4"/>
        <v>855103.72139279998</v>
      </c>
      <c r="U12" s="156">
        <f t="shared" si="4"/>
        <v>855103.72139279998</v>
      </c>
      <c r="V12" s="156">
        <f t="shared" si="4"/>
        <v>855103.72139279998</v>
      </c>
      <c r="W12" s="156">
        <f t="shared" si="4"/>
        <v>855103.72139279998</v>
      </c>
      <c r="X12" s="156">
        <f t="shared" si="4"/>
        <v>855103.72139279998</v>
      </c>
      <c r="Y12" s="156">
        <f t="shared" si="4"/>
        <v>855103.72139279998</v>
      </c>
      <c r="Z12" s="156">
        <f t="shared" si="4"/>
        <v>855103.72139279998</v>
      </c>
      <c r="AA12" s="156">
        <f t="shared" si="4"/>
        <v>855103.72139279998</v>
      </c>
      <c r="AB12" s="156">
        <f t="shared" si="4"/>
        <v>855103.72139279998</v>
      </c>
      <c r="AC12" s="156">
        <f t="shared" si="4"/>
        <v>855103.72139279998</v>
      </c>
      <c r="AD12" s="156">
        <f t="shared" si="4"/>
        <v>855103.72139279998</v>
      </c>
      <c r="AE12" s="156">
        <f t="shared" si="4"/>
        <v>855103.72139279998</v>
      </c>
      <c r="AF12" s="156">
        <f t="shared" si="4"/>
        <v>855103.72139279998</v>
      </c>
      <c r="AG12" s="156">
        <f t="shared" si="4"/>
        <v>855103.72139279998</v>
      </c>
      <c r="AH12" s="156">
        <f t="shared" si="4"/>
        <v>855103.72139279998</v>
      </c>
      <c r="AI12" s="156">
        <f t="shared" si="4"/>
        <v>855103.72139279998</v>
      </c>
      <c r="AJ12" s="156">
        <f t="shared" si="4"/>
        <v>855103.72139279998</v>
      </c>
      <c r="AK12" s="156">
        <f t="shared" si="4"/>
        <v>855103.72139279998</v>
      </c>
      <c r="AL12" s="156">
        <f t="shared" si="4"/>
        <v>855103.72139279998</v>
      </c>
      <c r="AM12" s="156">
        <f t="shared" si="4"/>
        <v>855103.72139279998</v>
      </c>
      <c r="AN12" s="545">
        <f t="shared" si="0"/>
        <v>28218422.80596238</v>
      </c>
    </row>
    <row r="13" spans="3:40">
      <c r="C13" s="143" t="s">
        <v>951</v>
      </c>
      <c r="D13" s="156">
        <f>IF('INPUTS&amp;OUTPUTS'!$K$24="Sim",'Aux. OPEX'!K72,0)</f>
        <v>0</v>
      </c>
      <c r="E13" s="156">
        <f>IF('INPUTS&amp;OUTPUTS'!$K$24="Sim",'Aux. OPEX'!L72,0)</f>
        <v>0</v>
      </c>
      <c r="F13" s="156">
        <f>IF('INPUTS&amp;OUTPUTS'!$K$24="Sim",'Aux. OPEX'!M72,0)</f>
        <v>0</v>
      </c>
      <c r="G13" s="156">
        <f>IF('INPUTS&amp;OUTPUTS'!$K$24="Sim",'Aux. OPEX'!N72,0)</f>
        <v>11980.428554722606</v>
      </c>
      <c r="H13" s="156">
        <f>IF('INPUTS&amp;OUTPUTS'!$K$24="Sim",'Aux. OPEX'!O72,0)</f>
        <v>11980.428554722606</v>
      </c>
      <c r="I13" s="156">
        <f>IF('INPUTS&amp;OUTPUTS'!$K$24="Sim",'Aux. OPEX'!P72,0)</f>
        <v>15159.419121033117</v>
      </c>
      <c r="J13" s="156">
        <f>IF('INPUTS&amp;OUTPUTS'!$K$24="Sim",'Aux. OPEX'!Q72,0)</f>
        <v>11980.428554722606</v>
      </c>
      <c r="K13" s="156">
        <f>IF('INPUTS&amp;OUTPUTS'!$K$24="Sim",'Aux. OPEX'!R72,0)</f>
        <v>31667.66869524918</v>
      </c>
      <c r="L13" s="156">
        <f>IF('INPUTS&amp;OUTPUTS'!$K$24="Sim",'Aux. OPEX'!S72,0)</f>
        <v>15159.419121033117</v>
      </c>
      <c r="M13" s="156">
        <f>IF('INPUTS&amp;OUTPUTS'!$K$24="Sim",'Aux. OPEX'!T72,0)</f>
        <v>11980.428554722606</v>
      </c>
      <c r="N13" s="156">
        <f>IF('INPUTS&amp;OUTPUTS'!$K$24="Sim",'Aux. OPEX'!U72,0)</f>
        <v>11980.428554722606</v>
      </c>
      <c r="O13" s="156">
        <f>IF('INPUTS&amp;OUTPUTS'!$K$24="Sim",'Aux. OPEX'!V72,0)</f>
        <v>15159.419121033117</v>
      </c>
      <c r="P13" s="156">
        <f>IF('INPUTS&amp;OUTPUTS'!$K$24="Sim",'Aux. OPEX'!W72,0)</f>
        <v>31667.66869524918</v>
      </c>
      <c r="Q13" s="156">
        <f>IF('INPUTS&amp;OUTPUTS'!$K$24="Sim",'Aux. OPEX'!X72,0)</f>
        <v>11980.428554722606</v>
      </c>
      <c r="R13" s="156">
        <f>IF('INPUTS&amp;OUTPUTS'!$K$24="Sim",'Aux. OPEX'!Y72,0)</f>
        <v>15159.419121033117</v>
      </c>
      <c r="S13" s="156">
        <f>IF('INPUTS&amp;OUTPUTS'!$K$24="Sim",'Aux. OPEX'!Z72,0)</f>
        <v>11980.428554722606</v>
      </c>
      <c r="T13" s="156">
        <f>IF('INPUTS&amp;OUTPUTS'!$K$24="Sim",'Aux. OPEX'!AA72,0)</f>
        <v>11980.428554722606</v>
      </c>
      <c r="U13" s="156">
        <f>IF('INPUTS&amp;OUTPUTS'!$K$24="Sim",'Aux. OPEX'!AB72,0)</f>
        <v>47075.946831383873</v>
      </c>
      <c r="V13" s="156">
        <f>IF('INPUTS&amp;OUTPUTS'!$K$24="Sim",'Aux. OPEX'!AC72,0)</f>
        <v>11980.428554722606</v>
      </c>
      <c r="W13" s="156">
        <f>IF('INPUTS&amp;OUTPUTS'!$K$24="Sim",'Aux. OPEX'!AD72,0)</f>
        <v>11980.428554722606</v>
      </c>
      <c r="X13" s="156">
        <f>IF('INPUTS&amp;OUTPUTS'!$K$24="Sim",'Aux. OPEX'!AE72,0)</f>
        <v>15159.419121033117</v>
      </c>
      <c r="Y13" s="156">
        <f>IF('INPUTS&amp;OUTPUTS'!$K$24="Sim",'Aux. OPEX'!AF72,0)</f>
        <v>11980.428554722606</v>
      </c>
      <c r="Z13" s="156">
        <f>IF('INPUTS&amp;OUTPUTS'!$K$24="Sim",'Aux. OPEX'!AG72,0)</f>
        <v>31667.66869524918</v>
      </c>
      <c r="AA13" s="156">
        <f>IF('INPUTS&amp;OUTPUTS'!$K$24="Sim",'Aux. OPEX'!AH72,0)</f>
        <v>15159.419121033117</v>
      </c>
      <c r="AB13" s="156">
        <f>IF('INPUTS&amp;OUTPUTS'!$K$24="Sim",'Aux. OPEX'!AI72,0)</f>
        <v>11980.428554722606</v>
      </c>
      <c r="AC13" s="156">
        <f>IF('INPUTS&amp;OUTPUTS'!$K$24="Sim",'Aux. OPEX'!AJ72,0)</f>
        <v>11980.428554722606</v>
      </c>
      <c r="AD13" s="156">
        <f>IF('INPUTS&amp;OUTPUTS'!$K$24="Sim",'Aux. OPEX'!AK72,0)</f>
        <v>15159.419121033117</v>
      </c>
      <c r="AE13" s="156">
        <f>IF('INPUTS&amp;OUTPUTS'!$K$24="Sim",'Aux. OPEX'!AL72,0)</f>
        <v>31667.66869524918</v>
      </c>
      <c r="AF13" s="156">
        <f>IF('INPUTS&amp;OUTPUTS'!$K$24="Sim",'Aux. OPEX'!AM72,0)</f>
        <v>11980.428554722606</v>
      </c>
      <c r="AG13" s="156">
        <f>IF('INPUTS&amp;OUTPUTS'!$K$24="Sim",'Aux. OPEX'!AN72,0)</f>
        <v>15159.419121033117</v>
      </c>
      <c r="AH13" s="156">
        <f>IF('INPUTS&amp;OUTPUTS'!$K$24="Sim",'Aux. OPEX'!AO72,0)</f>
        <v>11980.428554722606</v>
      </c>
      <c r="AI13" s="156">
        <f>IF('INPUTS&amp;OUTPUTS'!$K$24="Sim",'Aux. OPEX'!AP72,0)</f>
        <v>11980.428554722606</v>
      </c>
      <c r="AJ13" s="156">
        <f>IF('INPUTS&amp;OUTPUTS'!$K$24="Sim",'Aux. OPEX'!AQ72,0)</f>
        <v>47075.946831383873</v>
      </c>
      <c r="AK13" s="156">
        <f>IF('INPUTS&amp;OUTPUTS'!$K$24="Sim",'Aux. OPEX'!AR72,0)</f>
        <v>11980.428554722606</v>
      </c>
      <c r="AL13" s="156">
        <f>IF('INPUTS&amp;OUTPUTS'!$K$24="Sim",'Aux. OPEX'!AS72,0)</f>
        <v>11980.428554722606</v>
      </c>
      <c r="AM13" s="156">
        <f>IF('INPUTS&amp;OUTPUTS'!$K$24="Sim",'Aux. OPEX'!AT72,0)</f>
        <v>15159.419121033117</v>
      </c>
      <c r="AN13" s="545">
        <f t="shared" si="0"/>
        <v>572905.05451806961</v>
      </c>
    </row>
    <row r="14" spans="3:40">
      <c r="C14" s="143" t="s">
        <v>952</v>
      </c>
      <c r="D14" s="156">
        <v>0</v>
      </c>
      <c r="E14" s="156">
        <v>0</v>
      </c>
      <c r="F14" s="156">
        <v>0</v>
      </c>
      <c r="G14" s="156">
        <f>'Aux. OPEX'!D17</f>
        <v>233572.75903472747</v>
      </c>
      <c r="H14" s="156">
        <f t="shared" si="2"/>
        <v>233572.75903472747</v>
      </c>
      <c r="I14" s="156">
        <f>$H$14</f>
        <v>233572.75903472747</v>
      </c>
      <c r="J14" s="156">
        <f t="shared" ref="J14:AM14" si="5">$H$14</f>
        <v>233572.75903472747</v>
      </c>
      <c r="K14" s="156">
        <f t="shared" si="5"/>
        <v>233572.75903472747</v>
      </c>
      <c r="L14" s="156">
        <f t="shared" si="5"/>
        <v>233572.75903472747</v>
      </c>
      <c r="M14" s="156">
        <f t="shared" si="5"/>
        <v>233572.75903472747</v>
      </c>
      <c r="N14" s="156">
        <f t="shared" si="5"/>
        <v>233572.75903472747</v>
      </c>
      <c r="O14" s="156">
        <f t="shared" si="5"/>
        <v>233572.75903472747</v>
      </c>
      <c r="P14" s="156">
        <f t="shared" si="5"/>
        <v>233572.75903472747</v>
      </c>
      <c r="Q14" s="156">
        <f t="shared" si="5"/>
        <v>233572.75903472747</v>
      </c>
      <c r="R14" s="156">
        <f t="shared" si="5"/>
        <v>233572.75903472747</v>
      </c>
      <c r="S14" s="156">
        <f t="shared" si="5"/>
        <v>233572.75903472747</v>
      </c>
      <c r="T14" s="156">
        <f t="shared" si="5"/>
        <v>233572.75903472747</v>
      </c>
      <c r="U14" s="156">
        <f t="shared" si="5"/>
        <v>233572.75903472747</v>
      </c>
      <c r="V14" s="156">
        <f t="shared" si="5"/>
        <v>233572.75903472747</v>
      </c>
      <c r="W14" s="156">
        <f t="shared" si="5"/>
        <v>233572.75903472747</v>
      </c>
      <c r="X14" s="156">
        <f t="shared" si="5"/>
        <v>233572.75903472747</v>
      </c>
      <c r="Y14" s="156">
        <f t="shared" si="5"/>
        <v>233572.75903472747</v>
      </c>
      <c r="Z14" s="156">
        <f t="shared" si="5"/>
        <v>233572.75903472747</v>
      </c>
      <c r="AA14" s="156">
        <f t="shared" si="5"/>
        <v>233572.75903472747</v>
      </c>
      <c r="AB14" s="156">
        <f t="shared" si="5"/>
        <v>233572.75903472747</v>
      </c>
      <c r="AC14" s="156">
        <f t="shared" si="5"/>
        <v>233572.75903472747</v>
      </c>
      <c r="AD14" s="156">
        <f t="shared" si="5"/>
        <v>233572.75903472747</v>
      </c>
      <c r="AE14" s="156">
        <f t="shared" si="5"/>
        <v>233572.75903472747</v>
      </c>
      <c r="AF14" s="156">
        <f t="shared" si="5"/>
        <v>233572.75903472747</v>
      </c>
      <c r="AG14" s="156">
        <f t="shared" si="5"/>
        <v>233572.75903472747</v>
      </c>
      <c r="AH14" s="156">
        <f t="shared" si="5"/>
        <v>233572.75903472747</v>
      </c>
      <c r="AI14" s="156">
        <f t="shared" si="5"/>
        <v>233572.75903472747</v>
      </c>
      <c r="AJ14" s="156">
        <f t="shared" si="5"/>
        <v>233572.75903472747</v>
      </c>
      <c r="AK14" s="156">
        <f t="shared" si="5"/>
        <v>233572.75903472747</v>
      </c>
      <c r="AL14" s="156">
        <f t="shared" si="5"/>
        <v>233572.75903472747</v>
      </c>
      <c r="AM14" s="156">
        <f t="shared" si="5"/>
        <v>233572.75903472747</v>
      </c>
      <c r="AN14" s="545">
        <f t="shared" si="0"/>
        <v>7707901.0481460122</v>
      </c>
    </row>
    <row r="15" spans="3:40">
      <c r="C15" s="143" t="s">
        <v>953</v>
      </c>
      <c r="D15" s="156">
        <v>0</v>
      </c>
      <c r="E15" s="156">
        <v>0</v>
      </c>
      <c r="F15" s="156">
        <v>0</v>
      </c>
      <c r="G15" s="156">
        <f>'Aux. OPEX'!D18</f>
        <v>164495.27901455149</v>
      </c>
      <c r="H15" s="156">
        <f t="shared" si="2"/>
        <v>164495.27901455149</v>
      </c>
      <c r="I15" s="156">
        <f>$H$15</f>
        <v>164495.27901455149</v>
      </c>
      <c r="J15" s="156">
        <f t="shared" ref="J15:AM15" si="6">$H$15</f>
        <v>164495.27901455149</v>
      </c>
      <c r="K15" s="156">
        <f t="shared" si="6"/>
        <v>164495.27901455149</v>
      </c>
      <c r="L15" s="156">
        <f t="shared" si="6"/>
        <v>164495.27901455149</v>
      </c>
      <c r="M15" s="156">
        <f t="shared" si="6"/>
        <v>164495.27901455149</v>
      </c>
      <c r="N15" s="156">
        <f t="shared" si="6"/>
        <v>164495.27901455149</v>
      </c>
      <c r="O15" s="156">
        <f t="shared" si="6"/>
        <v>164495.27901455149</v>
      </c>
      <c r="P15" s="156">
        <f t="shared" si="6"/>
        <v>164495.27901455149</v>
      </c>
      <c r="Q15" s="156">
        <f t="shared" si="6"/>
        <v>164495.27901455149</v>
      </c>
      <c r="R15" s="156">
        <f t="shared" si="6"/>
        <v>164495.27901455149</v>
      </c>
      <c r="S15" s="156">
        <f t="shared" si="6"/>
        <v>164495.27901455149</v>
      </c>
      <c r="T15" s="156">
        <f t="shared" si="6"/>
        <v>164495.27901455149</v>
      </c>
      <c r="U15" s="156">
        <f t="shared" si="6"/>
        <v>164495.27901455149</v>
      </c>
      <c r="V15" s="156">
        <f t="shared" si="6"/>
        <v>164495.27901455149</v>
      </c>
      <c r="W15" s="156">
        <f t="shared" si="6"/>
        <v>164495.27901455149</v>
      </c>
      <c r="X15" s="156">
        <f t="shared" si="6"/>
        <v>164495.27901455149</v>
      </c>
      <c r="Y15" s="156">
        <f t="shared" si="6"/>
        <v>164495.27901455149</v>
      </c>
      <c r="Z15" s="156">
        <f t="shared" si="6"/>
        <v>164495.27901455149</v>
      </c>
      <c r="AA15" s="156">
        <f t="shared" si="6"/>
        <v>164495.27901455149</v>
      </c>
      <c r="AB15" s="156">
        <f t="shared" si="6"/>
        <v>164495.27901455149</v>
      </c>
      <c r="AC15" s="156">
        <f t="shared" si="6"/>
        <v>164495.27901455149</v>
      </c>
      <c r="AD15" s="156">
        <f t="shared" si="6"/>
        <v>164495.27901455149</v>
      </c>
      <c r="AE15" s="156">
        <f t="shared" si="6"/>
        <v>164495.27901455149</v>
      </c>
      <c r="AF15" s="156">
        <f t="shared" si="6"/>
        <v>164495.27901455149</v>
      </c>
      <c r="AG15" s="156">
        <f t="shared" si="6"/>
        <v>164495.27901455149</v>
      </c>
      <c r="AH15" s="156">
        <f t="shared" si="6"/>
        <v>164495.27901455149</v>
      </c>
      <c r="AI15" s="156">
        <f t="shared" si="6"/>
        <v>164495.27901455149</v>
      </c>
      <c r="AJ15" s="156">
        <f t="shared" si="6"/>
        <v>164495.27901455149</v>
      </c>
      <c r="AK15" s="156">
        <f t="shared" si="6"/>
        <v>164495.27901455149</v>
      </c>
      <c r="AL15" s="156">
        <f t="shared" si="6"/>
        <v>164495.27901455149</v>
      </c>
      <c r="AM15" s="156">
        <f t="shared" si="6"/>
        <v>164495.27901455149</v>
      </c>
      <c r="AN15" s="545">
        <f t="shared" si="0"/>
        <v>5428344.2074801968</v>
      </c>
    </row>
    <row r="16" spans="3:40">
      <c r="C16" s="143" t="s">
        <v>954</v>
      </c>
      <c r="D16" s="156">
        <v>0</v>
      </c>
      <c r="E16" s="156">
        <v>0</v>
      </c>
      <c r="F16" s="156">
        <v>0</v>
      </c>
      <c r="G16" s="156">
        <f>'Aux. OPEX'!D19</f>
        <v>254383.22336924105</v>
      </c>
      <c r="H16" s="156">
        <f t="shared" si="2"/>
        <v>254383.22336924105</v>
      </c>
      <c r="I16" s="156">
        <f>$H$16</f>
        <v>254383.22336924105</v>
      </c>
      <c r="J16" s="156">
        <f t="shared" ref="J16:AM16" si="7">$H$16</f>
        <v>254383.22336924105</v>
      </c>
      <c r="K16" s="156">
        <f t="shared" si="7"/>
        <v>254383.22336924105</v>
      </c>
      <c r="L16" s="156">
        <f t="shared" si="7"/>
        <v>254383.22336924105</v>
      </c>
      <c r="M16" s="156">
        <f t="shared" si="7"/>
        <v>254383.22336924105</v>
      </c>
      <c r="N16" s="156">
        <f t="shared" si="7"/>
        <v>254383.22336924105</v>
      </c>
      <c r="O16" s="156">
        <f t="shared" si="7"/>
        <v>254383.22336924105</v>
      </c>
      <c r="P16" s="156">
        <f t="shared" si="7"/>
        <v>254383.22336924105</v>
      </c>
      <c r="Q16" s="156">
        <f t="shared" si="7"/>
        <v>254383.22336924105</v>
      </c>
      <c r="R16" s="156">
        <f t="shared" si="7"/>
        <v>254383.22336924105</v>
      </c>
      <c r="S16" s="156">
        <f t="shared" si="7"/>
        <v>254383.22336924105</v>
      </c>
      <c r="T16" s="156">
        <f t="shared" si="7"/>
        <v>254383.22336924105</v>
      </c>
      <c r="U16" s="156">
        <f t="shared" si="7"/>
        <v>254383.22336924105</v>
      </c>
      <c r="V16" s="156">
        <f t="shared" si="7"/>
        <v>254383.22336924105</v>
      </c>
      <c r="W16" s="156">
        <f t="shared" si="7"/>
        <v>254383.22336924105</v>
      </c>
      <c r="X16" s="156">
        <f t="shared" si="7"/>
        <v>254383.22336924105</v>
      </c>
      <c r="Y16" s="156">
        <f t="shared" si="7"/>
        <v>254383.22336924105</v>
      </c>
      <c r="Z16" s="156">
        <f t="shared" si="7"/>
        <v>254383.22336924105</v>
      </c>
      <c r="AA16" s="156">
        <f t="shared" si="7"/>
        <v>254383.22336924105</v>
      </c>
      <c r="AB16" s="156">
        <f t="shared" si="7"/>
        <v>254383.22336924105</v>
      </c>
      <c r="AC16" s="156">
        <f t="shared" si="7"/>
        <v>254383.22336924105</v>
      </c>
      <c r="AD16" s="156">
        <f t="shared" si="7"/>
        <v>254383.22336924105</v>
      </c>
      <c r="AE16" s="156">
        <f t="shared" si="7"/>
        <v>254383.22336924105</v>
      </c>
      <c r="AF16" s="156">
        <f t="shared" si="7"/>
        <v>254383.22336924105</v>
      </c>
      <c r="AG16" s="156">
        <f t="shared" si="7"/>
        <v>254383.22336924105</v>
      </c>
      <c r="AH16" s="156">
        <f t="shared" si="7"/>
        <v>254383.22336924105</v>
      </c>
      <c r="AI16" s="156">
        <f t="shared" si="7"/>
        <v>254383.22336924105</v>
      </c>
      <c r="AJ16" s="156">
        <f t="shared" si="7"/>
        <v>254383.22336924105</v>
      </c>
      <c r="AK16" s="156">
        <f t="shared" si="7"/>
        <v>254383.22336924105</v>
      </c>
      <c r="AL16" s="156">
        <f t="shared" si="7"/>
        <v>254383.22336924105</v>
      </c>
      <c r="AM16" s="156">
        <f t="shared" si="7"/>
        <v>254383.22336924105</v>
      </c>
      <c r="AN16" s="545">
        <f t="shared" si="0"/>
        <v>8394646.3711849507</v>
      </c>
    </row>
    <row r="17" spans="3:40">
      <c r="C17" s="143" t="s">
        <v>955</v>
      </c>
      <c r="D17" s="156">
        <v>0</v>
      </c>
      <c r="E17" s="156">
        <v>0</v>
      </c>
      <c r="F17" s="156">
        <v>0</v>
      </c>
      <c r="G17" s="156">
        <f>'Aux. OPEX'!D20</f>
        <v>397246.04090487625</v>
      </c>
      <c r="H17" s="156">
        <f t="shared" si="2"/>
        <v>397246.04090487625</v>
      </c>
      <c r="I17" s="156">
        <f>$H$17</f>
        <v>397246.04090487625</v>
      </c>
      <c r="J17" s="156">
        <f t="shared" ref="J17:AM17" si="8">$H$17</f>
        <v>397246.04090487625</v>
      </c>
      <c r="K17" s="156">
        <f t="shared" si="8"/>
        <v>397246.04090487625</v>
      </c>
      <c r="L17" s="156">
        <f t="shared" si="8"/>
        <v>397246.04090487625</v>
      </c>
      <c r="M17" s="156">
        <f t="shared" si="8"/>
        <v>397246.04090487625</v>
      </c>
      <c r="N17" s="156">
        <f t="shared" si="8"/>
        <v>397246.04090487625</v>
      </c>
      <c r="O17" s="156">
        <f t="shared" si="8"/>
        <v>397246.04090487625</v>
      </c>
      <c r="P17" s="156">
        <f t="shared" si="8"/>
        <v>397246.04090487625</v>
      </c>
      <c r="Q17" s="156">
        <f t="shared" si="8"/>
        <v>397246.04090487625</v>
      </c>
      <c r="R17" s="156">
        <f t="shared" si="8"/>
        <v>397246.04090487625</v>
      </c>
      <c r="S17" s="156">
        <f t="shared" si="8"/>
        <v>397246.04090487625</v>
      </c>
      <c r="T17" s="156">
        <f t="shared" si="8"/>
        <v>397246.04090487625</v>
      </c>
      <c r="U17" s="156">
        <f t="shared" si="8"/>
        <v>397246.04090487625</v>
      </c>
      <c r="V17" s="156">
        <f t="shared" si="8"/>
        <v>397246.04090487625</v>
      </c>
      <c r="W17" s="156">
        <f t="shared" si="8"/>
        <v>397246.04090487625</v>
      </c>
      <c r="X17" s="156">
        <f t="shared" si="8"/>
        <v>397246.04090487625</v>
      </c>
      <c r="Y17" s="156">
        <f t="shared" si="8"/>
        <v>397246.04090487625</v>
      </c>
      <c r="Z17" s="156">
        <f t="shared" si="8"/>
        <v>397246.04090487625</v>
      </c>
      <c r="AA17" s="156">
        <f t="shared" si="8"/>
        <v>397246.04090487625</v>
      </c>
      <c r="AB17" s="156">
        <f t="shared" si="8"/>
        <v>397246.04090487625</v>
      </c>
      <c r="AC17" s="156">
        <f t="shared" si="8"/>
        <v>397246.04090487625</v>
      </c>
      <c r="AD17" s="156">
        <f t="shared" si="8"/>
        <v>397246.04090487625</v>
      </c>
      <c r="AE17" s="156">
        <f t="shared" si="8"/>
        <v>397246.04090487625</v>
      </c>
      <c r="AF17" s="156">
        <f t="shared" si="8"/>
        <v>397246.04090487625</v>
      </c>
      <c r="AG17" s="156">
        <f t="shared" si="8"/>
        <v>397246.04090487625</v>
      </c>
      <c r="AH17" s="156">
        <f t="shared" si="8"/>
        <v>397246.04090487625</v>
      </c>
      <c r="AI17" s="156">
        <f t="shared" si="8"/>
        <v>397246.04090487625</v>
      </c>
      <c r="AJ17" s="156">
        <f t="shared" si="8"/>
        <v>397246.04090487625</v>
      </c>
      <c r="AK17" s="156">
        <f t="shared" si="8"/>
        <v>397246.04090487625</v>
      </c>
      <c r="AL17" s="156">
        <f t="shared" si="8"/>
        <v>397246.04090487625</v>
      </c>
      <c r="AM17" s="156">
        <f t="shared" si="8"/>
        <v>397246.04090487625</v>
      </c>
      <c r="AN17" s="545">
        <f t="shared" si="0"/>
        <v>13109119.349860908</v>
      </c>
    </row>
    <row r="18" spans="3:40">
      <c r="C18" s="143" t="s">
        <v>956</v>
      </c>
      <c r="D18" s="156">
        <v>0</v>
      </c>
      <c r="E18" s="156">
        <v>0</v>
      </c>
      <c r="F18" s="156">
        <v>0</v>
      </c>
      <c r="G18" s="156">
        <f>'Aux. OPEX'!$D$22</f>
        <v>382797.72996413306</v>
      </c>
      <c r="H18" s="156">
        <f>'Aux. OPEX'!$D$22</f>
        <v>382797.72996413306</v>
      </c>
      <c r="I18" s="156">
        <f>'Aux. OPEX'!$D$22</f>
        <v>382797.72996413306</v>
      </c>
      <c r="J18" s="156">
        <f>'Aux. OPEX'!$D$22</f>
        <v>382797.72996413306</v>
      </c>
      <c r="K18" s="156">
        <f>'Aux. OPEX'!$D$22</f>
        <v>382797.72996413306</v>
      </c>
      <c r="L18" s="156">
        <f>'Aux. OPEX'!$D$22</f>
        <v>382797.72996413306</v>
      </c>
      <c r="M18" s="156">
        <f>'Aux. OPEX'!$D$22</f>
        <v>382797.72996413306</v>
      </c>
      <c r="N18" s="156">
        <f>'Aux. OPEX'!$D$22</f>
        <v>382797.72996413306</v>
      </c>
      <c r="O18" s="156">
        <f>'Aux. OPEX'!$D$22</f>
        <v>382797.72996413306</v>
      </c>
      <c r="P18" s="156">
        <f>'Aux. OPEX'!$D$22</f>
        <v>382797.72996413306</v>
      </c>
      <c r="Q18" s="156">
        <f>'Aux. OPEX'!$D$22</f>
        <v>382797.72996413306</v>
      </c>
      <c r="R18" s="156">
        <f>'Aux. OPEX'!$D$22</f>
        <v>382797.72996413306</v>
      </c>
      <c r="S18" s="156">
        <f>'Aux. OPEX'!$D$22</f>
        <v>382797.72996413306</v>
      </c>
      <c r="T18" s="156">
        <f>'Aux. OPEX'!$D$22</f>
        <v>382797.72996413306</v>
      </c>
      <c r="U18" s="156">
        <f>'Aux. OPEX'!$D$22</f>
        <v>382797.72996413306</v>
      </c>
      <c r="V18" s="156">
        <f>'Aux. OPEX'!$D$22</f>
        <v>382797.72996413306</v>
      </c>
      <c r="W18" s="156">
        <f>'Aux. OPEX'!$D$22</f>
        <v>382797.72996413306</v>
      </c>
      <c r="X18" s="156">
        <f>'Aux. OPEX'!$D$22</f>
        <v>382797.72996413306</v>
      </c>
      <c r="Y18" s="156">
        <f>'Aux. OPEX'!$D$22</f>
        <v>382797.72996413306</v>
      </c>
      <c r="Z18" s="156">
        <f>'Aux. OPEX'!$D$22</f>
        <v>382797.72996413306</v>
      </c>
      <c r="AA18" s="156">
        <f>'Aux. OPEX'!$D$22</f>
        <v>382797.72996413306</v>
      </c>
      <c r="AB18" s="156">
        <f>'Aux. OPEX'!$D$22</f>
        <v>382797.72996413306</v>
      </c>
      <c r="AC18" s="156">
        <f>'Aux. OPEX'!$D$22</f>
        <v>382797.72996413306</v>
      </c>
      <c r="AD18" s="156">
        <f>'Aux. OPEX'!$D$22</f>
        <v>382797.72996413306</v>
      </c>
      <c r="AE18" s="156">
        <f>'Aux. OPEX'!$D$22</f>
        <v>382797.72996413306</v>
      </c>
      <c r="AF18" s="156">
        <f>'Aux. OPEX'!$D$22</f>
        <v>382797.72996413306</v>
      </c>
      <c r="AG18" s="156">
        <f>'Aux. OPEX'!$D$22</f>
        <v>382797.72996413306</v>
      </c>
      <c r="AH18" s="156">
        <f>'Aux. OPEX'!$D$22</f>
        <v>382797.72996413306</v>
      </c>
      <c r="AI18" s="156">
        <f>'Aux. OPEX'!$D$22</f>
        <v>382797.72996413306</v>
      </c>
      <c r="AJ18" s="156">
        <f>'Aux. OPEX'!$D$22</f>
        <v>382797.72996413306</v>
      </c>
      <c r="AK18" s="156">
        <f>'Aux. OPEX'!$D$22</f>
        <v>382797.72996413306</v>
      </c>
      <c r="AL18" s="156">
        <f>'Aux. OPEX'!$D$22</f>
        <v>382797.72996413306</v>
      </c>
      <c r="AM18" s="156">
        <f>'Aux. OPEX'!$D$22</f>
        <v>382797.72996413306</v>
      </c>
      <c r="AN18" s="545">
        <f t="shared" si="0"/>
        <v>12632325.088816397</v>
      </c>
    </row>
    <row r="19" spans="3:40">
      <c r="C19" s="143" t="s">
        <v>957</v>
      </c>
      <c r="D19" s="156">
        <v>0</v>
      </c>
      <c r="E19" s="156">
        <v>0</v>
      </c>
      <c r="F19" s="156">
        <v>0</v>
      </c>
      <c r="G19" s="156">
        <f>'Aux. OPEX'!D21</f>
        <v>37015.7425296</v>
      </c>
      <c r="H19" s="156">
        <f t="shared" si="2"/>
        <v>37015.7425296</v>
      </c>
      <c r="I19" s="156">
        <f>$H$19</f>
        <v>37015.7425296</v>
      </c>
      <c r="J19" s="156">
        <f t="shared" ref="J19:AM19" si="9">$H$19</f>
        <v>37015.7425296</v>
      </c>
      <c r="K19" s="156">
        <f t="shared" si="9"/>
        <v>37015.7425296</v>
      </c>
      <c r="L19" s="156">
        <f t="shared" si="9"/>
        <v>37015.7425296</v>
      </c>
      <c r="M19" s="156">
        <f t="shared" si="9"/>
        <v>37015.7425296</v>
      </c>
      <c r="N19" s="156">
        <f t="shared" si="9"/>
        <v>37015.7425296</v>
      </c>
      <c r="O19" s="156">
        <f t="shared" si="9"/>
        <v>37015.7425296</v>
      </c>
      <c r="P19" s="156">
        <f t="shared" si="9"/>
        <v>37015.7425296</v>
      </c>
      <c r="Q19" s="156">
        <f t="shared" si="9"/>
        <v>37015.7425296</v>
      </c>
      <c r="R19" s="156">
        <f t="shared" si="9"/>
        <v>37015.7425296</v>
      </c>
      <c r="S19" s="156">
        <f t="shared" si="9"/>
        <v>37015.7425296</v>
      </c>
      <c r="T19" s="156">
        <f t="shared" si="9"/>
        <v>37015.7425296</v>
      </c>
      <c r="U19" s="156">
        <f t="shared" si="9"/>
        <v>37015.7425296</v>
      </c>
      <c r="V19" s="156">
        <f t="shared" si="9"/>
        <v>37015.7425296</v>
      </c>
      <c r="W19" s="156">
        <f t="shared" si="9"/>
        <v>37015.7425296</v>
      </c>
      <c r="X19" s="156">
        <f t="shared" si="9"/>
        <v>37015.7425296</v>
      </c>
      <c r="Y19" s="156">
        <f t="shared" si="9"/>
        <v>37015.7425296</v>
      </c>
      <c r="Z19" s="156">
        <f t="shared" si="9"/>
        <v>37015.7425296</v>
      </c>
      <c r="AA19" s="156">
        <f t="shared" si="9"/>
        <v>37015.7425296</v>
      </c>
      <c r="AB19" s="156">
        <f t="shared" si="9"/>
        <v>37015.7425296</v>
      </c>
      <c r="AC19" s="156">
        <f t="shared" si="9"/>
        <v>37015.7425296</v>
      </c>
      <c r="AD19" s="156">
        <f t="shared" si="9"/>
        <v>37015.7425296</v>
      </c>
      <c r="AE19" s="156">
        <f t="shared" si="9"/>
        <v>37015.7425296</v>
      </c>
      <c r="AF19" s="156">
        <f t="shared" si="9"/>
        <v>37015.7425296</v>
      </c>
      <c r="AG19" s="156">
        <f t="shared" si="9"/>
        <v>37015.7425296</v>
      </c>
      <c r="AH19" s="156">
        <f t="shared" si="9"/>
        <v>37015.7425296</v>
      </c>
      <c r="AI19" s="156">
        <f t="shared" si="9"/>
        <v>37015.7425296</v>
      </c>
      <c r="AJ19" s="156">
        <f t="shared" si="9"/>
        <v>37015.7425296</v>
      </c>
      <c r="AK19" s="156">
        <f t="shared" si="9"/>
        <v>37015.7425296</v>
      </c>
      <c r="AL19" s="156">
        <f t="shared" si="9"/>
        <v>37015.7425296</v>
      </c>
      <c r="AM19" s="156">
        <f t="shared" si="9"/>
        <v>37015.7425296</v>
      </c>
      <c r="AN19" s="545">
        <f t="shared" si="0"/>
        <v>1221519.5034768002</v>
      </c>
    </row>
    <row r="20" spans="3:40">
      <c r="C20" s="143" t="s">
        <v>958</v>
      </c>
      <c r="D20" s="156">
        <v>0</v>
      </c>
      <c r="E20" s="156">
        <v>0</v>
      </c>
      <c r="F20" s="156">
        <v>0</v>
      </c>
      <c r="G20" s="156">
        <f>'Aux. OPEX'!D23</f>
        <v>103128.21204641965</v>
      </c>
      <c r="H20" s="156">
        <f t="shared" si="2"/>
        <v>103128.21204641965</v>
      </c>
      <c r="I20" s="156">
        <f>$H$20</f>
        <v>103128.21204641965</v>
      </c>
      <c r="J20" s="156">
        <f t="shared" ref="J20:AM20" si="10">$H$20</f>
        <v>103128.21204641965</v>
      </c>
      <c r="K20" s="156">
        <f t="shared" si="10"/>
        <v>103128.21204641965</v>
      </c>
      <c r="L20" s="156">
        <f t="shared" si="10"/>
        <v>103128.21204641965</v>
      </c>
      <c r="M20" s="156">
        <f t="shared" si="10"/>
        <v>103128.21204641965</v>
      </c>
      <c r="N20" s="156">
        <f t="shared" si="10"/>
        <v>103128.21204641965</v>
      </c>
      <c r="O20" s="156">
        <f t="shared" si="10"/>
        <v>103128.21204641965</v>
      </c>
      <c r="P20" s="156">
        <f t="shared" si="10"/>
        <v>103128.21204641965</v>
      </c>
      <c r="Q20" s="156">
        <f t="shared" si="10"/>
        <v>103128.21204641965</v>
      </c>
      <c r="R20" s="156">
        <f t="shared" si="10"/>
        <v>103128.21204641965</v>
      </c>
      <c r="S20" s="156">
        <f t="shared" si="10"/>
        <v>103128.21204641965</v>
      </c>
      <c r="T20" s="156">
        <f t="shared" si="10"/>
        <v>103128.21204641965</v>
      </c>
      <c r="U20" s="156">
        <f t="shared" si="10"/>
        <v>103128.21204641965</v>
      </c>
      <c r="V20" s="156">
        <f t="shared" si="10"/>
        <v>103128.21204641965</v>
      </c>
      <c r="W20" s="156">
        <f t="shared" si="10"/>
        <v>103128.21204641965</v>
      </c>
      <c r="X20" s="156">
        <f t="shared" si="10"/>
        <v>103128.21204641965</v>
      </c>
      <c r="Y20" s="156">
        <f t="shared" si="10"/>
        <v>103128.21204641965</v>
      </c>
      <c r="Z20" s="156">
        <f t="shared" si="10"/>
        <v>103128.21204641965</v>
      </c>
      <c r="AA20" s="156">
        <f t="shared" si="10"/>
        <v>103128.21204641965</v>
      </c>
      <c r="AB20" s="156">
        <f t="shared" si="10"/>
        <v>103128.21204641965</v>
      </c>
      <c r="AC20" s="156">
        <f t="shared" si="10"/>
        <v>103128.21204641965</v>
      </c>
      <c r="AD20" s="156">
        <f t="shared" si="10"/>
        <v>103128.21204641965</v>
      </c>
      <c r="AE20" s="156">
        <f t="shared" si="10"/>
        <v>103128.21204641965</v>
      </c>
      <c r="AF20" s="156">
        <f t="shared" si="10"/>
        <v>103128.21204641965</v>
      </c>
      <c r="AG20" s="156">
        <f t="shared" si="10"/>
        <v>103128.21204641965</v>
      </c>
      <c r="AH20" s="156">
        <f t="shared" si="10"/>
        <v>103128.21204641965</v>
      </c>
      <c r="AI20" s="156">
        <f t="shared" si="10"/>
        <v>103128.21204641965</v>
      </c>
      <c r="AJ20" s="156">
        <f t="shared" si="10"/>
        <v>103128.21204641965</v>
      </c>
      <c r="AK20" s="156">
        <f t="shared" si="10"/>
        <v>103128.21204641965</v>
      </c>
      <c r="AL20" s="156">
        <f t="shared" si="10"/>
        <v>103128.21204641965</v>
      </c>
      <c r="AM20" s="156">
        <f t="shared" si="10"/>
        <v>103128.21204641965</v>
      </c>
      <c r="AN20" s="545">
        <f t="shared" si="0"/>
        <v>3403230.9975318499</v>
      </c>
    </row>
    <row r="21" spans="3:40">
      <c r="C21" s="143" t="s">
        <v>959</v>
      </c>
      <c r="D21" s="156">
        <v>0</v>
      </c>
      <c r="E21" s="156">
        <v>0</v>
      </c>
      <c r="F21" s="156">
        <v>0</v>
      </c>
      <c r="G21" s="156">
        <f>'Aux. OPEX'!D24</f>
        <v>95162.76879419772</v>
      </c>
      <c r="H21" s="156">
        <f t="shared" si="2"/>
        <v>95162.76879419772</v>
      </c>
      <c r="I21" s="156">
        <f>$H$21</f>
        <v>95162.76879419772</v>
      </c>
      <c r="J21" s="156">
        <f t="shared" ref="J21:AM21" si="11">$H$21</f>
        <v>95162.76879419772</v>
      </c>
      <c r="K21" s="156">
        <f t="shared" si="11"/>
        <v>95162.76879419772</v>
      </c>
      <c r="L21" s="156">
        <f t="shared" si="11"/>
        <v>95162.76879419772</v>
      </c>
      <c r="M21" s="156">
        <f t="shared" si="11"/>
        <v>95162.76879419772</v>
      </c>
      <c r="N21" s="156">
        <f t="shared" si="11"/>
        <v>95162.76879419772</v>
      </c>
      <c r="O21" s="156">
        <f t="shared" si="11"/>
        <v>95162.76879419772</v>
      </c>
      <c r="P21" s="156">
        <f t="shared" si="11"/>
        <v>95162.76879419772</v>
      </c>
      <c r="Q21" s="156">
        <f t="shared" si="11"/>
        <v>95162.76879419772</v>
      </c>
      <c r="R21" s="156">
        <f t="shared" si="11"/>
        <v>95162.76879419772</v>
      </c>
      <c r="S21" s="156">
        <f t="shared" si="11"/>
        <v>95162.76879419772</v>
      </c>
      <c r="T21" s="156">
        <f t="shared" si="11"/>
        <v>95162.76879419772</v>
      </c>
      <c r="U21" s="156">
        <f t="shared" si="11"/>
        <v>95162.76879419772</v>
      </c>
      <c r="V21" s="156">
        <f t="shared" si="11"/>
        <v>95162.76879419772</v>
      </c>
      <c r="W21" s="156">
        <f t="shared" si="11"/>
        <v>95162.76879419772</v>
      </c>
      <c r="X21" s="156">
        <f t="shared" si="11"/>
        <v>95162.76879419772</v>
      </c>
      <c r="Y21" s="156">
        <f t="shared" si="11"/>
        <v>95162.76879419772</v>
      </c>
      <c r="Z21" s="156">
        <f t="shared" si="11"/>
        <v>95162.76879419772</v>
      </c>
      <c r="AA21" s="156">
        <f t="shared" si="11"/>
        <v>95162.76879419772</v>
      </c>
      <c r="AB21" s="156">
        <f t="shared" si="11"/>
        <v>95162.76879419772</v>
      </c>
      <c r="AC21" s="156">
        <f t="shared" si="11"/>
        <v>95162.76879419772</v>
      </c>
      <c r="AD21" s="156">
        <f t="shared" si="11"/>
        <v>95162.76879419772</v>
      </c>
      <c r="AE21" s="156">
        <f t="shared" si="11"/>
        <v>95162.76879419772</v>
      </c>
      <c r="AF21" s="156">
        <f t="shared" si="11"/>
        <v>95162.76879419772</v>
      </c>
      <c r="AG21" s="156">
        <f t="shared" si="11"/>
        <v>95162.76879419772</v>
      </c>
      <c r="AH21" s="156">
        <f t="shared" si="11"/>
        <v>95162.76879419772</v>
      </c>
      <c r="AI21" s="156">
        <f t="shared" si="11"/>
        <v>95162.76879419772</v>
      </c>
      <c r="AJ21" s="156">
        <f t="shared" si="11"/>
        <v>95162.76879419772</v>
      </c>
      <c r="AK21" s="156">
        <f t="shared" si="11"/>
        <v>95162.76879419772</v>
      </c>
      <c r="AL21" s="156">
        <f t="shared" si="11"/>
        <v>95162.76879419772</v>
      </c>
      <c r="AM21" s="156">
        <f t="shared" si="11"/>
        <v>95162.76879419772</v>
      </c>
      <c r="AN21" s="545">
        <f t="shared" si="0"/>
        <v>3140371.3702085246</v>
      </c>
    </row>
    <row r="22" spans="3:40">
      <c r="C22" s="143" t="s">
        <v>960</v>
      </c>
      <c r="D22" s="156">
        <v>0</v>
      </c>
      <c r="E22" s="156">
        <v>0</v>
      </c>
      <c r="F22" s="156">
        <v>0</v>
      </c>
      <c r="G22" s="156">
        <f>'Aux. OPEX'!D25</f>
        <v>182828.55000467083</v>
      </c>
      <c r="H22" s="156">
        <f>$G$22</f>
        <v>182828.55000467083</v>
      </c>
      <c r="I22" s="156">
        <f t="shared" ref="I22:AM22" si="12">$G$22</f>
        <v>182828.55000467083</v>
      </c>
      <c r="J22" s="156">
        <f t="shared" si="12"/>
        <v>182828.55000467083</v>
      </c>
      <c r="K22" s="156">
        <f t="shared" si="12"/>
        <v>182828.55000467083</v>
      </c>
      <c r="L22" s="156">
        <f t="shared" si="12"/>
        <v>182828.55000467083</v>
      </c>
      <c r="M22" s="156">
        <f t="shared" si="12"/>
        <v>182828.55000467083</v>
      </c>
      <c r="N22" s="156">
        <f t="shared" si="12"/>
        <v>182828.55000467083</v>
      </c>
      <c r="O22" s="156">
        <f t="shared" si="12"/>
        <v>182828.55000467083</v>
      </c>
      <c r="P22" s="156">
        <f t="shared" si="12"/>
        <v>182828.55000467083</v>
      </c>
      <c r="Q22" s="156">
        <f t="shared" si="12"/>
        <v>182828.55000467083</v>
      </c>
      <c r="R22" s="156">
        <f t="shared" si="12"/>
        <v>182828.55000467083</v>
      </c>
      <c r="S22" s="156">
        <f t="shared" si="12"/>
        <v>182828.55000467083</v>
      </c>
      <c r="T22" s="156">
        <f t="shared" si="12"/>
        <v>182828.55000467083</v>
      </c>
      <c r="U22" s="156">
        <f t="shared" si="12"/>
        <v>182828.55000467083</v>
      </c>
      <c r="V22" s="156">
        <f t="shared" si="12"/>
        <v>182828.55000467083</v>
      </c>
      <c r="W22" s="156">
        <f t="shared" si="12"/>
        <v>182828.55000467083</v>
      </c>
      <c r="X22" s="156">
        <f t="shared" si="12"/>
        <v>182828.55000467083</v>
      </c>
      <c r="Y22" s="156">
        <f t="shared" si="12"/>
        <v>182828.55000467083</v>
      </c>
      <c r="Z22" s="156">
        <f t="shared" si="12"/>
        <v>182828.55000467083</v>
      </c>
      <c r="AA22" s="156">
        <f t="shared" si="12"/>
        <v>182828.55000467083</v>
      </c>
      <c r="AB22" s="156">
        <f t="shared" si="12"/>
        <v>182828.55000467083</v>
      </c>
      <c r="AC22" s="156">
        <f t="shared" si="12"/>
        <v>182828.55000467083</v>
      </c>
      <c r="AD22" s="156">
        <f t="shared" si="12"/>
        <v>182828.55000467083</v>
      </c>
      <c r="AE22" s="156">
        <f t="shared" si="12"/>
        <v>182828.55000467083</v>
      </c>
      <c r="AF22" s="156">
        <f t="shared" si="12"/>
        <v>182828.55000467083</v>
      </c>
      <c r="AG22" s="156">
        <f t="shared" si="12"/>
        <v>182828.55000467083</v>
      </c>
      <c r="AH22" s="156">
        <f t="shared" si="12"/>
        <v>182828.55000467083</v>
      </c>
      <c r="AI22" s="156">
        <f t="shared" si="12"/>
        <v>182828.55000467083</v>
      </c>
      <c r="AJ22" s="156">
        <f t="shared" si="12"/>
        <v>182828.55000467083</v>
      </c>
      <c r="AK22" s="156">
        <f t="shared" si="12"/>
        <v>182828.55000467083</v>
      </c>
      <c r="AL22" s="156">
        <f t="shared" si="12"/>
        <v>182828.55000467083</v>
      </c>
      <c r="AM22" s="156">
        <f t="shared" si="12"/>
        <v>182828.55000467083</v>
      </c>
      <c r="AN22" s="545">
        <f t="shared" si="0"/>
        <v>6033342.1501541333</v>
      </c>
    </row>
    <row r="23" spans="3:40">
      <c r="C23" s="143" t="s">
        <v>961</v>
      </c>
      <c r="D23" s="156">
        <v>0</v>
      </c>
      <c r="E23" s="156">
        <v>0</v>
      </c>
      <c r="F23" s="156">
        <v>0</v>
      </c>
      <c r="G23" s="156">
        <f>IF('INPUTS&amp;OUTPUTS'!K22="Sim",'CAPEX - Aquisições'!$C$30*12,0)</f>
        <v>3450</v>
      </c>
      <c r="H23" s="156">
        <f>$G$23</f>
        <v>3450</v>
      </c>
      <c r="I23" s="156">
        <f t="shared" ref="I23:AM23" si="13">$G$23</f>
        <v>3450</v>
      </c>
      <c r="J23" s="156">
        <f t="shared" si="13"/>
        <v>3450</v>
      </c>
      <c r="K23" s="156">
        <f t="shared" si="13"/>
        <v>3450</v>
      </c>
      <c r="L23" s="156">
        <f t="shared" si="13"/>
        <v>3450</v>
      </c>
      <c r="M23" s="156">
        <f t="shared" si="13"/>
        <v>3450</v>
      </c>
      <c r="N23" s="156">
        <f t="shared" si="13"/>
        <v>3450</v>
      </c>
      <c r="O23" s="156">
        <f t="shared" si="13"/>
        <v>3450</v>
      </c>
      <c r="P23" s="156">
        <f t="shared" si="13"/>
        <v>3450</v>
      </c>
      <c r="Q23" s="156">
        <f t="shared" si="13"/>
        <v>3450</v>
      </c>
      <c r="R23" s="156">
        <f t="shared" si="13"/>
        <v>3450</v>
      </c>
      <c r="S23" s="156">
        <f t="shared" si="13"/>
        <v>3450</v>
      </c>
      <c r="T23" s="156">
        <f t="shared" si="13"/>
        <v>3450</v>
      </c>
      <c r="U23" s="156">
        <f t="shared" si="13"/>
        <v>3450</v>
      </c>
      <c r="V23" s="156">
        <f t="shared" si="13"/>
        <v>3450</v>
      </c>
      <c r="W23" s="156">
        <f t="shared" si="13"/>
        <v>3450</v>
      </c>
      <c r="X23" s="156">
        <f t="shared" si="13"/>
        <v>3450</v>
      </c>
      <c r="Y23" s="156">
        <f t="shared" si="13"/>
        <v>3450</v>
      </c>
      <c r="Z23" s="156">
        <f t="shared" si="13"/>
        <v>3450</v>
      </c>
      <c r="AA23" s="156">
        <f t="shared" si="13"/>
        <v>3450</v>
      </c>
      <c r="AB23" s="156">
        <f t="shared" si="13"/>
        <v>3450</v>
      </c>
      <c r="AC23" s="156">
        <f t="shared" si="13"/>
        <v>3450</v>
      </c>
      <c r="AD23" s="156">
        <f t="shared" si="13"/>
        <v>3450</v>
      </c>
      <c r="AE23" s="156">
        <f t="shared" si="13"/>
        <v>3450</v>
      </c>
      <c r="AF23" s="156">
        <f t="shared" si="13"/>
        <v>3450</v>
      </c>
      <c r="AG23" s="156">
        <f t="shared" si="13"/>
        <v>3450</v>
      </c>
      <c r="AH23" s="156">
        <f t="shared" si="13"/>
        <v>3450</v>
      </c>
      <c r="AI23" s="156">
        <f t="shared" si="13"/>
        <v>3450</v>
      </c>
      <c r="AJ23" s="156">
        <f t="shared" si="13"/>
        <v>3450</v>
      </c>
      <c r="AK23" s="156">
        <f t="shared" si="13"/>
        <v>3450</v>
      </c>
      <c r="AL23" s="156">
        <f t="shared" si="13"/>
        <v>3450</v>
      </c>
      <c r="AM23" s="156">
        <f t="shared" si="13"/>
        <v>3450</v>
      </c>
      <c r="AN23" s="545">
        <f t="shared" si="0"/>
        <v>113850</v>
      </c>
    </row>
    <row r="24" spans="3:40">
      <c r="C24" s="143" t="s">
        <v>962</v>
      </c>
      <c r="D24" s="156">
        <v>0</v>
      </c>
      <c r="E24" s="156">
        <v>0</v>
      </c>
      <c r="F24" s="156">
        <v>0</v>
      </c>
      <c r="G24" s="156">
        <f>IF('INPUTS&amp;OUTPUTS'!K23="Sim",'CAPEX - Aquisições'!$C$37,0)</f>
        <v>800</v>
      </c>
      <c r="H24" s="156">
        <f>$G$24</f>
        <v>800</v>
      </c>
      <c r="I24" s="156">
        <f t="shared" ref="I24:AM24" si="14">$G$24</f>
        <v>800</v>
      </c>
      <c r="J24" s="156">
        <f t="shared" si="14"/>
        <v>800</v>
      </c>
      <c r="K24" s="156">
        <f t="shared" si="14"/>
        <v>800</v>
      </c>
      <c r="L24" s="156">
        <f t="shared" si="14"/>
        <v>800</v>
      </c>
      <c r="M24" s="156">
        <f t="shared" si="14"/>
        <v>800</v>
      </c>
      <c r="N24" s="156">
        <f t="shared" si="14"/>
        <v>800</v>
      </c>
      <c r="O24" s="156">
        <f t="shared" si="14"/>
        <v>800</v>
      </c>
      <c r="P24" s="156">
        <f t="shared" si="14"/>
        <v>800</v>
      </c>
      <c r="Q24" s="156">
        <f t="shared" si="14"/>
        <v>800</v>
      </c>
      <c r="R24" s="156">
        <f t="shared" si="14"/>
        <v>800</v>
      </c>
      <c r="S24" s="156">
        <f t="shared" si="14"/>
        <v>800</v>
      </c>
      <c r="T24" s="156">
        <f t="shared" si="14"/>
        <v>800</v>
      </c>
      <c r="U24" s="156">
        <f t="shared" si="14"/>
        <v>800</v>
      </c>
      <c r="V24" s="156">
        <f t="shared" si="14"/>
        <v>800</v>
      </c>
      <c r="W24" s="156">
        <f t="shared" si="14"/>
        <v>800</v>
      </c>
      <c r="X24" s="156">
        <f t="shared" si="14"/>
        <v>800</v>
      </c>
      <c r="Y24" s="156">
        <f t="shared" si="14"/>
        <v>800</v>
      </c>
      <c r="Z24" s="156">
        <f t="shared" si="14"/>
        <v>800</v>
      </c>
      <c r="AA24" s="156">
        <f t="shared" si="14"/>
        <v>800</v>
      </c>
      <c r="AB24" s="156">
        <f t="shared" si="14"/>
        <v>800</v>
      </c>
      <c r="AC24" s="156">
        <f t="shared" si="14"/>
        <v>800</v>
      </c>
      <c r="AD24" s="156">
        <f t="shared" si="14"/>
        <v>800</v>
      </c>
      <c r="AE24" s="156">
        <f t="shared" si="14"/>
        <v>800</v>
      </c>
      <c r="AF24" s="156">
        <f t="shared" si="14"/>
        <v>800</v>
      </c>
      <c r="AG24" s="156">
        <f t="shared" si="14"/>
        <v>800</v>
      </c>
      <c r="AH24" s="156">
        <f t="shared" si="14"/>
        <v>800</v>
      </c>
      <c r="AI24" s="156">
        <f t="shared" si="14"/>
        <v>800</v>
      </c>
      <c r="AJ24" s="156">
        <f t="shared" si="14"/>
        <v>800</v>
      </c>
      <c r="AK24" s="156">
        <f t="shared" si="14"/>
        <v>800</v>
      </c>
      <c r="AL24" s="156">
        <f t="shared" si="14"/>
        <v>800</v>
      </c>
      <c r="AM24" s="156">
        <f t="shared" si="14"/>
        <v>800</v>
      </c>
      <c r="AN24" s="545">
        <f t="shared" si="0"/>
        <v>26400</v>
      </c>
    </row>
    <row r="25" spans="3:40">
      <c r="C25" s="143" t="s">
        <v>639</v>
      </c>
      <c r="D25" s="156">
        <f>'Aux. OPEX'!D96</f>
        <v>0</v>
      </c>
      <c r="E25" s="156">
        <f>'Aux. OPEX'!E96</f>
        <v>0</v>
      </c>
      <c r="F25" s="156">
        <f>'Aux. OPEX'!F96</f>
        <v>0</v>
      </c>
      <c r="G25" s="156">
        <f>'Aux. OPEX'!G96</f>
        <v>138786.3651357902</v>
      </c>
      <c r="H25" s="156">
        <f>'Aux. OPEX'!H96</f>
        <v>134494.38513579019</v>
      </c>
      <c r="I25" s="156">
        <f>'Aux. OPEX'!I96</f>
        <v>134494.38513579019</v>
      </c>
      <c r="J25" s="156">
        <f>'Aux. OPEX'!J96</f>
        <v>134494.38513579019</v>
      </c>
      <c r="K25" s="156">
        <f>'Aux. OPEX'!K96</f>
        <v>134494.38513579019</v>
      </c>
      <c r="L25" s="156">
        <f>'Aux. OPEX'!L96</f>
        <v>134494.38513579019</v>
      </c>
      <c r="M25" s="156">
        <f>'Aux. OPEX'!M96</f>
        <v>134494.38513579019</v>
      </c>
      <c r="N25" s="156">
        <f>'Aux. OPEX'!N96</f>
        <v>134494.38513579019</v>
      </c>
      <c r="O25" s="156">
        <f>'Aux. OPEX'!O96</f>
        <v>134494.38513579019</v>
      </c>
      <c r="P25" s="156">
        <f>'Aux. OPEX'!P96</f>
        <v>134494.38513579019</v>
      </c>
      <c r="Q25" s="156">
        <f>'Aux. OPEX'!Q96</f>
        <v>138786.3651357902</v>
      </c>
      <c r="R25" s="156">
        <f>'Aux. OPEX'!R96</f>
        <v>134494.38513579019</v>
      </c>
      <c r="S25" s="156">
        <f>'Aux. OPEX'!S96</f>
        <v>134494.38513579019</v>
      </c>
      <c r="T25" s="156">
        <f>'Aux. OPEX'!T96</f>
        <v>134494.38513579019</v>
      </c>
      <c r="U25" s="156">
        <f>'Aux. OPEX'!U96</f>
        <v>134494.38513579019</v>
      </c>
      <c r="V25" s="156">
        <f>'Aux. OPEX'!V96</f>
        <v>134494.38513579019</v>
      </c>
      <c r="W25" s="156">
        <f>'Aux. OPEX'!W96</f>
        <v>134494.38513579019</v>
      </c>
      <c r="X25" s="156">
        <f>'Aux. OPEX'!X96</f>
        <v>134494.38513579019</v>
      </c>
      <c r="Y25" s="156">
        <f>'Aux. OPEX'!Y96</f>
        <v>134494.38513579019</v>
      </c>
      <c r="Z25" s="156">
        <f>'Aux. OPEX'!Z96</f>
        <v>134494.38513579019</v>
      </c>
      <c r="AA25" s="156">
        <f>'Aux. OPEX'!AA96</f>
        <v>138786.3651357902</v>
      </c>
      <c r="AB25" s="156">
        <f>'Aux. OPEX'!AB96</f>
        <v>134494.38513579019</v>
      </c>
      <c r="AC25" s="156">
        <f>'Aux. OPEX'!AC96</f>
        <v>134494.38513579019</v>
      </c>
      <c r="AD25" s="156">
        <f>'Aux. OPEX'!AD96</f>
        <v>134494.38513579019</v>
      </c>
      <c r="AE25" s="156">
        <f>'Aux. OPEX'!AE96</f>
        <v>134494.38513579019</v>
      </c>
      <c r="AF25" s="156">
        <f>'Aux. OPEX'!AF96</f>
        <v>134494.38513579019</v>
      </c>
      <c r="AG25" s="156">
        <f>'Aux. OPEX'!AG96</f>
        <v>134494.38513579019</v>
      </c>
      <c r="AH25" s="156">
        <f>'Aux. OPEX'!AH96</f>
        <v>134494.38513579019</v>
      </c>
      <c r="AI25" s="156">
        <f>'Aux. OPEX'!AI96</f>
        <v>134494.38513579019</v>
      </c>
      <c r="AJ25" s="156">
        <f>'Aux. OPEX'!AJ96</f>
        <v>134494.38513579019</v>
      </c>
      <c r="AK25" s="156">
        <f>'Aux. OPEX'!AK96</f>
        <v>138786.3651357902</v>
      </c>
      <c r="AL25" s="156">
        <f>'Aux. OPEX'!AL96</f>
        <v>134494.38513579019</v>
      </c>
      <c r="AM25" s="156">
        <f>'Aux. OPEX'!AM96</f>
        <v>134494.38513579019</v>
      </c>
      <c r="AN25" s="545">
        <f t="shared" si="0"/>
        <v>4455482.6294810781</v>
      </c>
    </row>
    <row r="26" spans="3:40">
      <c r="C26" s="143" t="s">
        <v>44</v>
      </c>
      <c r="D26" s="156">
        <f>IF('INPUTS&amp;OUTPUTS'!$G$26=1,'INPUTS&amp;OUTPUTS'!$G$27,0)</f>
        <v>0</v>
      </c>
      <c r="E26" s="156">
        <f>IF('INPUTS&amp;OUTPUTS'!$G$26=1,'INPUTS&amp;OUTPUTS'!$G$27,0)</f>
        <v>0</v>
      </c>
      <c r="F26" s="156">
        <f>IF('INPUTS&amp;OUTPUTS'!$G$26=1,'INPUTS&amp;OUTPUTS'!$G$27,0)</f>
        <v>0</v>
      </c>
      <c r="G26" s="156">
        <f>IF('INPUTS&amp;OUTPUTS'!$G$26=1,'INPUTS&amp;OUTPUTS'!$G$27,0)</f>
        <v>0</v>
      </c>
      <c r="H26" s="156">
        <f>IF('INPUTS&amp;OUTPUTS'!$G$26=1,'INPUTS&amp;OUTPUTS'!$G$27,0)</f>
        <v>0</v>
      </c>
      <c r="I26" s="156">
        <f>IF('INPUTS&amp;OUTPUTS'!$G$26=1,'INPUTS&amp;OUTPUTS'!$G$27,0)</f>
        <v>0</v>
      </c>
      <c r="J26" s="156">
        <f>IF('INPUTS&amp;OUTPUTS'!$G$26=1,'INPUTS&amp;OUTPUTS'!$G$27,0)</f>
        <v>0</v>
      </c>
      <c r="K26" s="156">
        <f>IF('INPUTS&amp;OUTPUTS'!$G$26=1,'INPUTS&amp;OUTPUTS'!$G$27,0)</f>
        <v>0</v>
      </c>
      <c r="L26" s="156">
        <f>IF('INPUTS&amp;OUTPUTS'!$G$26=1,'INPUTS&amp;OUTPUTS'!$G$27,0)</f>
        <v>0</v>
      </c>
      <c r="M26" s="156">
        <f>IF('INPUTS&amp;OUTPUTS'!$G$26=1,'INPUTS&amp;OUTPUTS'!$G$27,0)</f>
        <v>0</v>
      </c>
      <c r="N26" s="156">
        <f>IF('INPUTS&amp;OUTPUTS'!$G$26=1,'INPUTS&amp;OUTPUTS'!$G$27,0)</f>
        <v>0</v>
      </c>
      <c r="O26" s="156">
        <f>IF('INPUTS&amp;OUTPUTS'!$G$26=1,'INPUTS&amp;OUTPUTS'!$G$27,0)</f>
        <v>0</v>
      </c>
      <c r="P26" s="156">
        <f>IF('INPUTS&amp;OUTPUTS'!$G$26=1,'INPUTS&amp;OUTPUTS'!$G$27,0)</f>
        <v>0</v>
      </c>
      <c r="Q26" s="156">
        <f>IF('INPUTS&amp;OUTPUTS'!$G$26=1,'INPUTS&amp;OUTPUTS'!$G$27,0)</f>
        <v>0</v>
      </c>
      <c r="R26" s="156">
        <f>IF('INPUTS&amp;OUTPUTS'!$G$26=1,'INPUTS&amp;OUTPUTS'!$G$27,0)</f>
        <v>0</v>
      </c>
      <c r="S26" s="156">
        <f>IF('INPUTS&amp;OUTPUTS'!$G$26=1,'INPUTS&amp;OUTPUTS'!$G$27,0)</f>
        <v>0</v>
      </c>
      <c r="T26" s="156">
        <f>IF('INPUTS&amp;OUTPUTS'!$G$26=1,'INPUTS&amp;OUTPUTS'!$G$27,0)</f>
        <v>0</v>
      </c>
      <c r="U26" s="156">
        <f>IF('INPUTS&amp;OUTPUTS'!$G$26=1,'INPUTS&amp;OUTPUTS'!$G$27,0)</f>
        <v>0</v>
      </c>
      <c r="V26" s="156">
        <f>IF('INPUTS&amp;OUTPUTS'!$G$26=1,'INPUTS&amp;OUTPUTS'!$G$27,0)</f>
        <v>0</v>
      </c>
      <c r="W26" s="156">
        <f>IF('INPUTS&amp;OUTPUTS'!$G$26=1,'INPUTS&amp;OUTPUTS'!$G$27,0)</f>
        <v>0</v>
      </c>
      <c r="X26" s="156">
        <f>IF('INPUTS&amp;OUTPUTS'!$G$26=1,'INPUTS&amp;OUTPUTS'!$G$27,0)</f>
        <v>0</v>
      </c>
      <c r="Y26" s="156">
        <f>IF('INPUTS&amp;OUTPUTS'!$G$26=1,'INPUTS&amp;OUTPUTS'!$G$27,0)</f>
        <v>0</v>
      </c>
      <c r="Z26" s="156">
        <f>IF('INPUTS&amp;OUTPUTS'!$G$26=1,'INPUTS&amp;OUTPUTS'!$G$27,0)</f>
        <v>0</v>
      </c>
      <c r="AA26" s="156">
        <f>IF('INPUTS&amp;OUTPUTS'!$G$26=1,'INPUTS&amp;OUTPUTS'!$G$27,0)</f>
        <v>0</v>
      </c>
      <c r="AB26" s="156">
        <f>IF('INPUTS&amp;OUTPUTS'!$G$26=1,'INPUTS&amp;OUTPUTS'!$G$27,0)</f>
        <v>0</v>
      </c>
      <c r="AC26" s="156">
        <f>IF('INPUTS&amp;OUTPUTS'!$G$26=1,'INPUTS&amp;OUTPUTS'!$G$27,0)</f>
        <v>0</v>
      </c>
      <c r="AD26" s="156">
        <f>IF('INPUTS&amp;OUTPUTS'!$G$26=1,'INPUTS&amp;OUTPUTS'!$G$27,0)</f>
        <v>0</v>
      </c>
      <c r="AE26" s="156">
        <f>IF('INPUTS&amp;OUTPUTS'!$G$26=1,'INPUTS&amp;OUTPUTS'!$G$27,0)</f>
        <v>0</v>
      </c>
      <c r="AF26" s="156">
        <f>IF('INPUTS&amp;OUTPUTS'!$G$26=1,'INPUTS&amp;OUTPUTS'!$G$27,0)</f>
        <v>0</v>
      </c>
      <c r="AG26" s="156">
        <f>IF('INPUTS&amp;OUTPUTS'!$G$26=1,'INPUTS&amp;OUTPUTS'!$G$27,0)</f>
        <v>0</v>
      </c>
      <c r="AH26" s="156">
        <f>IF('INPUTS&amp;OUTPUTS'!$G$26=1,'INPUTS&amp;OUTPUTS'!$G$27,0)</f>
        <v>0</v>
      </c>
      <c r="AI26" s="156">
        <f>IF('INPUTS&amp;OUTPUTS'!$G$26=1,'INPUTS&amp;OUTPUTS'!$G$27,0)</f>
        <v>0</v>
      </c>
      <c r="AJ26" s="156">
        <f>IF('INPUTS&amp;OUTPUTS'!$G$26=1,'INPUTS&amp;OUTPUTS'!$G$27,0)</f>
        <v>0</v>
      </c>
      <c r="AK26" s="156">
        <f>IF('INPUTS&amp;OUTPUTS'!$G$26=1,'INPUTS&amp;OUTPUTS'!$G$27,0)</f>
        <v>0</v>
      </c>
      <c r="AL26" s="156">
        <f>IF('INPUTS&amp;OUTPUTS'!$G$26=1,'INPUTS&amp;OUTPUTS'!$G$27,0)</f>
        <v>0</v>
      </c>
      <c r="AM26" s="156">
        <f>IF('INPUTS&amp;OUTPUTS'!$G$26=1,'INPUTS&amp;OUTPUTS'!$G$27,0)</f>
        <v>0</v>
      </c>
      <c r="AN26" s="545">
        <f t="shared" si="0"/>
        <v>0</v>
      </c>
    </row>
    <row r="27" spans="3:40">
      <c r="C27" s="143" t="s">
        <v>479</v>
      </c>
      <c r="D27" s="156">
        <f t="shared" ref="D27:AL27" si="15">SUM(D9:D26)</f>
        <v>0</v>
      </c>
      <c r="E27" s="681">
        <f t="shared" si="15"/>
        <v>0</v>
      </c>
      <c r="F27" s="681">
        <f t="shared" si="15"/>
        <v>0</v>
      </c>
      <c r="G27" s="681">
        <f t="shared" si="15"/>
        <v>4658269.3877989426</v>
      </c>
      <c r="H27" s="681">
        <f t="shared" si="15"/>
        <v>4653977.4077989431</v>
      </c>
      <c r="I27" s="681">
        <f t="shared" si="15"/>
        <v>4657156.3983652536</v>
      </c>
      <c r="J27" s="681">
        <f t="shared" si="15"/>
        <v>4653977.4077989431</v>
      </c>
      <c r="K27" s="681">
        <f t="shared" si="15"/>
        <v>4673664.6479394697</v>
      </c>
      <c r="L27" s="681">
        <f t="shared" si="15"/>
        <v>4657156.3983652536</v>
      </c>
      <c r="M27" s="681">
        <f t="shared" si="15"/>
        <v>4653977.4077989431</v>
      </c>
      <c r="N27" s="681">
        <f t="shared" si="15"/>
        <v>4653977.4077989431</v>
      </c>
      <c r="O27" s="681">
        <f t="shared" si="15"/>
        <v>4657156.3983652536</v>
      </c>
      <c r="P27" s="681">
        <f t="shared" si="15"/>
        <v>4673664.6479394697</v>
      </c>
      <c r="Q27" s="681">
        <f t="shared" si="15"/>
        <v>4658269.3877989426</v>
      </c>
      <c r="R27" s="681">
        <f t="shared" si="15"/>
        <v>4657156.3983652536</v>
      </c>
      <c r="S27" s="681">
        <f t="shared" si="15"/>
        <v>4653977.4077989431</v>
      </c>
      <c r="T27" s="681">
        <f t="shared" si="15"/>
        <v>4653977.4077989431</v>
      </c>
      <c r="U27" s="681">
        <f t="shared" si="15"/>
        <v>4689072.9260756047</v>
      </c>
      <c r="V27" s="681">
        <f t="shared" si="15"/>
        <v>4653977.4077989431</v>
      </c>
      <c r="W27" s="681">
        <f t="shared" si="15"/>
        <v>4653977.4077989431</v>
      </c>
      <c r="X27" s="681">
        <f t="shared" si="15"/>
        <v>4657156.3983652536</v>
      </c>
      <c r="Y27" s="681">
        <f t="shared" si="15"/>
        <v>4653977.4077989431</v>
      </c>
      <c r="Z27" s="681">
        <f t="shared" si="15"/>
        <v>4673664.6479394697</v>
      </c>
      <c r="AA27" s="681">
        <f t="shared" si="15"/>
        <v>4661448.3783652531</v>
      </c>
      <c r="AB27" s="681">
        <f t="shared" si="15"/>
        <v>4653977.4077989431</v>
      </c>
      <c r="AC27" s="681">
        <f t="shared" si="15"/>
        <v>4653977.4077989431</v>
      </c>
      <c r="AD27" s="681">
        <f t="shared" si="15"/>
        <v>4657156.3983652536</v>
      </c>
      <c r="AE27" s="681">
        <f t="shared" si="15"/>
        <v>4673664.6479394697</v>
      </c>
      <c r="AF27" s="681">
        <f t="shared" si="15"/>
        <v>4653977.4077989431</v>
      </c>
      <c r="AG27" s="681">
        <f t="shared" si="15"/>
        <v>4657156.3983652536</v>
      </c>
      <c r="AH27" s="681">
        <f t="shared" si="15"/>
        <v>4653977.4077989431</v>
      </c>
      <c r="AI27" s="681">
        <f t="shared" si="15"/>
        <v>4653977.4077989431</v>
      </c>
      <c r="AJ27" s="681">
        <f t="shared" si="15"/>
        <v>4689072.9260756047</v>
      </c>
      <c r="AK27" s="681">
        <f t="shared" si="15"/>
        <v>4658269.3877989426</v>
      </c>
      <c r="AL27" s="681">
        <f t="shared" si="15"/>
        <v>4653977.4077989431</v>
      </c>
      <c r="AM27" s="681">
        <f>SUM(AM9:AM26)</f>
        <v>4657156.3983652536</v>
      </c>
      <c r="AN27" s="545">
        <f>SUM(AN9:AN26)</f>
        <v>153775973.28957736</v>
      </c>
    </row>
    <row r="28" spans="3:40">
      <c r="G28" s="210"/>
    </row>
    <row r="30" spans="3:40" ht="14.45" thickBot="1">
      <c r="C30" s="819" t="s">
        <v>483</v>
      </c>
      <c r="D30" s="819"/>
    </row>
    <row r="31" spans="3:40" ht="15" thickTop="1" thickBot="1">
      <c r="C31" s="780" t="s">
        <v>963</v>
      </c>
      <c r="D31" s="142">
        <v>5.0000000000000001E-3</v>
      </c>
      <c r="E31" s="720" t="s">
        <v>964</v>
      </c>
    </row>
    <row r="32" spans="3:40" ht="15" thickTop="1" thickBot="1">
      <c r="C32" s="780" t="s">
        <v>965</v>
      </c>
      <c r="D32" s="543">
        <v>35</v>
      </c>
      <c r="F32" s="210"/>
    </row>
    <row r="33" spans="3:39">
      <c r="C33" s="780" t="s">
        <v>966</v>
      </c>
      <c r="D33" s="156">
        <f>SUM(AN9:AN25)</f>
        <v>153775973.28957736</v>
      </c>
      <c r="F33" s="210"/>
    </row>
    <row r="37" spans="3:39">
      <c r="C37" s="628" t="s">
        <v>967</v>
      </c>
      <c r="D37" s="780" t="s">
        <v>968</v>
      </c>
      <c r="E37" s="780" t="s">
        <v>969</v>
      </c>
    </row>
    <row r="38" spans="3:39">
      <c r="C38" s="780" t="s">
        <v>948</v>
      </c>
      <c r="D38" s="156">
        <f>AVERAGE(G10:AM10)</f>
        <v>1532997.7402087825</v>
      </c>
      <c r="E38" s="145">
        <f>D38/$D$55</f>
        <v>0.32897808639861587</v>
      </c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</row>
    <row r="39" spans="3:39">
      <c r="C39" s="780" t="str">
        <f>C9</f>
        <v>AGRESPI</v>
      </c>
      <c r="D39" s="156">
        <f>AVERAGE(G9:AM9)</f>
        <v>34464.084169489222</v>
      </c>
      <c r="E39" s="145">
        <f t="shared" ref="E39:E53" si="16">D39/$D$55</f>
        <v>7.3959198778827005E-3</v>
      </c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</row>
    <row r="40" spans="3:39">
      <c r="C40" s="780" t="s">
        <v>970</v>
      </c>
      <c r="D40" s="156">
        <f t="shared" ref="D40:D50" si="17">AVERAGE(G11:AM11)</f>
        <v>230056.74267494207</v>
      </c>
      <c r="E40" s="145">
        <f t="shared" si="16"/>
        <v>4.9369692454989331E-2</v>
      </c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4"/>
    </row>
    <row r="41" spans="3:39">
      <c r="C41" s="780" t="s">
        <v>950</v>
      </c>
      <c r="D41" s="156">
        <f t="shared" si="17"/>
        <v>855103.7213927994</v>
      </c>
      <c r="E41" s="145">
        <f t="shared" si="16"/>
        <v>0.18350345767491216</v>
      </c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</row>
    <row r="42" spans="3:39">
      <c r="C42" s="143" t="s">
        <v>951</v>
      </c>
      <c r="D42" s="156">
        <f t="shared" si="17"/>
        <v>17360.75922782029</v>
      </c>
      <c r="E42" s="145">
        <f t="shared" si="16"/>
        <v>3.7255823667539096E-3</v>
      </c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</row>
    <row r="43" spans="3:39">
      <c r="C43" s="780" t="s">
        <v>952</v>
      </c>
      <c r="D43" s="156">
        <f t="shared" si="17"/>
        <v>233572.75903472764</v>
      </c>
      <c r="E43" s="145">
        <f t="shared" si="16"/>
        <v>5.0124222160708894E-2</v>
      </c>
    </row>
    <row r="44" spans="3:39">
      <c r="C44" s="780" t="s">
        <v>971</v>
      </c>
      <c r="D44" s="156">
        <f t="shared" si="17"/>
        <v>164495.27901455143</v>
      </c>
      <c r="E44" s="145">
        <f t="shared" si="16"/>
        <v>3.5300340432624137E-2</v>
      </c>
    </row>
    <row r="45" spans="3:39">
      <c r="C45" s="780" t="s">
        <v>954</v>
      </c>
      <c r="D45" s="156">
        <f t="shared" si="17"/>
        <v>254383.22336924094</v>
      </c>
      <c r="E45" s="145">
        <f t="shared" si="16"/>
        <v>5.459010397792699E-2</v>
      </c>
    </row>
    <row r="46" spans="3:39">
      <c r="C46" s="780" t="s">
        <v>955</v>
      </c>
      <c r="D46" s="156">
        <f>AVERAGE(G17:AM17)</f>
        <v>397246.04090487602</v>
      </c>
      <c r="E46" s="145">
        <f>D46/$D$55</f>
        <v>8.5248163737354277E-2</v>
      </c>
    </row>
    <row r="47" spans="3:39">
      <c r="C47" s="143" t="s">
        <v>956</v>
      </c>
      <c r="D47" s="156">
        <f>AVERAGE(G18:AM18)</f>
        <v>382797.72996413324</v>
      </c>
      <c r="E47" s="145">
        <f t="shared" si="16"/>
        <v>8.214758663909294E-2</v>
      </c>
    </row>
    <row r="48" spans="3:39">
      <c r="C48" s="780" t="s">
        <v>957</v>
      </c>
      <c r="D48" s="156">
        <f t="shared" si="17"/>
        <v>37015.742529600007</v>
      </c>
      <c r="E48" s="145">
        <f t="shared" si="16"/>
        <v>7.9435003879087304E-3</v>
      </c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</row>
    <row r="49" spans="3:5">
      <c r="C49" s="780" t="s">
        <v>958</v>
      </c>
      <c r="D49" s="156">
        <f t="shared" si="17"/>
        <v>103128.21204641969</v>
      </c>
      <c r="E49" s="145">
        <f t="shared" si="16"/>
        <v>2.2131097106588851E-2</v>
      </c>
    </row>
    <row r="50" spans="3:5">
      <c r="C50" s="780" t="s">
        <v>959</v>
      </c>
      <c r="D50" s="156">
        <f t="shared" si="17"/>
        <v>95162.76879419772</v>
      </c>
      <c r="E50" s="145">
        <f t="shared" si="16"/>
        <v>2.0421729760701005E-2</v>
      </c>
    </row>
    <row r="51" spans="3:5">
      <c r="C51" s="143" t="s">
        <v>960</v>
      </c>
      <c r="D51" s="156">
        <f>AVERAGE(G22:AM22)</f>
        <v>182828.55000467072</v>
      </c>
      <c r="E51" s="145">
        <f t="shared" si="16"/>
        <v>3.9234621775358081E-2</v>
      </c>
    </row>
    <row r="52" spans="3:5">
      <c r="C52" s="780" t="s">
        <v>961</v>
      </c>
      <c r="D52" s="156">
        <f t="shared" ref="D52:D54" si="18">AVERAGE(G23:AM23)</f>
        <v>3450</v>
      </c>
      <c r="E52" s="145">
        <f t="shared" si="16"/>
        <v>7.4036273394678968E-4</v>
      </c>
    </row>
    <row r="53" spans="3:5">
      <c r="C53" s="780" t="s">
        <v>962</v>
      </c>
      <c r="D53" s="156">
        <f t="shared" si="18"/>
        <v>800</v>
      </c>
      <c r="E53" s="145">
        <f t="shared" si="16"/>
        <v>1.7167831511809617E-4</v>
      </c>
    </row>
    <row r="54" spans="3:5">
      <c r="C54" s="780" t="s">
        <v>639</v>
      </c>
      <c r="D54" s="156">
        <f t="shared" si="18"/>
        <v>135014.62513579024</v>
      </c>
      <c r="E54" s="145">
        <f>D54/$D$55</f>
        <v>2.8973854199517281E-2</v>
      </c>
    </row>
    <row r="55" spans="3:5">
      <c r="C55" s="780" t="s">
        <v>479</v>
      </c>
      <c r="D55" s="156">
        <f>SUM(D38:D54)</f>
        <v>4659877.978472041</v>
      </c>
      <c r="E55" s="145">
        <f>D55/$D$55</f>
        <v>1</v>
      </c>
    </row>
    <row r="57" spans="3:5">
      <c r="D57" s="210"/>
    </row>
    <row r="58" spans="3:5">
      <c r="D58" s="210"/>
    </row>
  </sheetData>
  <mergeCells count="3">
    <mergeCell ref="C30:D30"/>
    <mergeCell ref="C4:C5"/>
    <mergeCell ref="AN7:AN8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SEAD</dc:creator>
  <cp:keywords/>
  <dc:description/>
  <cp:lastModifiedBy>Caio Valério</cp:lastModifiedBy>
  <cp:revision/>
  <dcterms:created xsi:type="dcterms:W3CDTF">2025-09-02T15:44:27Z</dcterms:created>
  <dcterms:modified xsi:type="dcterms:W3CDTF">2025-11-03T12:03:18Z</dcterms:modified>
  <cp:category/>
  <cp:contentStatus/>
</cp:coreProperties>
</file>