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EstaPasta_de_trabalho" defaultThemeVersion="124226"/>
  <bookViews>
    <workbookView xWindow="0" yWindow="0" windowWidth="20490" windowHeight="7230" firstSheet="5" activeTab="11"/>
  </bookViews>
  <sheets>
    <sheet name="Dados" sheetId="3" r:id="rId1"/>
    <sheet name="Quadro Áreas" sheetId="8" r:id="rId2"/>
    <sheet name="Premissas" sheetId="4" r:id="rId3"/>
    <sheet name="Eq. Proj." sheetId="2" r:id="rId4"/>
    <sheet name="Quantitativos" sheetId="5" r:id="rId5"/>
    <sheet name="CAPEX" sheetId="1" r:id="rId6"/>
    <sheet name="ABC" sheetId="7" r:id="rId7"/>
    <sheet name="A" sheetId="9" r:id="rId8"/>
    <sheet name="QUADRO RESUMO" sheetId="6" r:id="rId9"/>
    <sheet name="CRONOGRAMA" sheetId="10" r:id="rId10"/>
    <sheet name="Série Hist. INCC" sheetId="11" r:id="rId11"/>
    <sheet name="Correção CAPEX" sheetId="12" r:id="rId12"/>
  </sheets>
  <definedNames>
    <definedName name="_xlnm.Print_Area" localSheetId="7">A!$B$2:$I$199</definedName>
    <definedName name="_xlnm.Print_Area" localSheetId="6">ABC!$A$1:$H$198</definedName>
    <definedName name="_xlnm.Print_Area" localSheetId="5">CAPEX!$A$1:$H$229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9" i="5" l="1"/>
  <c r="I3" i="12" l="1"/>
  <c r="H19" i="12"/>
  <c r="C9" i="12"/>
  <c r="D4" i="11"/>
  <c r="D3" i="11"/>
  <c r="B4" i="12"/>
  <c r="C3" i="11"/>
  <c r="C4" i="11"/>
  <c r="C5" i="11"/>
  <c r="C6" i="11"/>
  <c r="C7" i="11"/>
  <c r="C8" i="11"/>
  <c r="C9" i="11"/>
  <c r="C10" i="11"/>
  <c r="C11" i="11"/>
  <c r="C12" i="11"/>
  <c r="C13" i="11"/>
  <c r="C2" i="11"/>
  <c r="D2" i="11" s="1"/>
  <c r="G18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9" i="6"/>
  <c r="G20" i="6"/>
  <c r="G21" i="6"/>
  <c r="G22" i="6"/>
  <c r="G23" i="6"/>
  <c r="G24" i="6"/>
  <c r="G25" i="6"/>
  <c r="G26" i="6"/>
  <c r="G3" i="6"/>
  <c r="G2" i="6"/>
  <c r="Z17" i="10"/>
  <c r="Z16" i="10"/>
  <c r="Z20" i="10" s="1"/>
  <c r="Y16" i="10"/>
  <c r="Y20" i="10" s="1"/>
  <c r="X16" i="10"/>
  <c r="X20" i="10" s="1"/>
  <c r="W15" i="10"/>
  <c r="W14" i="10"/>
  <c r="W20" i="10" s="1"/>
  <c r="V14" i="10"/>
  <c r="V13" i="10"/>
  <c r="V12" i="10"/>
  <c r="V20" i="10" s="1"/>
  <c r="U12" i="10"/>
  <c r="U20" i="10" s="1"/>
  <c r="T12" i="10"/>
  <c r="T11" i="10"/>
  <c r="T20" i="10" s="1"/>
  <c r="S11" i="10"/>
  <c r="S10" i="10"/>
  <c r="R10" i="10"/>
  <c r="S9" i="10"/>
  <c r="S20" i="10" s="1"/>
  <c r="R9" i="10"/>
  <c r="R8" i="10"/>
  <c r="R20" i="10" s="1"/>
  <c r="Q8" i="10"/>
  <c r="Q7" i="10"/>
  <c r="Q20" i="10" s="1"/>
  <c r="P7" i="10"/>
  <c r="P20" i="10" s="1"/>
  <c r="O6" i="10"/>
  <c r="O20" i="10" s="1"/>
  <c r="N6" i="10"/>
  <c r="N20" i="10" s="1"/>
  <c r="M6" i="10"/>
  <c r="M20" i="10" s="1"/>
  <c r="L5" i="10"/>
  <c r="L20" i="10" s="1"/>
  <c r="K5" i="10"/>
  <c r="K20" i="10" s="1"/>
  <c r="J5" i="10"/>
  <c r="J20" i="10" s="1"/>
  <c r="I4" i="10"/>
  <c r="I20" i="10" s="1"/>
  <c r="H4" i="10"/>
  <c r="H20" i="10" s="1"/>
  <c r="G3" i="10"/>
  <c r="G20" i="10" s="1"/>
  <c r="F3" i="10"/>
  <c r="F20" i="10" s="1"/>
  <c r="E2" i="10"/>
  <c r="E20" i="10" s="1"/>
  <c r="D2" i="10"/>
  <c r="D20" i="10" s="1"/>
  <c r="C2" i="10"/>
  <c r="C20" i="10" s="1"/>
  <c r="C21" i="10" s="1"/>
  <c r="T12" i="1"/>
  <c r="B17" i="10"/>
  <c r="A17" i="10"/>
  <c r="B16" i="10"/>
  <c r="A16" i="10"/>
  <c r="B15" i="10"/>
  <c r="A15" i="10"/>
  <c r="B14" i="10"/>
  <c r="A14" i="10"/>
  <c r="B13" i="10"/>
  <c r="A13" i="10"/>
  <c r="B12" i="10"/>
  <c r="A12" i="10"/>
  <c r="B11" i="10"/>
  <c r="A11" i="10"/>
  <c r="B10" i="10"/>
  <c r="A10" i="10"/>
  <c r="B9" i="10"/>
  <c r="A9" i="10"/>
  <c r="B8" i="10"/>
  <c r="A8" i="10"/>
  <c r="B7" i="10"/>
  <c r="A7" i="10"/>
  <c r="B6" i="10"/>
  <c r="A6" i="10"/>
  <c r="B5" i="10"/>
  <c r="A5" i="10"/>
  <c r="B4" i="10"/>
  <c r="A4" i="10"/>
  <c r="B3" i="10"/>
  <c r="A3" i="10"/>
  <c r="B2" i="10"/>
  <c r="A2" i="10"/>
  <c r="B1" i="10"/>
  <c r="A1" i="10"/>
  <c r="F31" i="6"/>
  <c r="G30" i="9"/>
  <c r="I30" i="9"/>
  <c r="G31" i="9"/>
  <c r="I31" i="9"/>
  <c r="G32" i="9"/>
  <c r="I32" i="9"/>
  <c r="G33" i="9"/>
  <c r="I33" i="9"/>
  <c r="G34" i="9"/>
  <c r="I34" i="9"/>
  <c r="G35" i="9"/>
  <c r="I35" i="9"/>
  <c r="G36" i="9"/>
  <c r="I36" i="9"/>
  <c r="G37" i="9"/>
  <c r="I37" i="9"/>
  <c r="G38" i="9"/>
  <c r="I38" i="9"/>
  <c r="G39" i="9"/>
  <c r="I39" i="9"/>
  <c r="G40" i="9"/>
  <c r="I40" i="9"/>
  <c r="G41" i="9"/>
  <c r="I41" i="9"/>
  <c r="G42" i="9"/>
  <c r="I42" i="9"/>
  <c r="G43" i="9"/>
  <c r="I43" i="9"/>
  <c r="G44" i="9"/>
  <c r="I44" i="9"/>
  <c r="G45" i="9"/>
  <c r="I45" i="9"/>
  <c r="G46" i="9"/>
  <c r="I46" i="9"/>
  <c r="G47" i="9"/>
  <c r="I47" i="9"/>
  <c r="G48" i="9"/>
  <c r="I48" i="9"/>
  <c r="E50" i="9"/>
  <c r="F50" i="9"/>
  <c r="G50" i="9"/>
  <c r="I50" i="9"/>
  <c r="G51" i="9"/>
  <c r="I51" i="9"/>
  <c r="G52" i="9"/>
  <c r="I52" i="9"/>
  <c r="G53" i="9"/>
  <c r="I53" i="9"/>
  <c r="I54" i="9"/>
  <c r="I55" i="9"/>
  <c r="E57" i="9"/>
  <c r="F57" i="9"/>
  <c r="G57" i="9"/>
  <c r="I57" i="9"/>
  <c r="E59" i="9"/>
  <c r="F59" i="9"/>
  <c r="G59" i="9"/>
  <c r="I59" i="9"/>
  <c r="G60" i="9"/>
  <c r="I60" i="9"/>
  <c r="G61" i="9"/>
  <c r="I61" i="9"/>
  <c r="E62" i="9"/>
  <c r="F62" i="9"/>
  <c r="G62" i="9"/>
  <c r="I62" i="9"/>
  <c r="G63" i="9"/>
  <c r="I63" i="9"/>
  <c r="G64" i="9"/>
  <c r="I64" i="9"/>
  <c r="G65" i="9"/>
  <c r="I65" i="9"/>
  <c r="E66" i="9"/>
  <c r="F66" i="9"/>
  <c r="G66" i="9"/>
  <c r="I66" i="9"/>
  <c r="G68" i="9"/>
  <c r="I68" i="9"/>
  <c r="G69" i="9"/>
  <c r="I69" i="9"/>
  <c r="E70" i="9"/>
  <c r="F70" i="9"/>
  <c r="G70" i="9"/>
  <c r="I70" i="9"/>
  <c r="G71" i="9"/>
  <c r="I71" i="9"/>
  <c r="G72" i="9"/>
  <c r="I72" i="9"/>
  <c r="G73" i="9"/>
  <c r="I73" i="9"/>
  <c r="E74" i="9"/>
  <c r="F74" i="9"/>
  <c r="G74" i="9"/>
  <c r="I74" i="9"/>
  <c r="G75" i="9"/>
  <c r="I75" i="9"/>
  <c r="E76" i="9"/>
  <c r="F76" i="9"/>
  <c r="G76" i="9"/>
  <c r="I76" i="9"/>
  <c r="G77" i="9"/>
  <c r="I77" i="9"/>
  <c r="G78" i="9"/>
  <c r="I78" i="9"/>
  <c r="E79" i="9"/>
  <c r="F79" i="9"/>
  <c r="G79" i="9"/>
  <c r="I79" i="9"/>
  <c r="E80" i="9"/>
  <c r="F80" i="9"/>
  <c r="G80" i="9"/>
  <c r="I80" i="9"/>
  <c r="G81" i="9"/>
  <c r="I81" i="9"/>
  <c r="G82" i="9"/>
  <c r="I82" i="9"/>
  <c r="G83" i="9"/>
  <c r="I83" i="9"/>
  <c r="G84" i="9"/>
  <c r="I84" i="9"/>
  <c r="G85" i="9"/>
  <c r="I85" i="9"/>
  <c r="G86" i="9"/>
  <c r="I86" i="9"/>
  <c r="E87" i="9"/>
  <c r="F87" i="9"/>
  <c r="G87" i="9"/>
  <c r="I87" i="9"/>
  <c r="G88" i="9"/>
  <c r="I88" i="9"/>
  <c r="G89" i="9"/>
  <c r="I89" i="9"/>
  <c r="G90" i="9"/>
  <c r="I90" i="9"/>
  <c r="G91" i="9"/>
  <c r="I91" i="9"/>
  <c r="G92" i="9"/>
  <c r="I92" i="9"/>
  <c r="E93" i="9"/>
  <c r="F93" i="9"/>
  <c r="G93" i="9"/>
  <c r="I93" i="9"/>
  <c r="E94" i="9"/>
  <c r="F94" i="9"/>
  <c r="G94" i="9"/>
  <c r="I94" i="9"/>
  <c r="I95" i="9"/>
  <c r="E96" i="9"/>
  <c r="F96" i="9"/>
  <c r="G96" i="9"/>
  <c r="I96" i="9"/>
  <c r="E97" i="9"/>
  <c r="F97" i="9"/>
  <c r="G97" i="9"/>
  <c r="I97" i="9"/>
  <c r="G98" i="9"/>
  <c r="I98" i="9"/>
  <c r="G99" i="9"/>
  <c r="I99" i="9"/>
  <c r="G100" i="9"/>
  <c r="I100" i="9"/>
  <c r="G101" i="9"/>
  <c r="I101" i="9"/>
  <c r="G102" i="9"/>
  <c r="I102" i="9"/>
  <c r="G103" i="9"/>
  <c r="I103" i="9"/>
  <c r="G104" i="9"/>
  <c r="I104" i="9"/>
  <c r="G105" i="9"/>
  <c r="I105" i="9"/>
  <c r="G106" i="9"/>
  <c r="I106" i="9"/>
  <c r="G107" i="9"/>
  <c r="I107" i="9"/>
  <c r="G108" i="9"/>
  <c r="I108" i="9"/>
  <c r="E109" i="9"/>
  <c r="F109" i="9"/>
  <c r="G109" i="9"/>
  <c r="I109" i="9"/>
  <c r="G110" i="9"/>
  <c r="I110" i="9"/>
  <c r="I111" i="9"/>
  <c r="E112" i="9"/>
  <c r="F112" i="9"/>
  <c r="G112" i="9"/>
  <c r="I112" i="9"/>
  <c r="E113" i="9"/>
  <c r="F113" i="9"/>
  <c r="G113" i="9"/>
  <c r="I113" i="9"/>
  <c r="G114" i="9"/>
  <c r="I114" i="9"/>
  <c r="G115" i="9"/>
  <c r="I115" i="9"/>
  <c r="G116" i="9"/>
  <c r="I116" i="9"/>
  <c r="G117" i="9"/>
  <c r="I117" i="9"/>
  <c r="G118" i="9"/>
  <c r="I118" i="9"/>
  <c r="G119" i="9"/>
  <c r="I119" i="9"/>
  <c r="G120" i="9"/>
  <c r="I120" i="9"/>
  <c r="G121" i="9"/>
  <c r="I121" i="9"/>
  <c r="I122" i="9"/>
  <c r="I123" i="9"/>
  <c r="G124" i="9"/>
  <c r="I124" i="9"/>
  <c r="G125" i="9"/>
  <c r="I125" i="9"/>
  <c r="G126" i="9"/>
  <c r="I126" i="9"/>
  <c r="G127" i="9"/>
  <c r="I127" i="9"/>
  <c r="G128" i="9"/>
  <c r="I128" i="9"/>
  <c r="G129" i="9"/>
  <c r="I129" i="9"/>
  <c r="G130" i="9"/>
  <c r="I130" i="9"/>
  <c r="E131" i="9"/>
  <c r="F131" i="9"/>
  <c r="G131" i="9"/>
  <c r="I131" i="9"/>
  <c r="G132" i="9"/>
  <c r="I132" i="9"/>
  <c r="G133" i="9"/>
  <c r="I133" i="9"/>
  <c r="G134" i="9"/>
  <c r="I134" i="9"/>
  <c r="G135" i="9"/>
  <c r="I135" i="9"/>
  <c r="G136" i="9"/>
  <c r="I136" i="9"/>
  <c r="G137" i="9"/>
  <c r="I137" i="9"/>
  <c r="G138" i="9"/>
  <c r="I138" i="9"/>
  <c r="G139" i="9"/>
  <c r="I139" i="9"/>
  <c r="I140" i="9"/>
  <c r="G141" i="9"/>
  <c r="I141" i="9"/>
  <c r="I142" i="9"/>
  <c r="E143" i="9"/>
  <c r="F143" i="9"/>
  <c r="G143" i="9"/>
  <c r="I143" i="9"/>
  <c r="G144" i="9"/>
  <c r="I144" i="9"/>
  <c r="G145" i="9"/>
  <c r="I145" i="9"/>
  <c r="G146" i="9"/>
  <c r="I146" i="9"/>
  <c r="G147" i="9"/>
  <c r="I147" i="9"/>
  <c r="G148" i="9"/>
  <c r="I148" i="9"/>
  <c r="G149" i="9"/>
  <c r="I149" i="9"/>
  <c r="G150" i="9"/>
  <c r="I150" i="9"/>
  <c r="G151" i="9"/>
  <c r="I151" i="9"/>
  <c r="E152" i="9"/>
  <c r="F152" i="9"/>
  <c r="G152" i="9"/>
  <c r="I152" i="9"/>
  <c r="G153" i="9"/>
  <c r="G67" i="9" s="1"/>
  <c r="I67" i="9" s="1"/>
  <c r="I153" i="9"/>
  <c r="G154" i="9"/>
  <c r="I154" i="9"/>
  <c r="G155" i="9"/>
  <c r="I155" i="9"/>
  <c r="I156" i="9"/>
  <c r="I157" i="9"/>
  <c r="G158" i="9"/>
  <c r="I158" i="9"/>
  <c r="G159" i="9"/>
  <c r="I159" i="9"/>
  <c r="G160" i="9"/>
  <c r="I160" i="9"/>
  <c r="G161" i="9"/>
  <c r="I161" i="9"/>
  <c r="G162" i="9"/>
  <c r="I162" i="9"/>
  <c r="G163" i="9"/>
  <c r="I163" i="9"/>
  <c r="G164" i="9"/>
  <c r="I164" i="9"/>
  <c r="G165" i="9"/>
  <c r="I165" i="9"/>
  <c r="G166" i="9"/>
  <c r="I166" i="9"/>
  <c r="G167" i="9"/>
  <c r="I167" i="9"/>
  <c r="I168" i="9"/>
  <c r="G169" i="9"/>
  <c r="I169" i="9"/>
  <c r="G170" i="9"/>
  <c r="I170" i="9"/>
  <c r="G171" i="9"/>
  <c r="I171" i="9"/>
  <c r="I172" i="9"/>
  <c r="G173" i="9"/>
  <c r="I173" i="9"/>
  <c r="G174" i="9"/>
  <c r="I174" i="9"/>
  <c r="G175" i="9"/>
  <c r="I175" i="9"/>
  <c r="E176" i="9"/>
  <c r="F176" i="9"/>
  <c r="G176" i="9"/>
  <c r="I176" i="9"/>
  <c r="G177" i="9"/>
  <c r="I177" i="9"/>
  <c r="E178" i="9"/>
  <c r="F178" i="9"/>
  <c r="G178" i="9"/>
  <c r="I178" i="9"/>
  <c r="G179" i="9"/>
  <c r="I179" i="9"/>
  <c r="I180" i="9"/>
  <c r="G181" i="9"/>
  <c r="I181" i="9"/>
  <c r="G182" i="9"/>
  <c r="I182" i="9"/>
  <c r="E183" i="9"/>
  <c r="F183" i="9"/>
  <c r="G183" i="9"/>
  <c r="I183" i="9"/>
  <c r="G184" i="9"/>
  <c r="I184" i="9"/>
  <c r="G185" i="9"/>
  <c r="I185" i="9"/>
  <c r="I186" i="9"/>
  <c r="G187" i="9"/>
  <c r="I187" i="9"/>
  <c r="G188" i="9"/>
  <c r="I188" i="9"/>
  <c r="G189" i="9"/>
  <c r="I189" i="9"/>
  <c r="G190" i="9"/>
  <c r="I190" i="9"/>
  <c r="G191" i="9"/>
  <c r="I191" i="9"/>
  <c r="G192" i="9"/>
  <c r="I192" i="9"/>
  <c r="G193" i="9"/>
  <c r="I193" i="9"/>
  <c r="G194" i="9"/>
  <c r="I194" i="9"/>
  <c r="G195" i="9"/>
  <c r="I195" i="9"/>
  <c r="I196" i="9"/>
  <c r="G197" i="9"/>
  <c r="I197" i="9"/>
  <c r="G198" i="9"/>
  <c r="I198" i="9"/>
  <c r="G199" i="9"/>
  <c r="I199" i="9"/>
  <c r="G19" i="9"/>
  <c r="I19" i="9"/>
  <c r="G20" i="9"/>
  <c r="I20" i="9"/>
  <c r="G21" i="9"/>
  <c r="I21" i="9"/>
  <c r="G22" i="9"/>
  <c r="I22" i="9"/>
  <c r="G23" i="9"/>
  <c r="I23" i="9"/>
  <c r="G24" i="9"/>
  <c r="I24" i="9"/>
  <c r="G25" i="9"/>
  <c r="I25" i="9"/>
  <c r="G26" i="9"/>
  <c r="I26" i="9"/>
  <c r="G27" i="9"/>
  <c r="I27" i="9"/>
  <c r="G28" i="9"/>
  <c r="I28" i="9"/>
  <c r="G29" i="9"/>
  <c r="I29" i="9"/>
  <c r="G17" i="9"/>
  <c r="I17" i="9" s="1"/>
  <c r="G16" i="9"/>
  <c r="I16" i="9" s="1"/>
  <c r="G15" i="9"/>
  <c r="I15" i="9" s="1"/>
  <c r="G14" i="9"/>
  <c r="I14" i="9" s="1"/>
  <c r="G13" i="9"/>
  <c r="I13" i="9" s="1"/>
  <c r="G12" i="9"/>
  <c r="I12" i="9" s="1"/>
  <c r="G11" i="9"/>
  <c r="I11" i="9" s="1"/>
  <c r="G10" i="9"/>
  <c r="I10" i="9" s="1"/>
  <c r="G9" i="9"/>
  <c r="I9" i="9" s="1"/>
  <c r="H8" i="9"/>
  <c r="I8" i="9" s="1"/>
  <c r="G6" i="9"/>
  <c r="I6" i="9" s="1"/>
  <c r="H5" i="9"/>
  <c r="I5" i="9" s="1"/>
  <c r="G4" i="9"/>
  <c r="I4" i="9" s="1"/>
  <c r="G3" i="9"/>
  <c r="I3" i="9" s="1"/>
  <c r="B2" i="1"/>
  <c r="B5" i="3"/>
  <c r="B34" i="8"/>
  <c r="B32" i="8"/>
  <c r="B30" i="8"/>
  <c r="B29" i="8"/>
  <c r="D1" i="6"/>
  <c r="E1" i="6"/>
  <c r="I4" i="7"/>
  <c r="I5" i="7"/>
  <c r="I3" i="7"/>
  <c r="I2" i="7"/>
  <c r="F88" i="7"/>
  <c r="H88" i="7" s="1"/>
  <c r="F138" i="7"/>
  <c r="H138" i="7" s="1"/>
  <c r="F105" i="7"/>
  <c r="H105" i="7" s="1"/>
  <c r="G4" i="7"/>
  <c r="H4" i="7" s="1"/>
  <c r="F84" i="7"/>
  <c r="H84" i="7" s="1"/>
  <c r="F100" i="7"/>
  <c r="H100" i="7" s="1"/>
  <c r="F89" i="7"/>
  <c r="H89" i="7" s="1"/>
  <c r="F90" i="7"/>
  <c r="F81" i="7"/>
  <c r="H81" i="7" s="1"/>
  <c r="F62" i="7"/>
  <c r="H62" i="7" s="1"/>
  <c r="F60" i="7"/>
  <c r="H60" i="7" s="1"/>
  <c r="F40" i="7"/>
  <c r="F118" i="7"/>
  <c r="H118" i="7" s="1"/>
  <c r="F28" i="7"/>
  <c r="H28" i="7" s="1"/>
  <c r="F34" i="7"/>
  <c r="H34" i="7" s="1"/>
  <c r="F43" i="7"/>
  <c r="H43" i="7" s="1"/>
  <c r="F35" i="7"/>
  <c r="H35" i="7" s="1"/>
  <c r="F36" i="7"/>
  <c r="H36" i="7" s="1"/>
  <c r="F42" i="7"/>
  <c r="H42" i="7" s="1"/>
  <c r="F64" i="7"/>
  <c r="H64" i="7" s="1"/>
  <c r="F106" i="7"/>
  <c r="H106" i="7" s="1"/>
  <c r="F82" i="7"/>
  <c r="H82" i="7" s="1"/>
  <c r="F132" i="7"/>
  <c r="H132" i="7" s="1"/>
  <c r="F76" i="7"/>
  <c r="F97" i="7"/>
  <c r="H97" i="7" s="1"/>
  <c r="F80" i="7"/>
  <c r="H80" i="7" s="1"/>
  <c r="F52" i="7"/>
  <c r="H52" i="7" s="1"/>
  <c r="F27" i="7"/>
  <c r="F14" i="7"/>
  <c r="H14" i="7" s="1"/>
  <c r="F46" i="7"/>
  <c r="H46" i="7" s="1"/>
  <c r="F39" i="7"/>
  <c r="H39" i="7" s="1"/>
  <c r="F8" i="7"/>
  <c r="H8" i="7" s="1"/>
  <c r="F5" i="7"/>
  <c r="H5" i="7" s="1"/>
  <c r="H139" i="7"/>
  <c r="F149" i="7"/>
  <c r="H149" i="7" s="1"/>
  <c r="F72" i="7"/>
  <c r="H72" i="7" s="1"/>
  <c r="F11" i="7"/>
  <c r="H11" i="7" s="1"/>
  <c r="F3" i="7"/>
  <c r="H3" i="7" s="1"/>
  <c r="F26" i="7"/>
  <c r="H26" i="7" s="1"/>
  <c r="F152" i="7"/>
  <c r="H152" i="7" s="1"/>
  <c r="F16" i="7"/>
  <c r="H16" i="7" s="1"/>
  <c r="F83" i="7"/>
  <c r="H83" i="7" s="1"/>
  <c r="F13" i="7"/>
  <c r="H13" i="7" s="1"/>
  <c r="F41" i="7"/>
  <c r="H41" i="7" s="1"/>
  <c r="F21" i="7"/>
  <c r="H21" i="7" s="1"/>
  <c r="F25" i="7"/>
  <c r="H25" i="7" s="1"/>
  <c r="F70" i="7"/>
  <c r="H70" i="7" s="1"/>
  <c r="H195" i="7"/>
  <c r="F144" i="7"/>
  <c r="H144" i="7" s="1"/>
  <c r="F147" i="7"/>
  <c r="H147" i="7" s="1"/>
  <c r="F68" i="7"/>
  <c r="H68" i="7" s="1"/>
  <c r="F15" i="7"/>
  <c r="H15" i="7" s="1"/>
  <c r="F63" i="7"/>
  <c r="H63" i="7" s="1"/>
  <c r="F44" i="7"/>
  <c r="H44" i="7" s="1"/>
  <c r="F123" i="7"/>
  <c r="H123" i="7" s="1"/>
  <c r="F10" i="7"/>
  <c r="H10" i="7" s="1"/>
  <c r="F166" i="7"/>
  <c r="H166" i="7" s="1"/>
  <c r="F125" i="7"/>
  <c r="H125" i="7" s="1"/>
  <c r="F120" i="7"/>
  <c r="H120" i="7" s="1"/>
  <c r="F150" i="7"/>
  <c r="H150" i="7" s="1"/>
  <c r="F113" i="7"/>
  <c r="H113" i="7" s="1"/>
  <c r="F103" i="7"/>
  <c r="H103" i="7" s="1"/>
  <c r="H141" i="7"/>
  <c r="H167" i="7"/>
  <c r="H179" i="7"/>
  <c r="F130" i="7"/>
  <c r="H130" i="7" s="1"/>
  <c r="E130" i="7"/>
  <c r="D130" i="7"/>
  <c r="F175" i="7"/>
  <c r="H175" i="7" s="1"/>
  <c r="E175" i="7"/>
  <c r="D175" i="7"/>
  <c r="F177" i="7"/>
  <c r="H177" i="7" s="1"/>
  <c r="E177" i="7"/>
  <c r="D177" i="7"/>
  <c r="F182" i="7"/>
  <c r="H182" i="7" s="1"/>
  <c r="E182" i="7"/>
  <c r="D182" i="7"/>
  <c r="F111" i="7"/>
  <c r="H111" i="7" s="1"/>
  <c r="E111" i="7"/>
  <c r="D111" i="7"/>
  <c r="F151" i="7"/>
  <c r="H151" i="7" s="1"/>
  <c r="E151" i="7"/>
  <c r="D151" i="7"/>
  <c r="F93" i="7"/>
  <c r="H93" i="7" s="1"/>
  <c r="E93" i="7"/>
  <c r="D93" i="7"/>
  <c r="F65" i="7"/>
  <c r="H65" i="7" s="1"/>
  <c r="E65" i="7"/>
  <c r="D65" i="7"/>
  <c r="F73" i="7"/>
  <c r="H73" i="7" s="1"/>
  <c r="E73" i="7"/>
  <c r="D73" i="7"/>
  <c r="F78" i="7"/>
  <c r="H78" i="7" s="1"/>
  <c r="E78" i="7"/>
  <c r="D78" i="7"/>
  <c r="F61" i="7"/>
  <c r="H61" i="7" s="1"/>
  <c r="E61" i="7"/>
  <c r="D61" i="7"/>
  <c r="F86" i="7"/>
  <c r="H86" i="7" s="1"/>
  <c r="E86" i="7"/>
  <c r="D86" i="7"/>
  <c r="F56" i="7"/>
  <c r="H56" i="7" s="1"/>
  <c r="E56" i="7"/>
  <c r="D56" i="7"/>
  <c r="F49" i="7"/>
  <c r="H49" i="7" s="1"/>
  <c r="E49" i="7"/>
  <c r="D49" i="7"/>
  <c r="F96" i="7"/>
  <c r="H96" i="7" s="1"/>
  <c r="E96" i="7"/>
  <c r="D96" i="7"/>
  <c r="F142" i="7"/>
  <c r="H142" i="7" s="1"/>
  <c r="E142" i="7"/>
  <c r="D142" i="7"/>
  <c r="F79" i="7"/>
  <c r="H79" i="7" s="1"/>
  <c r="E79" i="7"/>
  <c r="D79" i="7"/>
  <c r="F112" i="7"/>
  <c r="H112" i="7" s="1"/>
  <c r="E112" i="7"/>
  <c r="D112" i="7"/>
  <c r="F92" i="7"/>
  <c r="H92" i="7" s="1"/>
  <c r="E92" i="7"/>
  <c r="D92" i="7"/>
  <c r="F95" i="7"/>
  <c r="H95" i="7" s="1"/>
  <c r="E95" i="7"/>
  <c r="D95" i="7"/>
  <c r="F108" i="7"/>
  <c r="H108" i="7" s="1"/>
  <c r="E108" i="7"/>
  <c r="D108" i="7"/>
  <c r="F58" i="7"/>
  <c r="H58" i="7" s="1"/>
  <c r="E58" i="7"/>
  <c r="D58" i="7"/>
  <c r="F75" i="7"/>
  <c r="H75" i="7" s="1"/>
  <c r="E75" i="7"/>
  <c r="D75" i="7"/>
  <c r="F69" i="7"/>
  <c r="H69" i="7" s="1"/>
  <c r="E69" i="7"/>
  <c r="D69" i="7"/>
  <c r="F115" i="7"/>
  <c r="H115" i="7" s="1"/>
  <c r="H185" i="7"/>
  <c r="H155" i="7"/>
  <c r="F190" i="7"/>
  <c r="H190" i="7" s="1"/>
  <c r="F178" i="7"/>
  <c r="H178" i="7" s="1"/>
  <c r="F145" i="7"/>
  <c r="H145" i="7" s="1"/>
  <c r="F133" i="7"/>
  <c r="H133" i="7" s="1"/>
  <c r="F183" i="7"/>
  <c r="H183" i="7" s="1"/>
  <c r="F162" i="7"/>
  <c r="H162" i="7" s="1"/>
  <c r="H156" i="7"/>
  <c r="F104" i="7"/>
  <c r="H104" i="7" s="1"/>
  <c r="F98" i="7"/>
  <c r="H98" i="7" s="1"/>
  <c r="F173" i="7"/>
  <c r="H173" i="7" s="1"/>
  <c r="F59" i="7"/>
  <c r="H59" i="7" s="1"/>
  <c r="F153" i="7"/>
  <c r="H153" i="7" s="1"/>
  <c r="F126" i="7"/>
  <c r="H126" i="7" s="1"/>
  <c r="F31" i="7"/>
  <c r="H31" i="7" s="1"/>
  <c r="F91" i="7"/>
  <c r="H91" i="7" s="1"/>
  <c r="F194" i="7"/>
  <c r="H194" i="7" s="1"/>
  <c r="F116" i="7"/>
  <c r="H116" i="7" s="1"/>
  <c r="F176" i="7"/>
  <c r="H176" i="7" s="1"/>
  <c r="F191" i="7"/>
  <c r="H191" i="7" s="1"/>
  <c r="F137" i="7"/>
  <c r="H137" i="7" s="1"/>
  <c r="F157" i="7"/>
  <c r="H157" i="7" s="1"/>
  <c r="F124" i="7"/>
  <c r="H124" i="7" s="1"/>
  <c r="F188" i="7"/>
  <c r="H188" i="7" s="1"/>
  <c r="F129" i="7"/>
  <c r="H129" i="7" s="1"/>
  <c r="F143" i="7"/>
  <c r="H143" i="7" s="1"/>
  <c r="F101" i="7"/>
  <c r="H101" i="7" s="1"/>
  <c r="F131" i="7"/>
  <c r="H131" i="7" s="1"/>
  <c r="F198" i="7"/>
  <c r="H198" i="7" s="1"/>
  <c r="F181" i="7"/>
  <c r="H181" i="7" s="1"/>
  <c r="F196" i="7"/>
  <c r="H196" i="7" s="1"/>
  <c r="F146" i="7"/>
  <c r="H146" i="7" s="1"/>
  <c r="F117" i="7"/>
  <c r="H117" i="7" s="1"/>
  <c r="F127" i="7"/>
  <c r="H127" i="7" s="1"/>
  <c r="F71" i="7"/>
  <c r="H71" i="7" s="1"/>
  <c r="F159" i="7"/>
  <c r="H159" i="7" s="1"/>
  <c r="F51" i="7"/>
  <c r="H51" i="7" s="1"/>
  <c r="F37" i="7"/>
  <c r="H37" i="7" s="1"/>
  <c r="F164" i="7"/>
  <c r="H164" i="7" s="1"/>
  <c r="F180" i="7"/>
  <c r="H180" i="7" s="1"/>
  <c r="F87" i="7"/>
  <c r="H87" i="7" s="1"/>
  <c r="F74" i="7"/>
  <c r="H74" i="7" s="1"/>
  <c r="F140" i="7"/>
  <c r="H140" i="7" s="1"/>
  <c r="F158" i="7"/>
  <c r="H158" i="7" s="1"/>
  <c r="F197" i="7"/>
  <c r="H197" i="7" s="1"/>
  <c r="F134" i="7"/>
  <c r="H134" i="7" s="1"/>
  <c r="F148" i="7"/>
  <c r="H148" i="7" s="1"/>
  <c r="F174" i="7"/>
  <c r="H174" i="7" s="1"/>
  <c r="F154" i="7"/>
  <c r="H154" i="7" s="1"/>
  <c r="F184" i="7"/>
  <c r="H184" i="7" s="1"/>
  <c r="F168" i="7"/>
  <c r="H168" i="7" s="1"/>
  <c r="F170" i="7"/>
  <c r="H170" i="7" s="1"/>
  <c r="F189" i="7"/>
  <c r="H189" i="7" s="1"/>
  <c r="F109" i="7"/>
  <c r="H109" i="7" s="1"/>
  <c r="F192" i="7"/>
  <c r="H192" i="7" s="1"/>
  <c r="F172" i="7"/>
  <c r="H172" i="7" s="1"/>
  <c r="F186" i="7"/>
  <c r="H186" i="7" s="1"/>
  <c r="F161" i="7"/>
  <c r="H161" i="7" s="1"/>
  <c r="F187" i="7"/>
  <c r="H187" i="7" s="1"/>
  <c r="F169" i="7"/>
  <c r="H169" i="7" s="1"/>
  <c r="F67" i="7"/>
  <c r="H67" i="7" s="1"/>
  <c r="F165" i="7"/>
  <c r="H165" i="7" s="1"/>
  <c r="F160" i="7"/>
  <c r="H160" i="7" s="1"/>
  <c r="F193" i="7"/>
  <c r="H193" i="7" s="1"/>
  <c r="F77" i="7"/>
  <c r="H77" i="7" s="1"/>
  <c r="F99" i="7"/>
  <c r="H99" i="7" s="1"/>
  <c r="F136" i="7"/>
  <c r="H136" i="7" s="1"/>
  <c r="F128" i="7"/>
  <c r="H128" i="7" s="1"/>
  <c r="F114" i="7"/>
  <c r="H114" i="7" s="1"/>
  <c r="H94" i="7"/>
  <c r="F12" i="7"/>
  <c r="H12" i="7" s="1"/>
  <c r="F32" i="7"/>
  <c r="H32" i="7" s="1"/>
  <c r="F2" i="7"/>
  <c r="H2" i="7" s="1"/>
  <c r="F85" i="7"/>
  <c r="H85" i="7" s="1"/>
  <c r="F23" i="7"/>
  <c r="H23" i="7" s="1"/>
  <c r="F107" i="7"/>
  <c r="H107" i="7" s="1"/>
  <c r="F102" i="7"/>
  <c r="H102" i="7" s="1"/>
  <c r="F33" i="7"/>
  <c r="H33" i="7" s="1"/>
  <c r="F29" i="7"/>
  <c r="H29" i="7" s="1"/>
  <c r="F19" i="7"/>
  <c r="H19" i="7" s="1"/>
  <c r="F30" i="7"/>
  <c r="H30" i="7" s="1"/>
  <c r="F22" i="7"/>
  <c r="H22" i="7" s="1"/>
  <c r="F45" i="7"/>
  <c r="H45" i="7" s="1"/>
  <c r="F20" i="7"/>
  <c r="H20" i="7" s="1"/>
  <c r="F9" i="7"/>
  <c r="H9" i="7" s="1"/>
  <c r="F24" i="7"/>
  <c r="H24" i="7" s="1"/>
  <c r="F18" i="7"/>
  <c r="H18" i="7" s="1"/>
  <c r="F135" i="7"/>
  <c r="H135" i="7" s="1"/>
  <c r="F119" i="7"/>
  <c r="H119" i="7" s="1"/>
  <c r="F38" i="7"/>
  <c r="H54" i="7"/>
  <c r="H53" i="7"/>
  <c r="F47" i="7"/>
  <c r="H47" i="7" s="1"/>
  <c r="H110" i="7"/>
  <c r="H122" i="7"/>
  <c r="H121" i="7"/>
  <c r="H171" i="7"/>
  <c r="G7" i="7"/>
  <c r="H7" i="7" s="1"/>
  <c r="A1" i="6"/>
  <c r="B1" i="6"/>
  <c r="C1" i="6"/>
  <c r="B24" i="6"/>
  <c r="A24" i="6"/>
  <c r="B23" i="6"/>
  <c r="A23" i="6"/>
  <c r="B26" i="6"/>
  <c r="A26" i="6"/>
  <c r="B25" i="6"/>
  <c r="A25" i="6"/>
  <c r="B22" i="6"/>
  <c r="A22" i="6"/>
  <c r="B21" i="6"/>
  <c r="A21" i="6"/>
  <c r="B20" i="6"/>
  <c r="A20" i="6"/>
  <c r="B19" i="6"/>
  <c r="A19" i="6"/>
  <c r="B18" i="6"/>
  <c r="A18" i="6"/>
  <c r="B17" i="6"/>
  <c r="A17" i="6"/>
  <c r="B16" i="6"/>
  <c r="A16" i="6"/>
  <c r="B15" i="6"/>
  <c r="A15" i="6"/>
  <c r="B14" i="6"/>
  <c r="A14" i="6"/>
  <c r="B13" i="6"/>
  <c r="A13" i="6"/>
  <c r="B12" i="6"/>
  <c r="A12" i="6"/>
  <c r="B11" i="6"/>
  <c r="A11" i="6"/>
  <c r="B10" i="6"/>
  <c r="A10" i="6"/>
  <c r="B9" i="6"/>
  <c r="A9" i="6"/>
  <c r="B8" i="6"/>
  <c r="A8" i="6"/>
  <c r="B7" i="6"/>
  <c r="A7" i="6"/>
  <c r="A6" i="6"/>
  <c r="B6" i="6"/>
  <c r="F224" i="1"/>
  <c r="H224" i="1" s="1"/>
  <c r="F223" i="1"/>
  <c r="H223" i="1" s="1"/>
  <c r="F222" i="1"/>
  <c r="B556" i="5"/>
  <c r="B555" i="5"/>
  <c r="D553" i="5"/>
  <c r="D552" i="5"/>
  <c r="B551" i="5"/>
  <c r="F17" i="1"/>
  <c r="H13" i="1"/>
  <c r="H45" i="1"/>
  <c r="F161" i="5"/>
  <c r="F162" i="5"/>
  <c r="F164" i="5"/>
  <c r="F165" i="5"/>
  <c r="E161" i="5"/>
  <c r="E162" i="5"/>
  <c r="E164" i="5"/>
  <c r="E165" i="5"/>
  <c r="Q319" i="5"/>
  <c r="N319" i="5"/>
  <c r="K319" i="5"/>
  <c r="H319" i="5"/>
  <c r="E319" i="5"/>
  <c r="R319" i="5" s="1"/>
  <c r="F157" i="1" s="1"/>
  <c r="Q318" i="5"/>
  <c r="N318" i="5"/>
  <c r="K318" i="5"/>
  <c r="H318" i="5"/>
  <c r="E318" i="5"/>
  <c r="R318" i="5" s="1"/>
  <c r="F156" i="1" s="1"/>
  <c r="Q317" i="5"/>
  <c r="N317" i="5"/>
  <c r="K317" i="5"/>
  <c r="H317" i="5"/>
  <c r="E317" i="5"/>
  <c r="R317" i="5" s="1"/>
  <c r="F155" i="1" s="1"/>
  <c r="Q316" i="5"/>
  <c r="N316" i="5"/>
  <c r="K316" i="5"/>
  <c r="H316" i="5"/>
  <c r="E316" i="5"/>
  <c r="R316" i="5" s="1"/>
  <c r="F154" i="1" s="1"/>
  <c r="Q315" i="5"/>
  <c r="N315" i="5"/>
  <c r="K315" i="5"/>
  <c r="H315" i="5"/>
  <c r="E315" i="5"/>
  <c r="R315" i="5" s="1"/>
  <c r="F153" i="1" s="1"/>
  <c r="Q314" i="5"/>
  <c r="N314" i="5"/>
  <c r="K314" i="5"/>
  <c r="H314" i="5"/>
  <c r="E314" i="5"/>
  <c r="R314" i="5" s="1"/>
  <c r="F152" i="1" s="1"/>
  <c r="H153" i="1"/>
  <c r="H154" i="1"/>
  <c r="H155" i="1"/>
  <c r="H156" i="1"/>
  <c r="H157" i="1"/>
  <c r="H152" i="1"/>
  <c r="H151" i="1" s="1"/>
  <c r="C15" i="6" s="1"/>
  <c r="D15" i="6" s="1"/>
  <c r="E15" i="6" s="1"/>
  <c r="C163" i="5"/>
  <c r="B163" i="5"/>
  <c r="B160" i="5"/>
  <c r="B166" i="5"/>
  <c r="H166" i="5"/>
  <c r="G166" i="5"/>
  <c r="C160" i="5"/>
  <c r="C166" i="5"/>
  <c r="F529" i="5"/>
  <c r="B14" i="5"/>
  <c r="D12" i="5"/>
  <c r="D13" i="5"/>
  <c r="D11" i="5"/>
  <c r="D14" i="5" s="1"/>
  <c r="D15" i="5" s="1"/>
  <c r="D218" i="5"/>
  <c r="D215" i="5"/>
  <c r="D214" i="5"/>
  <c r="D213" i="5"/>
  <c r="D216" i="5" s="1"/>
  <c r="D219" i="5" s="1"/>
  <c r="L439" i="5"/>
  <c r="F200" i="1" s="1"/>
  <c r="H200" i="1" s="1"/>
  <c r="K439" i="5"/>
  <c r="F199" i="1" s="1"/>
  <c r="H199" i="1" s="1"/>
  <c r="J439" i="5"/>
  <c r="F198" i="1" s="1"/>
  <c r="H198" i="1" s="1"/>
  <c r="I439" i="5"/>
  <c r="F197" i="1" s="1"/>
  <c r="H439" i="5"/>
  <c r="F196" i="1" s="1"/>
  <c r="H196" i="1" s="1"/>
  <c r="G439" i="5"/>
  <c r="F195" i="1" s="1"/>
  <c r="H195" i="1" s="1"/>
  <c r="F439" i="5"/>
  <c r="F194" i="1" s="1"/>
  <c r="H194" i="1" s="1"/>
  <c r="E439" i="5"/>
  <c r="F193" i="1" s="1"/>
  <c r="D439" i="5"/>
  <c r="F192" i="1" s="1"/>
  <c r="H192" i="1" s="1"/>
  <c r="C439" i="5"/>
  <c r="F191" i="1" s="1"/>
  <c r="F545" i="5"/>
  <c r="F546" i="5"/>
  <c r="F543" i="5"/>
  <c r="F541" i="5"/>
  <c r="F542" i="5"/>
  <c r="F544" i="5"/>
  <c r="F540" i="5"/>
  <c r="F538" i="5"/>
  <c r="F539" i="5"/>
  <c r="F526" i="5"/>
  <c r="F527" i="5"/>
  <c r="F528" i="5"/>
  <c r="K499" i="5"/>
  <c r="M502" i="5"/>
  <c r="D525" i="5" s="1"/>
  <c r="F525" i="5" s="1"/>
  <c r="C537" i="5"/>
  <c r="C536" i="5"/>
  <c r="C535" i="5"/>
  <c r="C534" i="5"/>
  <c r="C533" i="5"/>
  <c r="C532" i="5"/>
  <c r="C531" i="5"/>
  <c r="C530" i="5"/>
  <c r="J502" i="5"/>
  <c r="K502" i="5"/>
  <c r="D523" i="5" s="1"/>
  <c r="F523" i="5" s="1"/>
  <c r="L502" i="5"/>
  <c r="D524" i="5"/>
  <c r="F524" i="5" s="1"/>
  <c r="C524" i="5"/>
  <c r="C523" i="5"/>
  <c r="D522" i="5"/>
  <c r="F522" i="5" s="1"/>
  <c r="C522" i="5"/>
  <c r="C521" i="5"/>
  <c r="C520" i="5"/>
  <c r="C518" i="5"/>
  <c r="C517" i="5"/>
  <c r="C516" i="5"/>
  <c r="C515" i="5"/>
  <c r="J511" i="5"/>
  <c r="F537" i="5" s="1"/>
  <c r="D502" i="5"/>
  <c r="D516" i="5" s="1"/>
  <c r="F516" i="5" s="1"/>
  <c r="E502" i="5"/>
  <c r="D517" i="5" s="1"/>
  <c r="F517" i="5" s="1"/>
  <c r="F502" i="5"/>
  <c r="D518" i="5" s="1"/>
  <c r="F518" i="5" s="1"/>
  <c r="G502" i="5"/>
  <c r="D519" i="5" s="1"/>
  <c r="F519" i="5" s="1"/>
  <c r="H502" i="5"/>
  <c r="D520" i="5" s="1"/>
  <c r="F520" i="5" s="1"/>
  <c r="I502" i="5"/>
  <c r="D521" i="5" s="1"/>
  <c r="F521" i="5" s="1"/>
  <c r="C502" i="5"/>
  <c r="D515" i="5" s="1"/>
  <c r="F515" i="5" s="1"/>
  <c r="G511" i="5"/>
  <c r="D534" i="5" s="1"/>
  <c r="F534" i="5" s="1"/>
  <c r="I511" i="5"/>
  <c r="D536" i="5" s="1"/>
  <c r="F536" i="5" s="1"/>
  <c r="H511" i="5"/>
  <c r="D535" i="5" s="1"/>
  <c r="F535" i="5" s="1"/>
  <c r="D511" i="5"/>
  <c r="D531" i="5" s="1"/>
  <c r="F531" i="5" s="1"/>
  <c r="E511" i="5"/>
  <c r="D532" i="5" s="1"/>
  <c r="F532" i="5" s="1"/>
  <c r="F511" i="5"/>
  <c r="D533" i="5" s="1"/>
  <c r="F533" i="5" s="1"/>
  <c r="C511" i="5"/>
  <c r="D530" i="5" s="1"/>
  <c r="F530" i="5" s="1"/>
  <c r="B502" i="5"/>
  <c r="I492" i="5"/>
  <c r="H492" i="5"/>
  <c r="G492" i="5"/>
  <c r="F492" i="5"/>
  <c r="D490" i="5"/>
  <c r="D491" i="5"/>
  <c r="D492" i="5"/>
  <c r="D489" i="5"/>
  <c r="C493" i="5"/>
  <c r="F212" i="1" s="1"/>
  <c r="D493" i="5"/>
  <c r="F213" i="1" s="1"/>
  <c r="E493" i="5"/>
  <c r="F214" i="1" s="1"/>
  <c r="F493" i="5"/>
  <c r="F215" i="1" s="1"/>
  <c r="F228" i="1" s="1"/>
  <c r="H228" i="1" s="1"/>
  <c r="G493" i="5"/>
  <c r="F216" i="1" s="1"/>
  <c r="H493" i="5"/>
  <c r="F217" i="1" s="1"/>
  <c r="I493" i="5"/>
  <c r="F218" i="1" s="1"/>
  <c r="B493" i="5"/>
  <c r="F211" i="1" s="1"/>
  <c r="F227" i="1" s="1"/>
  <c r="H227" i="1" s="1"/>
  <c r="H217" i="1"/>
  <c r="H218" i="1"/>
  <c r="H213" i="1"/>
  <c r="H212" i="1"/>
  <c r="F209" i="1"/>
  <c r="H209" i="1"/>
  <c r="C482" i="5"/>
  <c r="C483" i="5"/>
  <c r="F189" i="1" s="1"/>
  <c r="H189" i="1" s="1"/>
  <c r="H148" i="1"/>
  <c r="E143" i="1"/>
  <c r="E144" i="1"/>
  <c r="E145" i="1"/>
  <c r="E146" i="1"/>
  <c r="D143" i="1"/>
  <c r="D144" i="1"/>
  <c r="D145" i="1"/>
  <c r="D146" i="1"/>
  <c r="Q309" i="5"/>
  <c r="N309" i="5"/>
  <c r="K309" i="5"/>
  <c r="H309" i="5"/>
  <c r="E309" i="5"/>
  <c r="R309" i="5" s="1"/>
  <c r="F146" i="1" s="1"/>
  <c r="H146" i="1" s="1"/>
  <c r="Q308" i="5"/>
  <c r="N308" i="5"/>
  <c r="K308" i="5"/>
  <c r="H308" i="5"/>
  <c r="E308" i="5"/>
  <c r="R308" i="5" s="1"/>
  <c r="F145" i="1" s="1"/>
  <c r="H145" i="1" s="1"/>
  <c r="Q307" i="5"/>
  <c r="N307" i="5"/>
  <c r="K307" i="5"/>
  <c r="H307" i="5"/>
  <c r="E307" i="5"/>
  <c r="Q306" i="5"/>
  <c r="N306" i="5"/>
  <c r="K306" i="5"/>
  <c r="H306" i="5"/>
  <c r="E306" i="5"/>
  <c r="H120" i="1"/>
  <c r="H121" i="1"/>
  <c r="H112" i="1"/>
  <c r="H168" i="1"/>
  <c r="D133" i="5"/>
  <c r="D374" i="5"/>
  <c r="C374" i="5"/>
  <c r="F372" i="5"/>
  <c r="F373" i="5"/>
  <c r="F374" i="5"/>
  <c r="F375" i="5"/>
  <c r="F376" i="5"/>
  <c r="F377" i="5"/>
  <c r="F378" i="5"/>
  <c r="F379" i="5"/>
  <c r="F380" i="5"/>
  <c r="F381" i="5"/>
  <c r="F371" i="5"/>
  <c r="F382" i="5" s="1"/>
  <c r="F173" i="1" s="1"/>
  <c r="J485" i="5"/>
  <c r="K471" i="5"/>
  <c r="K477" i="5"/>
  <c r="J477" i="5"/>
  <c r="I477" i="5"/>
  <c r="E443" i="5"/>
  <c r="K444" i="5"/>
  <c r="K445" i="5"/>
  <c r="K446" i="5"/>
  <c r="K447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2" i="5"/>
  <c r="K473" i="5"/>
  <c r="K474" i="5"/>
  <c r="K475" i="5"/>
  <c r="K476" i="5"/>
  <c r="K478" i="5"/>
  <c r="K443" i="5"/>
  <c r="E448" i="5"/>
  <c r="K448" i="5" s="1"/>
  <c r="E449" i="5"/>
  <c r="K449" i="5" s="1"/>
  <c r="C447" i="5"/>
  <c r="D447" i="5"/>
  <c r="J478" i="5"/>
  <c r="I478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J443" i="5"/>
  <c r="I443" i="5"/>
  <c r="D428" i="5"/>
  <c r="F184" i="1" s="1"/>
  <c r="C428" i="5"/>
  <c r="F183" i="1"/>
  <c r="H184" i="1"/>
  <c r="H185" i="1"/>
  <c r="C413" i="5"/>
  <c r="E413" i="5"/>
  <c r="E414" i="5"/>
  <c r="E415" i="5"/>
  <c r="E416" i="5"/>
  <c r="E417" i="5"/>
  <c r="E418" i="5"/>
  <c r="C410" i="5"/>
  <c r="C406" i="5"/>
  <c r="C405" i="5"/>
  <c r="E402" i="5"/>
  <c r="E403" i="5"/>
  <c r="E404" i="5"/>
  <c r="E405" i="5"/>
  <c r="E406" i="5"/>
  <c r="E407" i="5"/>
  <c r="E408" i="5"/>
  <c r="E409" i="5"/>
  <c r="E410" i="5"/>
  <c r="E411" i="5"/>
  <c r="E412" i="5"/>
  <c r="E388" i="5"/>
  <c r="C390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C387" i="5"/>
  <c r="E387" i="5" s="1"/>
  <c r="C386" i="5"/>
  <c r="E386" i="5" s="1"/>
  <c r="C385" i="5"/>
  <c r="E385" i="5"/>
  <c r="B367" i="5"/>
  <c r="H367" i="5" s="1"/>
  <c r="G368" i="5"/>
  <c r="F175" i="1" s="1"/>
  <c r="H368" i="5"/>
  <c r="K367" i="5"/>
  <c r="K368" i="5" s="1"/>
  <c r="J367" i="5"/>
  <c r="J368" i="5" s="1"/>
  <c r="F177" i="1" s="1"/>
  <c r="I367" i="5"/>
  <c r="I368" i="5" s="1"/>
  <c r="L363" i="5"/>
  <c r="L364" i="5"/>
  <c r="B366" i="5"/>
  <c r="L366" i="5" s="1"/>
  <c r="F363" i="5"/>
  <c r="F364" i="5"/>
  <c r="F365" i="5"/>
  <c r="F366" i="5"/>
  <c r="E363" i="5"/>
  <c r="E364" i="5"/>
  <c r="E365" i="5"/>
  <c r="E366" i="5"/>
  <c r="C363" i="5"/>
  <c r="C364" i="5"/>
  <c r="C365" i="5"/>
  <c r="C366" i="5"/>
  <c r="D363" i="5"/>
  <c r="D364" i="5"/>
  <c r="D365" i="5"/>
  <c r="D366" i="5"/>
  <c r="B61" i="4"/>
  <c r="D61" i="4" s="1"/>
  <c r="B362" i="5"/>
  <c r="H175" i="1"/>
  <c r="H177" i="1"/>
  <c r="H149" i="1"/>
  <c r="H150" i="1"/>
  <c r="E353" i="5"/>
  <c r="E354" i="5"/>
  <c r="E355" i="5"/>
  <c r="E356" i="5"/>
  <c r="D352" i="5"/>
  <c r="E352" i="5" s="1"/>
  <c r="D351" i="5"/>
  <c r="E351" i="5" s="1"/>
  <c r="D350" i="5"/>
  <c r="E350" i="5" s="1"/>
  <c r="D349" i="5"/>
  <c r="E349" i="5" s="1"/>
  <c r="D348" i="5"/>
  <c r="E348" i="5" s="1"/>
  <c r="D347" i="5"/>
  <c r="E347" i="5" s="1"/>
  <c r="D345" i="5"/>
  <c r="E345" i="5" s="1"/>
  <c r="D346" i="5"/>
  <c r="E346" i="5" s="1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43" i="5"/>
  <c r="D344" i="5"/>
  <c r="E344" i="5" s="1"/>
  <c r="F357" i="5"/>
  <c r="F166" i="1" s="1"/>
  <c r="G357" i="5"/>
  <c r="F167" i="1" s="1"/>
  <c r="D343" i="5"/>
  <c r="B5" i="6"/>
  <c r="A5" i="6"/>
  <c r="B4" i="6"/>
  <c r="A4" i="6"/>
  <c r="B3" i="6"/>
  <c r="A3" i="6"/>
  <c r="B2" i="6"/>
  <c r="A2" i="6"/>
  <c r="E147" i="1"/>
  <c r="D147" i="1"/>
  <c r="E311" i="5"/>
  <c r="H311" i="5"/>
  <c r="K311" i="5"/>
  <c r="N311" i="5"/>
  <c r="Q311" i="5"/>
  <c r="R311" i="5"/>
  <c r="F147" i="1" s="1"/>
  <c r="H147" i="1" s="1"/>
  <c r="E310" i="5"/>
  <c r="H310" i="5"/>
  <c r="K310" i="5"/>
  <c r="N310" i="5"/>
  <c r="Q310" i="5"/>
  <c r="R310" i="5"/>
  <c r="I290" i="5"/>
  <c r="I295" i="5"/>
  <c r="I294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I297" i="5" s="1"/>
  <c r="D338" i="5"/>
  <c r="F161" i="1" s="1"/>
  <c r="D340" i="5"/>
  <c r="F163" i="1" s="1"/>
  <c r="D337" i="5"/>
  <c r="F160" i="1" s="1"/>
  <c r="D339" i="5"/>
  <c r="F162" i="1" s="1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22" i="5"/>
  <c r="I298" i="5"/>
  <c r="L293" i="5"/>
  <c r="I302" i="5"/>
  <c r="I293" i="5" s="1"/>
  <c r="N304" i="5"/>
  <c r="N305" i="5"/>
  <c r="K304" i="5"/>
  <c r="K305" i="5"/>
  <c r="H304" i="5"/>
  <c r="H305" i="5"/>
  <c r="Q304" i="5"/>
  <c r="Q305" i="5"/>
  <c r="L298" i="5"/>
  <c r="E304" i="5"/>
  <c r="R304" i="5" s="1"/>
  <c r="E305" i="5"/>
  <c r="R305" i="5" s="1"/>
  <c r="F141" i="1"/>
  <c r="H141" i="1" s="1"/>
  <c r="F142" i="1"/>
  <c r="H142" i="1" s="1"/>
  <c r="E141" i="1"/>
  <c r="E142" i="1"/>
  <c r="D141" i="1"/>
  <c r="D142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24" i="1"/>
  <c r="D140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24" i="1"/>
  <c r="O303" i="5"/>
  <c r="O294" i="5" s="1"/>
  <c r="O299" i="5"/>
  <c r="Q303" i="5"/>
  <c r="N303" i="5"/>
  <c r="K303" i="5"/>
  <c r="H303" i="5"/>
  <c r="E303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287" i="5"/>
  <c r="F298" i="5"/>
  <c r="C289" i="5"/>
  <c r="H297" i="5"/>
  <c r="K297" i="5"/>
  <c r="L292" i="5"/>
  <c r="I292" i="5"/>
  <c r="F292" i="5"/>
  <c r="C292" i="5"/>
  <c r="C297" i="5"/>
  <c r="N297" i="5"/>
  <c r="E297" i="5"/>
  <c r="C298" i="5"/>
  <c r="C299" i="5"/>
  <c r="E302" i="5"/>
  <c r="H301" i="5"/>
  <c r="E301" i="5"/>
  <c r="H299" i="5"/>
  <c r="K299" i="5" s="1"/>
  <c r="N299" i="5" s="1"/>
  <c r="E299" i="5"/>
  <c r="H298" i="5"/>
  <c r="E298" i="5"/>
  <c r="H296" i="5"/>
  <c r="K296" i="5" s="1"/>
  <c r="N296" i="5" s="1"/>
  <c r="E296" i="5"/>
  <c r="H295" i="5"/>
  <c r="K295" i="5" s="1"/>
  <c r="N295" i="5" s="1"/>
  <c r="E295" i="5"/>
  <c r="H294" i="5"/>
  <c r="E294" i="5"/>
  <c r="H292" i="5"/>
  <c r="K292" i="5" s="1"/>
  <c r="N292" i="5" s="1"/>
  <c r="E292" i="5"/>
  <c r="H291" i="5"/>
  <c r="E291" i="5"/>
  <c r="H290" i="5"/>
  <c r="K290" i="5" s="1"/>
  <c r="N290" i="5" s="1"/>
  <c r="E290" i="5"/>
  <c r="H289" i="5"/>
  <c r="K289" i="5" s="1"/>
  <c r="N289" i="5" s="1"/>
  <c r="E289" i="5"/>
  <c r="H288" i="5"/>
  <c r="K288" i="5" s="1"/>
  <c r="N288" i="5" s="1"/>
  <c r="E288" i="5"/>
  <c r="H287" i="5"/>
  <c r="K287" i="5" s="1"/>
  <c r="N287" i="5" s="1"/>
  <c r="E287" i="5"/>
  <c r="N284" i="5"/>
  <c r="H284" i="5"/>
  <c r="E284" i="5"/>
  <c r="N283" i="5"/>
  <c r="K283" i="5"/>
  <c r="H283" i="5"/>
  <c r="E283" i="5"/>
  <c r="O283" i="5" s="1"/>
  <c r="N282" i="5"/>
  <c r="K282" i="5"/>
  <c r="H282" i="5"/>
  <c r="E282" i="5"/>
  <c r="O282" i="5" s="1"/>
  <c r="F119" i="1" s="1"/>
  <c r="H119" i="1" s="1"/>
  <c r="N281" i="5"/>
  <c r="K281" i="5"/>
  <c r="H281" i="5"/>
  <c r="E281" i="5"/>
  <c r="O281" i="5" s="1"/>
  <c r="F118" i="1" s="1"/>
  <c r="H118" i="1" s="1"/>
  <c r="N280" i="5"/>
  <c r="K280" i="5"/>
  <c r="H280" i="5"/>
  <c r="E280" i="5"/>
  <c r="O280" i="5" s="1"/>
  <c r="F117" i="1" s="1"/>
  <c r="C277" i="5"/>
  <c r="F115" i="1" s="1"/>
  <c r="D277" i="5"/>
  <c r="F113" i="1" s="1"/>
  <c r="E277" i="5"/>
  <c r="F114" i="1" s="1"/>
  <c r="B277" i="5"/>
  <c r="F111" i="1" s="1"/>
  <c r="F107" i="1"/>
  <c r="F108" i="1"/>
  <c r="F109" i="1"/>
  <c r="N263" i="5"/>
  <c r="N264" i="5"/>
  <c r="N265" i="5"/>
  <c r="N266" i="5"/>
  <c r="N267" i="5"/>
  <c r="N268" i="5"/>
  <c r="N269" i="5"/>
  <c r="N270" i="5"/>
  <c r="K263" i="5"/>
  <c r="K264" i="5"/>
  <c r="K265" i="5"/>
  <c r="K266" i="5"/>
  <c r="K267" i="5"/>
  <c r="K268" i="5"/>
  <c r="K269" i="5"/>
  <c r="K270" i="5"/>
  <c r="H263" i="5"/>
  <c r="H264" i="5"/>
  <c r="H265" i="5"/>
  <c r="H266" i="5"/>
  <c r="H267" i="5"/>
  <c r="H268" i="5"/>
  <c r="H269" i="5"/>
  <c r="H270" i="5"/>
  <c r="E263" i="5"/>
  <c r="E264" i="5"/>
  <c r="E265" i="5"/>
  <c r="E266" i="5"/>
  <c r="E267" i="5"/>
  <c r="E268" i="5"/>
  <c r="E269" i="5"/>
  <c r="E270" i="5"/>
  <c r="N262" i="5"/>
  <c r="K262" i="5"/>
  <c r="E262" i="5"/>
  <c r="H262" i="5"/>
  <c r="O263" i="5"/>
  <c r="O266" i="5"/>
  <c r="O267" i="5"/>
  <c r="O268" i="5"/>
  <c r="O262" i="5"/>
  <c r="I256" i="5"/>
  <c r="I245" i="5"/>
  <c r="F245" i="5"/>
  <c r="F241" i="5"/>
  <c r="I243" i="5"/>
  <c r="I241" i="5"/>
  <c r="I230" i="5"/>
  <c r="I242" i="5"/>
  <c r="F230" i="5"/>
  <c r="C241" i="5"/>
  <c r="C230" i="5"/>
  <c r="I231" i="5"/>
  <c r="I228" i="5"/>
  <c r="L237" i="5"/>
  <c r="I237" i="5"/>
  <c r="F237" i="5"/>
  <c r="C237" i="5"/>
  <c r="L236" i="5"/>
  <c r="I236" i="5"/>
  <c r="F236" i="5"/>
  <c r="C236" i="5"/>
  <c r="L235" i="5"/>
  <c r="I235" i="5"/>
  <c r="F235" i="5"/>
  <c r="C235" i="5"/>
  <c r="L234" i="5"/>
  <c r="I234" i="5"/>
  <c r="F234" i="5"/>
  <c r="C234" i="5"/>
  <c r="I224" i="5"/>
  <c r="F224" i="5"/>
  <c r="N259" i="5"/>
  <c r="K259" i="5"/>
  <c r="H259" i="5"/>
  <c r="E259" i="5"/>
  <c r="O259" i="5" s="1"/>
  <c r="F105" i="1" s="1"/>
  <c r="N258" i="5"/>
  <c r="K258" i="5"/>
  <c r="H258" i="5"/>
  <c r="E258" i="5"/>
  <c r="O258" i="5" s="1"/>
  <c r="F104" i="1" s="1"/>
  <c r="N257" i="5"/>
  <c r="K257" i="5"/>
  <c r="H257" i="5"/>
  <c r="E257" i="5"/>
  <c r="O257" i="5" s="1"/>
  <c r="F103" i="1" s="1"/>
  <c r="N256" i="5"/>
  <c r="K256" i="5"/>
  <c r="H256" i="5"/>
  <c r="E256" i="5"/>
  <c r="O256" i="5" s="1"/>
  <c r="F102" i="1" s="1"/>
  <c r="N255" i="5"/>
  <c r="K255" i="5"/>
  <c r="H255" i="5"/>
  <c r="E255" i="5"/>
  <c r="O255" i="5" s="1"/>
  <c r="N254" i="5"/>
  <c r="K254" i="5"/>
  <c r="H254" i="5"/>
  <c r="E254" i="5"/>
  <c r="O254" i="5" s="1"/>
  <c r="F101" i="1" s="1"/>
  <c r="N253" i="5"/>
  <c r="K253" i="5"/>
  <c r="H253" i="5"/>
  <c r="E253" i="5"/>
  <c r="O253" i="5" s="1"/>
  <c r="F100" i="1" s="1"/>
  <c r="N252" i="5"/>
  <c r="K252" i="5"/>
  <c r="H252" i="5"/>
  <c r="E252" i="5"/>
  <c r="O252" i="5" s="1"/>
  <c r="N251" i="5"/>
  <c r="K251" i="5"/>
  <c r="H251" i="5"/>
  <c r="E251" i="5"/>
  <c r="O251" i="5" s="1"/>
  <c r="F99" i="1" s="1"/>
  <c r="N250" i="5"/>
  <c r="K250" i="5"/>
  <c r="H250" i="5"/>
  <c r="E250" i="5"/>
  <c r="O250" i="5" s="1"/>
  <c r="F98" i="1" s="1"/>
  <c r="N249" i="5"/>
  <c r="K249" i="5"/>
  <c r="H249" i="5"/>
  <c r="E249" i="5"/>
  <c r="O249" i="5" s="1"/>
  <c r="N248" i="5"/>
  <c r="K248" i="5"/>
  <c r="H248" i="5"/>
  <c r="E248" i="5"/>
  <c r="O248" i="5" s="1"/>
  <c r="F97" i="1" s="1"/>
  <c r="N247" i="5"/>
  <c r="K247" i="5"/>
  <c r="H247" i="5"/>
  <c r="E247" i="5"/>
  <c r="O247" i="5" s="1"/>
  <c r="N246" i="5"/>
  <c r="K246" i="5"/>
  <c r="H246" i="5"/>
  <c r="E246" i="5"/>
  <c r="O246" i="5" s="1"/>
  <c r="F96" i="1" s="1"/>
  <c r="N245" i="5"/>
  <c r="K245" i="5"/>
  <c r="H245" i="5"/>
  <c r="E245" i="5"/>
  <c r="O245" i="5" s="1"/>
  <c r="F95" i="1" s="1"/>
  <c r="N244" i="5"/>
  <c r="K244" i="5"/>
  <c r="H244" i="5"/>
  <c r="E244" i="5"/>
  <c r="O244" i="5" s="1"/>
  <c r="F94" i="1" s="1"/>
  <c r="N243" i="5"/>
  <c r="K243" i="5"/>
  <c r="H243" i="5"/>
  <c r="E243" i="5"/>
  <c r="O243" i="5" s="1"/>
  <c r="F93" i="1" s="1"/>
  <c r="N242" i="5"/>
  <c r="K242" i="5"/>
  <c r="H242" i="5"/>
  <c r="E242" i="5"/>
  <c r="O242" i="5" s="1"/>
  <c r="F92" i="1" s="1"/>
  <c r="N241" i="5"/>
  <c r="K241" i="5"/>
  <c r="H241" i="5"/>
  <c r="E241" i="5"/>
  <c r="O241" i="5" s="1"/>
  <c r="F91" i="1" s="1"/>
  <c r="N240" i="5"/>
  <c r="K240" i="5"/>
  <c r="H240" i="5"/>
  <c r="E240" i="5"/>
  <c r="O240" i="5" s="1"/>
  <c r="N239" i="5"/>
  <c r="K239" i="5"/>
  <c r="H239" i="5"/>
  <c r="E239" i="5"/>
  <c r="O239" i="5" s="1"/>
  <c r="F90" i="1" s="1"/>
  <c r="N238" i="5"/>
  <c r="K238" i="5"/>
  <c r="H238" i="5"/>
  <c r="E238" i="5"/>
  <c r="O238" i="5" s="1"/>
  <c r="N237" i="5"/>
  <c r="K237" i="5"/>
  <c r="H237" i="5"/>
  <c r="E237" i="5"/>
  <c r="O237" i="5" s="1"/>
  <c r="F89" i="1" s="1"/>
  <c r="N236" i="5"/>
  <c r="K236" i="5"/>
  <c r="H236" i="5"/>
  <c r="E236" i="5"/>
  <c r="O236" i="5" s="1"/>
  <c r="F88" i="1" s="1"/>
  <c r="N235" i="5"/>
  <c r="K235" i="5"/>
  <c r="H235" i="5"/>
  <c r="E235" i="5"/>
  <c r="O235" i="5" s="1"/>
  <c r="F87" i="1" s="1"/>
  <c r="N234" i="5"/>
  <c r="K234" i="5"/>
  <c r="H234" i="5"/>
  <c r="E234" i="5"/>
  <c r="O234" i="5" s="1"/>
  <c r="F86" i="1" s="1"/>
  <c r="N233" i="5"/>
  <c r="K233" i="5"/>
  <c r="H233" i="5"/>
  <c r="E233" i="5"/>
  <c r="O233" i="5" s="1"/>
  <c r="F85" i="1" s="1"/>
  <c r="N232" i="5"/>
  <c r="K232" i="5"/>
  <c r="H232" i="5"/>
  <c r="E232" i="5"/>
  <c r="O232" i="5" s="1"/>
  <c r="N231" i="5"/>
  <c r="K231" i="5"/>
  <c r="H231" i="5"/>
  <c r="E231" i="5"/>
  <c r="O231" i="5" s="1"/>
  <c r="F84" i="1" s="1"/>
  <c r="N230" i="5"/>
  <c r="K230" i="5"/>
  <c r="H230" i="5"/>
  <c r="E230" i="5"/>
  <c r="O230" i="5" s="1"/>
  <c r="F83" i="1" s="1"/>
  <c r="N229" i="5"/>
  <c r="K229" i="5"/>
  <c r="H229" i="5"/>
  <c r="E229" i="5"/>
  <c r="O229" i="5" s="1"/>
  <c r="F82" i="1" s="1"/>
  <c r="N228" i="5"/>
  <c r="K228" i="5"/>
  <c r="H228" i="5"/>
  <c r="E228" i="5"/>
  <c r="O228" i="5" s="1"/>
  <c r="F81" i="1" s="1"/>
  <c r="N227" i="5"/>
  <c r="K227" i="5"/>
  <c r="H227" i="5"/>
  <c r="E227" i="5"/>
  <c r="O227" i="5" s="1"/>
  <c r="F80" i="1" s="1"/>
  <c r="N226" i="5"/>
  <c r="K226" i="5"/>
  <c r="H226" i="5"/>
  <c r="E226" i="5"/>
  <c r="O226" i="5" s="1"/>
  <c r="N225" i="5"/>
  <c r="K225" i="5"/>
  <c r="H225" i="5"/>
  <c r="E225" i="5"/>
  <c r="O225" i="5" s="1"/>
  <c r="N224" i="5"/>
  <c r="K224" i="5"/>
  <c r="H224" i="5"/>
  <c r="E224" i="5"/>
  <c r="O224" i="5" s="1"/>
  <c r="F79" i="1" s="1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170" i="5"/>
  <c r="I172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E171" i="5"/>
  <c r="O171" i="5" s="1"/>
  <c r="E172" i="5"/>
  <c r="O172" i="5" s="1"/>
  <c r="F49" i="1" s="1"/>
  <c r="E173" i="5"/>
  <c r="O173" i="5" s="1"/>
  <c r="F50" i="1" s="1"/>
  <c r="E174" i="5"/>
  <c r="O174" i="5" s="1"/>
  <c r="F51" i="1" s="1"/>
  <c r="E175" i="5"/>
  <c r="O175" i="5" s="1"/>
  <c r="F52" i="1" s="1"/>
  <c r="E176" i="5"/>
  <c r="O176" i="5" s="1"/>
  <c r="E177" i="5"/>
  <c r="O177" i="5" s="1"/>
  <c r="F53" i="1" s="1"/>
  <c r="E178" i="5"/>
  <c r="O178" i="5" s="1"/>
  <c r="F54" i="1" s="1"/>
  <c r="E179" i="5"/>
  <c r="O179" i="5" s="1"/>
  <c r="F55" i="1" s="1"/>
  <c r="E180" i="5"/>
  <c r="O180" i="5" s="1"/>
  <c r="E181" i="5"/>
  <c r="O181" i="5" s="1"/>
  <c r="F56" i="1" s="1"/>
  <c r="E182" i="5"/>
  <c r="O182" i="5" s="1"/>
  <c r="F57" i="1" s="1"/>
  <c r="E183" i="5"/>
  <c r="O183" i="5" s="1"/>
  <c r="F58" i="1" s="1"/>
  <c r="E184" i="5"/>
  <c r="O184" i="5" s="1"/>
  <c r="F59" i="1" s="1"/>
  <c r="E185" i="5"/>
  <c r="O185" i="5" s="1"/>
  <c r="F60" i="1" s="1"/>
  <c r="E186" i="5"/>
  <c r="O186" i="5" s="1"/>
  <c r="F61" i="1" s="1"/>
  <c r="E187" i="5"/>
  <c r="O187" i="5" s="1"/>
  <c r="F62" i="1" s="1"/>
  <c r="E188" i="5"/>
  <c r="O188" i="5" s="1"/>
  <c r="F63" i="1" s="1"/>
  <c r="E189" i="5"/>
  <c r="O189" i="5" s="1"/>
  <c r="F64" i="1" s="1"/>
  <c r="E190" i="5"/>
  <c r="O190" i="5" s="1"/>
  <c r="F65" i="1" s="1"/>
  <c r="E191" i="5"/>
  <c r="O191" i="5" s="1"/>
  <c r="F66" i="1" s="1"/>
  <c r="E192" i="5"/>
  <c r="O192" i="5" s="1"/>
  <c r="E193" i="5"/>
  <c r="O193" i="5" s="1"/>
  <c r="F67" i="1" s="1"/>
  <c r="E194" i="5"/>
  <c r="O194" i="5" s="1"/>
  <c r="E195" i="5"/>
  <c r="O195" i="5" s="1"/>
  <c r="F68" i="1" s="1"/>
  <c r="E196" i="5"/>
  <c r="O196" i="5" s="1"/>
  <c r="E197" i="5"/>
  <c r="O197" i="5" s="1"/>
  <c r="E198" i="5"/>
  <c r="O198" i="5" s="1"/>
  <c r="E199" i="5"/>
  <c r="O199" i="5" s="1"/>
  <c r="E200" i="5"/>
  <c r="O200" i="5" s="1"/>
  <c r="E201" i="5"/>
  <c r="O201" i="5" s="1"/>
  <c r="F69" i="1" s="1"/>
  <c r="E202" i="5"/>
  <c r="O202" i="5" s="1"/>
  <c r="F70" i="1" s="1"/>
  <c r="E203" i="5"/>
  <c r="O203" i="5" s="1"/>
  <c r="F71" i="1" s="1"/>
  <c r="E204" i="5"/>
  <c r="O204" i="5" s="1"/>
  <c r="E205" i="5"/>
  <c r="O205" i="5" s="1"/>
  <c r="F72" i="1" s="1"/>
  <c r="E206" i="5"/>
  <c r="O206" i="5" s="1"/>
  <c r="F73" i="1" s="1"/>
  <c r="E207" i="5"/>
  <c r="O207" i="5" s="1"/>
  <c r="F74" i="1" s="1"/>
  <c r="E208" i="5"/>
  <c r="O208" i="5" s="1"/>
  <c r="F75" i="1" s="1"/>
  <c r="E209" i="5"/>
  <c r="O209" i="5" s="1"/>
  <c r="F76" i="1" s="1"/>
  <c r="E210" i="5"/>
  <c r="O210" i="5" s="1"/>
  <c r="F77" i="1" s="1"/>
  <c r="K170" i="5"/>
  <c r="H170" i="5"/>
  <c r="E170" i="5"/>
  <c r="O170" i="5" s="1"/>
  <c r="B148" i="5"/>
  <c r="F42" i="1" s="1"/>
  <c r="H42" i="1" s="1"/>
  <c r="G129" i="5"/>
  <c r="G128" i="5"/>
  <c r="G127" i="5"/>
  <c r="G130" i="5" s="1"/>
  <c r="F39" i="1" s="1"/>
  <c r="H39" i="1" s="1"/>
  <c r="B106" i="5"/>
  <c r="G106" i="5" s="1"/>
  <c r="G108" i="5" s="1"/>
  <c r="B123" i="5"/>
  <c r="G123" i="5" s="1"/>
  <c r="C116" i="5"/>
  <c r="B116" i="5"/>
  <c r="F116" i="5"/>
  <c r="G122" i="5"/>
  <c r="G121" i="5"/>
  <c r="G124" i="5" s="1"/>
  <c r="F38" i="1" s="1"/>
  <c r="H38" i="1" s="1"/>
  <c r="C113" i="5"/>
  <c r="F113" i="5" s="1"/>
  <c r="B112" i="5"/>
  <c r="F112" i="5"/>
  <c r="B87" i="5"/>
  <c r="B88" i="5"/>
  <c r="F88" i="5"/>
  <c r="C89" i="5"/>
  <c r="F89" i="5"/>
  <c r="C104" i="5"/>
  <c r="B104" i="5"/>
  <c r="G105" i="5"/>
  <c r="D74" i="5"/>
  <c r="D75" i="5"/>
  <c r="D76" i="5"/>
  <c r="D77" i="5"/>
  <c r="D78" i="5"/>
  <c r="D73" i="5"/>
  <c r="G100" i="5"/>
  <c r="G99" i="5"/>
  <c r="G101" i="5" s="1"/>
  <c r="F30" i="1" s="1"/>
  <c r="G95" i="5"/>
  <c r="B83" i="5"/>
  <c r="F83" i="5" s="1"/>
  <c r="B82" i="5"/>
  <c r="F60" i="5"/>
  <c r="F50" i="5"/>
  <c r="F49" i="5"/>
  <c r="F48" i="5"/>
  <c r="F47" i="5"/>
  <c r="F46" i="5"/>
  <c r="F45" i="5"/>
  <c r="F44" i="5"/>
  <c r="F51" i="5" s="1"/>
  <c r="F22" i="1" s="1"/>
  <c r="H39" i="5"/>
  <c r="D40" i="5" s="1"/>
  <c r="F40" i="5"/>
  <c r="F41" i="5" s="1"/>
  <c r="B22" i="5"/>
  <c r="B28" i="5" s="1"/>
  <c r="E21" i="5"/>
  <c r="F78" i="5"/>
  <c r="F77" i="5"/>
  <c r="F76" i="5"/>
  <c r="F75" i="5"/>
  <c r="F74" i="5"/>
  <c r="F73" i="5"/>
  <c r="F79" i="5" s="1"/>
  <c r="F25" i="1" s="1"/>
  <c r="F69" i="5"/>
  <c r="F68" i="5"/>
  <c r="F67" i="5"/>
  <c r="F66" i="5"/>
  <c r="F65" i="5"/>
  <c r="F64" i="5"/>
  <c r="F70" i="5" s="1"/>
  <c r="F24" i="1" s="1"/>
  <c r="F36" i="5"/>
  <c r="F35" i="5"/>
  <c r="F34" i="5"/>
  <c r="F33" i="5"/>
  <c r="F32" i="5"/>
  <c r="F31" i="5"/>
  <c r="F37" i="5" s="1"/>
  <c r="F21" i="1" s="1"/>
  <c r="F31" i="1" s="1"/>
  <c r="F55" i="5"/>
  <c r="F56" i="5"/>
  <c r="F57" i="5"/>
  <c r="F58" i="5"/>
  <c r="F59" i="5"/>
  <c r="F54" i="5"/>
  <c r="F61" i="5" s="1"/>
  <c r="F23" i="1" s="1"/>
  <c r="D152" i="5"/>
  <c r="D153" i="5"/>
  <c r="D154" i="5"/>
  <c r="D155" i="5"/>
  <c r="D156" i="5"/>
  <c r="D151" i="5"/>
  <c r="D143" i="5"/>
  <c r="D144" i="5"/>
  <c r="D145" i="5"/>
  <c r="D146" i="5"/>
  <c r="D147" i="5"/>
  <c r="D142" i="5"/>
  <c r="D134" i="5"/>
  <c r="D135" i="5"/>
  <c r="D136" i="5"/>
  <c r="D137" i="5"/>
  <c r="D138" i="5"/>
  <c r="F156" i="5"/>
  <c r="F155" i="5"/>
  <c r="F154" i="5"/>
  <c r="F153" i="5"/>
  <c r="F152" i="5"/>
  <c r="F151" i="5"/>
  <c r="F157" i="5" s="1"/>
  <c r="F143" i="5"/>
  <c r="F144" i="5"/>
  <c r="F145" i="5"/>
  <c r="F146" i="5"/>
  <c r="F147" i="5"/>
  <c r="F142" i="5"/>
  <c r="F148" i="5" s="1"/>
  <c r="B10" i="4"/>
  <c r="B11" i="4"/>
  <c r="B1" i="4"/>
  <c r="I11" i="2"/>
  <c r="F10" i="2"/>
  <c r="I10" i="2" s="1"/>
  <c r="I7" i="2"/>
  <c r="I2" i="2"/>
  <c r="I6" i="2"/>
  <c r="I3" i="2"/>
  <c r="I4" i="2"/>
  <c r="I5" i="2"/>
  <c r="I8" i="2"/>
  <c r="I12" i="2"/>
  <c r="I12" i="12" l="1"/>
  <c r="I11" i="12"/>
  <c r="I18" i="12"/>
  <c r="I10" i="12"/>
  <c r="I16" i="12"/>
  <c r="I8" i="12"/>
  <c r="I15" i="12"/>
  <c r="I7" i="12"/>
  <c r="I14" i="12"/>
  <c r="I6" i="12"/>
  <c r="I13" i="12"/>
  <c r="I5" i="12"/>
  <c r="I4" i="12"/>
  <c r="I19" i="12" s="1"/>
  <c r="I17" i="12"/>
  <c r="I9" i="12"/>
  <c r="C7" i="12"/>
  <c r="E2" i="11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G58" i="9"/>
  <c r="J3" i="9"/>
  <c r="J4" i="9" s="1"/>
  <c r="J5" i="9" s="1"/>
  <c r="J6" i="9" s="1"/>
  <c r="F50" i="7"/>
  <c r="H50" i="7" s="1"/>
  <c r="H38" i="7"/>
  <c r="F57" i="7"/>
  <c r="H57" i="7" s="1"/>
  <c r="H27" i="7"/>
  <c r="F55" i="7"/>
  <c r="H55" i="7" s="1"/>
  <c r="H76" i="7"/>
  <c r="F163" i="7"/>
  <c r="H163" i="7" s="1"/>
  <c r="H40" i="7"/>
  <c r="F66" i="7"/>
  <c r="H66" i="7" s="1"/>
  <c r="H90" i="7"/>
  <c r="H197" i="1"/>
  <c r="F226" i="1"/>
  <c r="H226" i="1" s="1"/>
  <c r="H193" i="1"/>
  <c r="F225" i="1"/>
  <c r="H225" i="1" s="1"/>
  <c r="F176" i="1"/>
  <c r="H176" i="1" s="1"/>
  <c r="F160" i="5"/>
  <c r="E160" i="5"/>
  <c r="F163" i="5"/>
  <c r="E163" i="5"/>
  <c r="D551" i="5"/>
  <c r="D555" i="5"/>
  <c r="C556" i="5"/>
  <c r="C557" i="5" s="1"/>
  <c r="D220" i="5"/>
  <c r="F547" i="5"/>
  <c r="G220" i="1" s="1"/>
  <c r="H220" i="1" s="1"/>
  <c r="H219" i="1" s="1"/>
  <c r="C25" i="6" s="1"/>
  <c r="D25" i="6" s="1"/>
  <c r="E25" i="6" s="1"/>
  <c r="R306" i="5"/>
  <c r="F143" i="1" s="1"/>
  <c r="H143" i="1" s="1"/>
  <c r="R307" i="5"/>
  <c r="F144" i="1" s="1"/>
  <c r="H144" i="1" s="1"/>
  <c r="D139" i="5"/>
  <c r="K479" i="5"/>
  <c r="I485" i="5" s="1"/>
  <c r="K485" i="5" s="1"/>
  <c r="F208" i="1" s="1"/>
  <c r="H208" i="1" s="1"/>
  <c r="J479" i="5"/>
  <c r="I479" i="5"/>
  <c r="F188" i="1" s="1"/>
  <c r="H188" i="1" s="1"/>
  <c r="E419" i="5"/>
  <c r="F179" i="1"/>
  <c r="F180" i="1"/>
  <c r="L362" i="5"/>
  <c r="L368" i="5" s="1"/>
  <c r="F187" i="1" s="1"/>
  <c r="H187" i="1" s="1"/>
  <c r="H186" i="1" s="1"/>
  <c r="C21" i="6" s="1"/>
  <c r="D21" i="6" s="1"/>
  <c r="E21" i="6" s="1"/>
  <c r="F362" i="5"/>
  <c r="F368" i="5" s="1"/>
  <c r="F174" i="1" s="1"/>
  <c r="H174" i="1" s="1"/>
  <c r="E362" i="5"/>
  <c r="E368" i="5" s="1"/>
  <c r="F172" i="1" s="1"/>
  <c r="D362" i="5"/>
  <c r="D368" i="5" s="1"/>
  <c r="F171" i="1" s="1"/>
  <c r="C362" i="5"/>
  <c r="C368" i="5" s="1"/>
  <c r="F170" i="1" s="1"/>
  <c r="E343" i="5"/>
  <c r="E357" i="5" s="1"/>
  <c r="F165" i="1" s="1"/>
  <c r="D357" i="5"/>
  <c r="F159" i="1" s="1"/>
  <c r="R296" i="5"/>
  <c r="F133" i="1" s="1"/>
  <c r="H133" i="1" s="1"/>
  <c r="R295" i="5"/>
  <c r="F132" i="1" s="1"/>
  <c r="H132" i="1" s="1"/>
  <c r="R290" i="5"/>
  <c r="F127" i="1" s="1"/>
  <c r="H127" i="1" s="1"/>
  <c r="R289" i="5"/>
  <c r="F126" i="1" s="1"/>
  <c r="H126" i="1" s="1"/>
  <c r="R288" i="5"/>
  <c r="F125" i="1" s="1"/>
  <c r="H125" i="1" s="1"/>
  <c r="R303" i="5"/>
  <c r="F140" i="1" s="1"/>
  <c r="H140" i="1" s="1"/>
  <c r="R297" i="5"/>
  <c r="F134" i="1" s="1"/>
  <c r="H134" i="1" s="1"/>
  <c r="R287" i="5"/>
  <c r="F124" i="1" s="1"/>
  <c r="R299" i="5"/>
  <c r="F136" i="1" s="1"/>
  <c r="H136" i="1" s="1"/>
  <c r="R292" i="5"/>
  <c r="F129" i="1" s="1"/>
  <c r="H129" i="1" s="1"/>
  <c r="H302" i="5"/>
  <c r="K298" i="5"/>
  <c r="N298" i="5" s="1"/>
  <c r="R298" i="5" s="1"/>
  <c r="F135" i="1" s="1"/>
  <c r="H135" i="1" s="1"/>
  <c r="K291" i="5"/>
  <c r="E300" i="5"/>
  <c r="E293" i="5"/>
  <c r="H300" i="5"/>
  <c r="H293" i="5"/>
  <c r="K300" i="5"/>
  <c r="N300" i="5" s="1"/>
  <c r="K293" i="5"/>
  <c r="N293" i="5" s="1"/>
  <c r="R293" i="5" s="1"/>
  <c r="F130" i="1" s="1"/>
  <c r="H130" i="1" s="1"/>
  <c r="K301" i="5"/>
  <c r="K294" i="5"/>
  <c r="K284" i="5"/>
  <c r="O284" i="5" s="1"/>
  <c r="F122" i="1" s="1"/>
  <c r="H122" i="1" s="1"/>
  <c r="F36" i="1"/>
  <c r="H36" i="1" s="1"/>
  <c r="G109" i="5"/>
  <c r="F37" i="1" s="1"/>
  <c r="H37" i="1" s="1"/>
  <c r="E94" i="5"/>
  <c r="G94" i="5" s="1"/>
  <c r="C87" i="5"/>
  <c r="F87" i="5" s="1"/>
  <c r="E104" i="5"/>
  <c r="G104" i="5" s="1"/>
  <c r="G107" i="5" s="1"/>
  <c r="F35" i="1" s="1"/>
  <c r="H35" i="1" s="1"/>
  <c r="C115" i="5"/>
  <c r="F115" i="5" s="1"/>
  <c r="F118" i="5" s="1"/>
  <c r="F34" i="1" s="1"/>
  <c r="H34" i="1" s="1"/>
  <c r="F114" i="5"/>
  <c r="F117" i="5" s="1"/>
  <c r="F33" i="1" s="1"/>
  <c r="B2" i="4"/>
  <c r="G96" i="5"/>
  <c r="F29" i="1" s="1"/>
  <c r="D82" i="5"/>
  <c r="F82" i="5"/>
  <c r="F84" i="5" s="1"/>
  <c r="F26" i="1" s="1"/>
  <c r="F91" i="5"/>
  <c r="F28" i="1" s="1"/>
  <c r="F41" i="1"/>
  <c r="B14" i="4"/>
  <c r="G18" i="9" s="1"/>
  <c r="I18" i="9" s="1"/>
  <c r="B17" i="4"/>
  <c r="I9" i="2"/>
  <c r="I13" i="2" s="1"/>
  <c r="G8" i="1" s="1"/>
  <c r="J19" i="12" l="1"/>
  <c r="J3" i="12"/>
  <c r="J16" i="12"/>
  <c r="J10" i="12"/>
  <c r="J18" i="12"/>
  <c r="J11" i="12"/>
  <c r="J17" i="12"/>
  <c r="J14" i="12"/>
  <c r="J12" i="12"/>
  <c r="J8" i="12"/>
  <c r="J7" i="12"/>
  <c r="J4" i="12"/>
  <c r="J5" i="12"/>
  <c r="J13" i="12"/>
  <c r="J6" i="12"/>
  <c r="J9" i="12"/>
  <c r="J15" i="12"/>
  <c r="E3" i="11"/>
  <c r="F6" i="7"/>
  <c r="H6" i="7" s="1"/>
  <c r="I6" i="7" s="1"/>
  <c r="I7" i="7" s="1"/>
  <c r="I8" i="7" s="1"/>
  <c r="I9" i="7" s="1"/>
  <c r="I10" i="7" s="1"/>
  <c r="I11" i="7" s="1"/>
  <c r="I12" i="7" s="1"/>
  <c r="I13" i="7" s="1"/>
  <c r="I14" i="7" s="1"/>
  <c r="I15" i="7" s="1"/>
  <c r="I16" i="7" s="1"/>
  <c r="G7" i="9"/>
  <c r="I7" i="9" s="1"/>
  <c r="J7" i="9"/>
  <c r="J8" i="9" s="1"/>
  <c r="J9" i="9" s="1"/>
  <c r="J10" i="9" s="1"/>
  <c r="J11" i="9" s="1"/>
  <c r="J12" i="9" s="1"/>
  <c r="J13" i="9" s="1"/>
  <c r="J14" i="9" s="1"/>
  <c r="J15" i="9" s="1"/>
  <c r="J16" i="9" s="1"/>
  <c r="J17" i="9" s="1"/>
  <c r="J18" i="9" s="1"/>
  <c r="J19" i="9" s="1"/>
  <c r="J20" i="9" s="1"/>
  <c r="J21" i="9" s="1"/>
  <c r="J22" i="9" s="1"/>
  <c r="J23" i="9" s="1"/>
  <c r="J24" i="9" s="1"/>
  <c r="J25" i="9" s="1"/>
  <c r="J26" i="9" s="1"/>
  <c r="J27" i="9" s="1"/>
  <c r="J28" i="9" s="1"/>
  <c r="J29" i="9" s="1"/>
  <c r="J30" i="9" s="1"/>
  <c r="J31" i="9" s="1"/>
  <c r="J32" i="9" s="1"/>
  <c r="J33" i="9" s="1"/>
  <c r="J34" i="9" s="1"/>
  <c r="J35" i="9" s="1"/>
  <c r="J36" i="9" s="1"/>
  <c r="J37" i="9" s="1"/>
  <c r="J38" i="9" s="1"/>
  <c r="J39" i="9" s="1"/>
  <c r="J40" i="9" s="1"/>
  <c r="J41" i="9" s="1"/>
  <c r="J42" i="9" s="1"/>
  <c r="J43" i="9" s="1"/>
  <c r="J44" i="9" s="1"/>
  <c r="J45" i="9" s="1"/>
  <c r="J46" i="9" s="1"/>
  <c r="J47" i="9" s="1"/>
  <c r="J48" i="9" s="1"/>
  <c r="G56" i="9"/>
  <c r="I56" i="9" s="1"/>
  <c r="I58" i="9"/>
  <c r="F14" i="1"/>
  <c r="F17" i="7"/>
  <c r="H17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I47" i="7" s="1"/>
  <c r="E166" i="5"/>
  <c r="F44" i="1" s="1"/>
  <c r="F166" i="5"/>
  <c r="F46" i="1" s="1"/>
  <c r="D557" i="5"/>
  <c r="F182" i="1"/>
  <c r="J484" i="5"/>
  <c r="F206" i="1" s="1"/>
  <c r="H206" i="1" s="1"/>
  <c r="J483" i="5"/>
  <c r="F204" i="1" s="1"/>
  <c r="H204" i="1" s="1"/>
  <c r="J482" i="5"/>
  <c r="F202" i="1" s="1"/>
  <c r="I484" i="5"/>
  <c r="F207" i="1" s="1"/>
  <c r="H207" i="1" s="1"/>
  <c r="I483" i="5"/>
  <c r="F205" i="1" s="1"/>
  <c r="H205" i="1" s="1"/>
  <c r="I482" i="5"/>
  <c r="F203" i="1" s="1"/>
  <c r="H203" i="1" s="1"/>
  <c r="R300" i="5"/>
  <c r="F137" i="1" s="1"/>
  <c r="H137" i="1" s="1"/>
  <c r="N301" i="5"/>
  <c r="R301" i="5"/>
  <c r="F138" i="1" s="1"/>
  <c r="H138" i="1" s="1"/>
  <c r="N294" i="5"/>
  <c r="R294" i="5" s="1"/>
  <c r="F131" i="1" s="1"/>
  <c r="H131" i="1" s="1"/>
  <c r="N291" i="5"/>
  <c r="R291" i="5" s="1"/>
  <c r="F128" i="1" s="1"/>
  <c r="H128" i="1" s="1"/>
  <c r="K302" i="5"/>
  <c r="F90" i="5"/>
  <c r="F27" i="1" s="1"/>
  <c r="B19" i="4"/>
  <c r="G49" i="9" s="1"/>
  <c r="I49" i="9" s="1"/>
  <c r="F15" i="1"/>
  <c r="H222" i="1"/>
  <c r="H216" i="1"/>
  <c r="H215" i="1"/>
  <c r="H214" i="1"/>
  <c r="H211" i="1"/>
  <c r="H210" i="1" s="1"/>
  <c r="C24" i="6" s="1"/>
  <c r="D24" i="6" s="1"/>
  <c r="E24" i="6" s="1"/>
  <c r="H202" i="1"/>
  <c r="H201" i="1" s="1"/>
  <c r="C23" i="6" s="1"/>
  <c r="D23" i="6" s="1"/>
  <c r="E23" i="6" s="1"/>
  <c r="H191" i="1"/>
  <c r="H190" i="1" s="1"/>
  <c r="C22" i="6" s="1"/>
  <c r="D22" i="6" s="1"/>
  <c r="E22" i="6" s="1"/>
  <c r="H183" i="1"/>
  <c r="H182" i="1"/>
  <c r="H181" i="1" s="1"/>
  <c r="C20" i="6" s="1"/>
  <c r="D20" i="6" s="1"/>
  <c r="E20" i="6" s="1"/>
  <c r="H180" i="1"/>
  <c r="H179" i="1"/>
  <c r="H178" i="1" s="1"/>
  <c r="C19" i="6" s="1"/>
  <c r="D19" i="6" s="1"/>
  <c r="E19" i="6" s="1"/>
  <c r="H173" i="1"/>
  <c r="H172" i="1"/>
  <c r="H171" i="1"/>
  <c r="H170" i="1"/>
  <c r="H167" i="1"/>
  <c r="H166" i="1"/>
  <c r="H165" i="1"/>
  <c r="H164" i="1" s="1"/>
  <c r="C17" i="6" s="1"/>
  <c r="D17" i="6" s="1"/>
  <c r="E17" i="6" s="1"/>
  <c r="H163" i="1"/>
  <c r="H162" i="1"/>
  <c r="H161" i="1"/>
  <c r="H160" i="1"/>
  <c r="H159" i="1"/>
  <c r="H158" i="1" s="1"/>
  <c r="C16" i="6" s="1"/>
  <c r="D16" i="6" s="1"/>
  <c r="E16" i="6" s="1"/>
  <c r="H124" i="1"/>
  <c r="H117" i="1"/>
  <c r="H115" i="1"/>
  <c r="H114" i="1"/>
  <c r="H113" i="1"/>
  <c r="H111" i="1"/>
  <c r="H107" i="1"/>
  <c r="H108" i="1"/>
  <c r="H109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6" i="1"/>
  <c r="H44" i="1"/>
  <c r="H41" i="1"/>
  <c r="H40" i="1"/>
  <c r="C6" i="6" s="1"/>
  <c r="D6" i="6" s="1"/>
  <c r="E6" i="6" s="1"/>
  <c r="H33" i="1"/>
  <c r="H32" i="1" s="1"/>
  <c r="C5" i="6" s="1"/>
  <c r="D5" i="6" s="1"/>
  <c r="E5" i="6" s="1"/>
  <c r="H22" i="1"/>
  <c r="H23" i="1"/>
  <c r="H24" i="1"/>
  <c r="H25" i="1"/>
  <c r="H26" i="1"/>
  <c r="H27" i="1"/>
  <c r="H28" i="1"/>
  <c r="H29" i="1"/>
  <c r="H30" i="1"/>
  <c r="H31" i="1"/>
  <c r="H21" i="1"/>
  <c r="H20" i="1" s="1"/>
  <c r="H15" i="1"/>
  <c r="H17" i="1"/>
  <c r="H18" i="1"/>
  <c r="H19" i="1"/>
  <c r="H14" i="1"/>
  <c r="H9" i="1"/>
  <c r="H10" i="1"/>
  <c r="H11" i="1"/>
  <c r="H8" i="1"/>
  <c r="E4" i="11" l="1"/>
  <c r="D5" i="11"/>
  <c r="J49" i="9"/>
  <c r="J50" i="9" s="1"/>
  <c r="J51" i="9" s="1"/>
  <c r="J52" i="9" s="1"/>
  <c r="J53" i="9" s="1"/>
  <c r="J54" i="9" s="1"/>
  <c r="J55" i="9" s="1"/>
  <c r="I200" i="9"/>
  <c r="J56" i="9"/>
  <c r="J57" i="9" s="1"/>
  <c r="J58" i="9" s="1"/>
  <c r="J59" i="9" s="1"/>
  <c r="J60" i="9" s="1"/>
  <c r="J61" i="9" s="1"/>
  <c r="J62" i="9" s="1"/>
  <c r="J63" i="9" s="1"/>
  <c r="J64" i="9" s="1"/>
  <c r="J65" i="9" s="1"/>
  <c r="J66" i="9" s="1"/>
  <c r="J67" i="9" s="1"/>
  <c r="J68" i="9" s="1"/>
  <c r="J69" i="9" s="1"/>
  <c r="J70" i="9" s="1"/>
  <c r="J71" i="9" s="1"/>
  <c r="J72" i="9" s="1"/>
  <c r="J73" i="9" s="1"/>
  <c r="J74" i="9" s="1"/>
  <c r="J75" i="9" s="1"/>
  <c r="J76" i="9" s="1"/>
  <c r="J77" i="9" s="1"/>
  <c r="J78" i="9" s="1"/>
  <c r="J79" i="9" s="1"/>
  <c r="J80" i="9" s="1"/>
  <c r="J81" i="9" s="1"/>
  <c r="J82" i="9" s="1"/>
  <c r="J83" i="9" s="1"/>
  <c r="J84" i="9" s="1"/>
  <c r="J85" i="9" s="1"/>
  <c r="J86" i="9" s="1"/>
  <c r="J87" i="9" s="1"/>
  <c r="J88" i="9" s="1"/>
  <c r="J89" i="9" s="1"/>
  <c r="J90" i="9" s="1"/>
  <c r="J91" i="9" s="1"/>
  <c r="J92" i="9" s="1"/>
  <c r="J93" i="9" s="1"/>
  <c r="J94" i="9" s="1"/>
  <c r="J95" i="9" s="1"/>
  <c r="J96" i="9" s="1"/>
  <c r="J97" i="9" s="1"/>
  <c r="J98" i="9" s="1"/>
  <c r="J99" i="9" s="1"/>
  <c r="J100" i="9" s="1"/>
  <c r="J101" i="9" s="1"/>
  <c r="J102" i="9" s="1"/>
  <c r="J103" i="9" s="1"/>
  <c r="J104" i="9" s="1"/>
  <c r="J105" i="9" s="1"/>
  <c r="J106" i="9" s="1"/>
  <c r="J107" i="9" s="1"/>
  <c r="J108" i="9" s="1"/>
  <c r="J109" i="9" s="1"/>
  <c r="J110" i="9" s="1"/>
  <c r="J111" i="9" s="1"/>
  <c r="J112" i="9" s="1"/>
  <c r="J113" i="9" s="1"/>
  <c r="J114" i="9" s="1"/>
  <c r="J115" i="9" s="1"/>
  <c r="J116" i="9" s="1"/>
  <c r="J117" i="9" s="1"/>
  <c r="J118" i="9" s="1"/>
  <c r="J119" i="9" s="1"/>
  <c r="J120" i="9" s="1"/>
  <c r="J121" i="9" s="1"/>
  <c r="J122" i="9" s="1"/>
  <c r="J123" i="9" s="1"/>
  <c r="J124" i="9" s="1"/>
  <c r="J125" i="9" s="1"/>
  <c r="J126" i="9" s="1"/>
  <c r="J127" i="9" s="1"/>
  <c r="J128" i="9" s="1"/>
  <c r="J129" i="9" s="1"/>
  <c r="J130" i="9" s="1"/>
  <c r="J131" i="9" s="1"/>
  <c r="J132" i="9" s="1"/>
  <c r="J133" i="9" s="1"/>
  <c r="J134" i="9" s="1"/>
  <c r="J135" i="9" s="1"/>
  <c r="J136" i="9" s="1"/>
  <c r="J137" i="9" s="1"/>
  <c r="J138" i="9" s="1"/>
  <c r="J139" i="9" s="1"/>
  <c r="J140" i="9" s="1"/>
  <c r="J141" i="9" s="1"/>
  <c r="J142" i="9" s="1"/>
  <c r="J143" i="9" s="1"/>
  <c r="J144" i="9" s="1"/>
  <c r="J145" i="9" s="1"/>
  <c r="J146" i="9" s="1"/>
  <c r="J147" i="9" s="1"/>
  <c r="J148" i="9" s="1"/>
  <c r="J149" i="9" s="1"/>
  <c r="J150" i="9" s="1"/>
  <c r="J151" i="9" s="1"/>
  <c r="J152" i="9" s="1"/>
  <c r="J153" i="9" s="1"/>
  <c r="J154" i="9" s="1"/>
  <c r="J155" i="9" s="1"/>
  <c r="J156" i="9" s="1"/>
  <c r="J157" i="9" s="1"/>
  <c r="J158" i="9" s="1"/>
  <c r="J159" i="9" s="1"/>
  <c r="J160" i="9" s="1"/>
  <c r="J161" i="9" s="1"/>
  <c r="J162" i="9" s="1"/>
  <c r="J163" i="9" s="1"/>
  <c r="J164" i="9" s="1"/>
  <c r="J165" i="9" s="1"/>
  <c r="J166" i="9" s="1"/>
  <c r="J167" i="9" s="1"/>
  <c r="J168" i="9" s="1"/>
  <c r="J169" i="9" s="1"/>
  <c r="J170" i="9" s="1"/>
  <c r="J171" i="9" s="1"/>
  <c r="J172" i="9" s="1"/>
  <c r="J173" i="9" s="1"/>
  <c r="J174" i="9" s="1"/>
  <c r="J175" i="9" s="1"/>
  <c r="J176" i="9" s="1"/>
  <c r="J177" i="9" s="1"/>
  <c r="J178" i="9" s="1"/>
  <c r="J179" i="9" s="1"/>
  <c r="J180" i="9" s="1"/>
  <c r="J181" i="9" s="1"/>
  <c r="J182" i="9" s="1"/>
  <c r="J183" i="9" s="1"/>
  <c r="J184" i="9" s="1"/>
  <c r="J185" i="9" s="1"/>
  <c r="J186" i="9" s="1"/>
  <c r="J187" i="9" s="1"/>
  <c r="J188" i="9" s="1"/>
  <c r="J189" i="9" s="1"/>
  <c r="J190" i="9" s="1"/>
  <c r="J191" i="9" s="1"/>
  <c r="J192" i="9" s="1"/>
  <c r="J193" i="9" s="1"/>
  <c r="J194" i="9" s="1"/>
  <c r="J195" i="9" s="1"/>
  <c r="J196" i="9" s="1"/>
  <c r="J197" i="9" s="1"/>
  <c r="J198" i="9" s="1"/>
  <c r="J199" i="9" s="1"/>
  <c r="J200" i="9" s="1"/>
  <c r="K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H7" i="1"/>
  <c r="C2" i="6" s="1"/>
  <c r="D2" i="6" s="1"/>
  <c r="E2" i="6" s="1"/>
  <c r="F16" i="1"/>
  <c r="H16" i="1" s="1"/>
  <c r="H12" i="1" s="1"/>
  <c r="F48" i="7"/>
  <c r="H48" i="7" s="1"/>
  <c r="H199" i="7" s="1"/>
  <c r="I48" i="7"/>
  <c r="I49" i="7" s="1"/>
  <c r="I50" i="7" s="1"/>
  <c r="I51" i="7" s="1"/>
  <c r="I52" i="7" s="1"/>
  <c r="I53" i="7" s="1"/>
  <c r="I54" i="7" s="1"/>
  <c r="I55" i="7" s="1"/>
  <c r="I56" i="7" s="1"/>
  <c r="I57" i="7" s="1"/>
  <c r="I58" i="7" s="1"/>
  <c r="I59" i="7" s="1"/>
  <c r="I60" i="7" s="1"/>
  <c r="I61" i="7" s="1"/>
  <c r="I62" i="7" s="1"/>
  <c r="I63" i="7" s="1"/>
  <c r="I64" i="7" s="1"/>
  <c r="I65" i="7" s="1"/>
  <c r="I66" i="7" s="1"/>
  <c r="I67" i="7" s="1"/>
  <c r="I68" i="7" s="1"/>
  <c r="I69" i="7" s="1"/>
  <c r="I70" i="7" s="1"/>
  <c r="I71" i="7" s="1"/>
  <c r="I72" i="7" s="1"/>
  <c r="I73" i="7" s="1"/>
  <c r="I74" i="7" s="1"/>
  <c r="I75" i="7" s="1"/>
  <c r="I76" i="7" s="1"/>
  <c r="I77" i="7" s="1"/>
  <c r="I78" i="7" s="1"/>
  <c r="I79" i="7" s="1"/>
  <c r="I80" i="7" s="1"/>
  <c r="I81" i="7" s="1"/>
  <c r="I82" i="7" s="1"/>
  <c r="I83" i="7" s="1"/>
  <c r="I84" i="7" s="1"/>
  <c r="I85" i="7" s="1"/>
  <c r="I86" i="7" s="1"/>
  <c r="I87" i="7" s="1"/>
  <c r="I88" i="7" s="1"/>
  <c r="I89" i="7" s="1"/>
  <c r="I90" i="7" s="1"/>
  <c r="I91" i="7" s="1"/>
  <c r="I92" i="7" s="1"/>
  <c r="I93" i="7" s="1"/>
  <c r="I94" i="7" s="1"/>
  <c r="I95" i="7" s="1"/>
  <c r="I96" i="7" s="1"/>
  <c r="I97" i="7" s="1"/>
  <c r="I98" i="7" s="1"/>
  <c r="I99" i="7" s="1"/>
  <c r="I100" i="7" s="1"/>
  <c r="I101" i="7" s="1"/>
  <c r="I102" i="7" s="1"/>
  <c r="I103" i="7" s="1"/>
  <c r="I104" i="7" s="1"/>
  <c r="I105" i="7" s="1"/>
  <c r="I106" i="7" s="1"/>
  <c r="I107" i="7" s="1"/>
  <c r="I108" i="7" s="1"/>
  <c r="I109" i="7" s="1"/>
  <c r="I110" i="7" s="1"/>
  <c r="I111" i="7" s="1"/>
  <c r="I112" i="7" s="1"/>
  <c r="I113" i="7" s="1"/>
  <c r="I114" i="7" s="1"/>
  <c r="I115" i="7" s="1"/>
  <c r="I116" i="7" s="1"/>
  <c r="I117" i="7" s="1"/>
  <c r="I118" i="7" s="1"/>
  <c r="I119" i="7" s="1"/>
  <c r="I120" i="7" s="1"/>
  <c r="I121" i="7" s="1"/>
  <c r="I122" i="7" s="1"/>
  <c r="I123" i="7" s="1"/>
  <c r="I124" i="7" s="1"/>
  <c r="I125" i="7" s="1"/>
  <c r="I126" i="7" s="1"/>
  <c r="I127" i="7" s="1"/>
  <c r="I128" i="7" s="1"/>
  <c r="I129" i="7" s="1"/>
  <c r="I130" i="7" s="1"/>
  <c r="I131" i="7" s="1"/>
  <c r="I132" i="7" s="1"/>
  <c r="I133" i="7" s="1"/>
  <c r="I134" i="7" s="1"/>
  <c r="I135" i="7" s="1"/>
  <c r="I136" i="7" s="1"/>
  <c r="I137" i="7" s="1"/>
  <c r="I138" i="7" s="1"/>
  <c r="I139" i="7" s="1"/>
  <c r="I140" i="7" s="1"/>
  <c r="I141" i="7" s="1"/>
  <c r="I142" i="7" s="1"/>
  <c r="I143" i="7" s="1"/>
  <c r="I144" i="7" s="1"/>
  <c r="I145" i="7" s="1"/>
  <c r="I146" i="7" s="1"/>
  <c r="I147" i="7" s="1"/>
  <c r="I148" i="7" s="1"/>
  <c r="I149" i="7" s="1"/>
  <c r="I150" i="7" s="1"/>
  <c r="I151" i="7" s="1"/>
  <c r="I152" i="7" s="1"/>
  <c r="I153" i="7" s="1"/>
  <c r="I154" i="7" s="1"/>
  <c r="I155" i="7" s="1"/>
  <c r="I156" i="7" s="1"/>
  <c r="I157" i="7" s="1"/>
  <c r="I158" i="7" s="1"/>
  <c r="I159" i="7" s="1"/>
  <c r="I160" i="7" s="1"/>
  <c r="I161" i="7" s="1"/>
  <c r="I162" i="7" s="1"/>
  <c r="I163" i="7" s="1"/>
  <c r="I164" i="7" s="1"/>
  <c r="I165" i="7" s="1"/>
  <c r="I166" i="7" s="1"/>
  <c r="I167" i="7" s="1"/>
  <c r="I168" i="7" s="1"/>
  <c r="I169" i="7" s="1"/>
  <c r="I170" i="7" s="1"/>
  <c r="I171" i="7" s="1"/>
  <c r="I172" i="7" s="1"/>
  <c r="I173" i="7" s="1"/>
  <c r="I174" i="7" s="1"/>
  <c r="I175" i="7" s="1"/>
  <c r="I176" i="7" s="1"/>
  <c r="I177" i="7" s="1"/>
  <c r="I178" i="7" s="1"/>
  <c r="I179" i="7" s="1"/>
  <c r="I180" i="7" s="1"/>
  <c r="I181" i="7" s="1"/>
  <c r="I182" i="7" s="1"/>
  <c r="I183" i="7" s="1"/>
  <c r="I184" i="7" s="1"/>
  <c r="I185" i="7" s="1"/>
  <c r="I186" i="7" s="1"/>
  <c r="I187" i="7" s="1"/>
  <c r="I188" i="7" s="1"/>
  <c r="I189" i="7" s="1"/>
  <c r="I190" i="7" s="1"/>
  <c r="I191" i="7" s="1"/>
  <c r="I192" i="7" s="1"/>
  <c r="I193" i="7" s="1"/>
  <c r="I194" i="7" s="1"/>
  <c r="I195" i="7" s="1"/>
  <c r="I196" i="7" s="1"/>
  <c r="I197" i="7" s="1"/>
  <c r="I198" i="7" s="1"/>
  <c r="I199" i="7" s="1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2" i="7"/>
  <c r="J47" i="7"/>
  <c r="C3" i="6"/>
  <c r="H169" i="1"/>
  <c r="C18" i="6" s="1"/>
  <c r="D18" i="6" s="1"/>
  <c r="E18" i="6" s="1"/>
  <c r="K482" i="5"/>
  <c r="K483" i="5"/>
  <c r="K484" i="5"/>
  <c r="N302" i="5"/>
  <c r="R302" i="5"/>
  <c r="F139" i="1" s="1"/>
  <c r="H139" i="1" s="1"/>
  <c r="H123" i="1" s="1"/>
  <c r="C14" i="6" s="1"/>
  <c r="D14" i="6" s="1"/>
  <c r="E14" i="6" s="1"/>
  <c r="C4" i="6"/>
  <c r="D4" i="6" s="1"/>
  <c r="E4" i="6" s="1"/>
  <c r="H48" i="1"/>
  <c r="C9" i="6" s="1"/>
  <c r="D9" i="6" s="1"/>
  <c r="E9" i="6" s="1"/>
  <c r="H221" i="1"/>
  <c r="C26" i="6" s="1"/>
  <c r="D26" i="6" s="1"/>
  <c r="E26" i="6" s="1"/>
  <c r="H43" i="1"/>
  <c r="C7" i="6" s="1"/>
  <c r="D7" i="6" s="1"/>
  <c r="E7" i="6" s="1"/>
  <c r="H78" i="1"/>
  <c r="C10" i="6" s="1"/>
  <c r="D10" i="6" s="1"/>
  <c r="E10" i="6" s="1"/>
  <c r="H106" i="1"/>
  <c r="C11" i="6" s="1"/>
  <c r="D11" i="6" s="1"/>
  <c r="E11" i="6" s="1"/>
  <c r="H110" i="1"/>
  <c r="C12" i="6" s="1"/>
  <c r="D12" i="6" s="1"/>
  <c r="E12" i="6" s="1"/>
  <c r="H116" i="1"/>
  <c r="C13" i="6" s="1"/>
  <c r="D13" i="6" s="1"/>
  <c r="E13" i="6" s="1"/>
  <c r="E5" i="11" l="1"/>
  <c r="D6" i="11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7" i="9"/>
  <c r="K59" i="9"/>
  <c r="K60" i="9"/>
  <c r="K61" i="9"/>
  <c r="K62" i="9"/>
  <c r="K63" i="9"/>
  <c r="K64" i="9"/>
  <c r="K65" i="9"/>
  <c r="K66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67" i="9"/>
  <c r="K19" i="9"/>
  <c r="K20" i="9"/>
  <c r="K21" i="9"/>
  <c r="K22" i="9"/>
  <c r="K23" i="9"/>
  <c r="K24" i="9"/>
  <c r="K25" i="9"/>
  <c r="K26" i="9"/>
  <c r="K27" i="9"/>
  <c r="K28" i="9"/>
  <c r="K29" i="9"/>
  <c r="K58" i="9"/>
  <c r="K56" i="9"/>
  <c r="K200" i="9"/>
  <c r="L3" i="9"/>
  <c r="D3" i="6"/>
  <c r="J199" i="7"/>
  <c r="K2" i="7"/>
  <c r="L2" i="7" s="1"/>
  <c r="K3" i="7"/>
  <c r="H47" i="1"/>
  <c r="E6" i="11" l="1"/>
  <c r="D7" i="11"/>
  <c r="M3" i="9"/>
  <c r="L4" i="9"/>
  <c r="C8" i="6"/>
  <c r="H229" i="1"/>
  <c r="H230" i="1" s="1"/>
  <c r="H231" i="1" s="1"/>
  <c r="L3" i="7"/>
  <c r="K4" i="7"/>
  <c r="E3" i="6"/>
  <c r="E7" i="11" l="1"/>
  <c r="D8" i="11"/>
  <c r="M4" i="9"/>
  <c r="L5" i="9"/>
  <c r="D8" i="6"/>
  <c r="C27" i="6"/>
  <c r="L4" i="7"/>
  <c r="K5" i="7"/>
  <c r="E8" i="11" l="1"/>
  <c r="D9" i="11"/>
  <c r="M5" i="9"/>
  <c r="L6" i="9"/>
  <c r="E8" i="6"/>
  <c r="D27" i="6"/>
  <c r="L5" i="7"/>
  <c r="K6" i="7"/>
  <c r="E9" i="11" l="1"/>
  <c r="D10" i="11"/>
  <c r="M6" i="9"/>
  <c r="L7" i="9"/>
  <c r="F15" i="6"/>
  <c r="F16" i="6"/>
  <c r="F17" i="6"/>
  <c r="F13" i="6"/>
  <c r="F12" i="6"/>
  <c r="F11" i="6"/>
  <c r="F10" i="6"/>
  <c r="F9" i="6"/>
  <c r="F14" i="6"/>
  <c r="E27" i="6"/>
  <c r="F30" i="6" s="1"/>
  <c r="F32" i="6" s="1"/>
  <c r="L6" i="7"/>
  <c r="K7" i="7"/>
  <c r="E10" i="11" l="1"/>
  <c r="D11" i="11"/>
  <c r="M7" i="9"/>
  <c r="L8" i="9"/>
  <c r="F19" i="6"/>
  <c r="F20" i="6"/>
  <c r="F21" i="6"/>
  <c r="F22" i="6"/>
  <c r="F23" i="6"/>
  <c r="F24" i="6"/>
  <c r="F25" i="6"/>
  <c r="F26" i="6"/>
  <c r="F27" i="6"/>
  <c r="F18" i="6"/>
  <c r="F4" i="6"/>
  <c r="F5" i="6"/>
  <c r="F6" i="6"/>
  <c r="F7" i="6"/>
  <c r="F8" i="6"/>
  <c r="F2" i="6"/>
  <c r="F3" i="6"/>
  <c r="L7" i="7"/>
  <c r="K8" i="7"/>
  <c r="E11" i="11" l="1"/>
  <c r="D12" i="11"/>
  <c r="M8" i="9"/>
  <c r="L9" i="9"/>
  <c r="L8" i="7"/>
  <c r="K9" i="7"/>
  <c r="E12" i="11" l="1"/>
  <c r="D13" i="11"/>
  <c r="C10" i="12" s="1"/>
  <c r="M9" i="9"/>
  <c r="L10" i="9"/>
  <c r="L9" i="7"/>
  <c r="K10" i="7"/>
  <c r="C8" i="12" l="1"/>
  <c r="E13" i="11"/>
  <c r="M10" i="9"/>
  <c r="L11" i="9"/>
  <c r="L10" i="7"/>
  <c r="K11" i="7"/>
  <c r="M11" i="9" l="1"/>
  <c r="L12" i="9"/>
  <c r="L11" i="7"/>
  <c r="K12" i="7"/>
  <c r="M12" i="9" l="1"/>
  <c r="L13" i="9"/>
  <c r="L12" i="7"/>
  <c r="K13" i="7"/>
  <c r="M13" i="9" l="1"/>
  <c r="L14" i="9"/>
  <c r="L13" i="7"/>
  <c r="K14" i="7"/>
  <c r="M14" i="9" l="1"/>
  <c r="L15" i="9"/>
  <c r="L14" i="7"/>
  <c r="K15" i="7"/>
  <c r="M15" i="9" l="1"/>
  <c r="L16" i="9"/>
  <c r="L15" i="7"/>
  <c r="K16" i="7"/>
  <c r="M16" i="9" l="1"/>
  <c r="L17" i="9"/>
  <c r="L16" i="7"/>
  <c r="K17" i="7"/>
  <c r="M17" i="9" l="1"/>
  <c r="L18" i="9"/>
  <c r="L19" i="9" s="1"/>
  <c r="L17" i="7"/>
  <c r="K18" i="7"/>
  <c r="M19" i="9" l="1"/>
  <c r="L20" i="9"/>
  <c r="M18" i="9"/>
  <c r="L18" i="7"/>
  <c r="K19" i="7"/>
  <c r="M20" i="9" l="1"/>
  <c r="L21" i="9"/>
  <c r="L19" i="7"/>
  <c r="K20" i="7"/>
  <c r="M21" i="9" l="1"/>
  <c r="L22" i="9"/>
  <c r="L20" i="7"/>
  <c r="K21" i="7"/>
  <c r="M22" i="9" l="1"/>
  <c r="L23" i="9"/>
  <c r="L21" i="7"/>
  <c r="K22" i="7"/>
  <c r="M23" i="9" l="1"/>
  <c r="L24" i="9"/>
  <c r="L22" i="7"/>
  <c r="K23" i="7"/>
  <c r="M24" i="9" l="1"/>
  <c r="L25" i="9"/>
  <c r="L23" i="7"/>
  <c r="K24" i="7"/>
  <c r="M25" i="9" l="1"/>
  <c r="L26" i="9"/>
  <c r="L24" i="7"/>
  <c r="K25" i="7"/>
  <c r="M26" i="9" l="1"/>
  <c r="L27" i="9"/>
  <c r="L25" i="7"/>
  <c r="K26" i="7"/>
  <c r="M27" i="9" l="1"/>
  <c r="L28" i="9"/>
  <c r="L26" i="7"/>
  <c r="K27" i="7"/>
  <c r="M28" i="9" l="1"/>
  <c r="L29" i="9"/>
  <c r="L27" i="7"/>
  <c r="K28" i="7"/>
  <c r="M29" i="9" l="1"/>
  <c r="L30" i="9"/>
  <c r="L28" i="7"/>
  <c r="K29" i="7"/>
  <c r="M30" i="9" l="1"/>
  <c r="L31" i="9"/>
  <c r="L29" i="7"/>
  <c r="K30" i="7"/>
  <c r="M31" i="9" l="1"/>
  <c r="L32" i="9"/>
  <c r="L30" i="7"/>
  <c r="K31" i="7"/>
  <c r="M32" i="9" l="1"/>
  <c r="L33" i="9"/>
  <c r="L31" i="7"/>
  <c r="K32" i="7"/>
  <c r="M33" i="9" l="1"/>
  <c r="L34" i="9"/>
  <c r="L32" i="7"/>
  <c r="K33" i="7"/>
  <c r="M34" i="9" l="1"/>
  <c r="L35" i="9"/>
  <c r="L33" i="7"/>
  <c r="K34" i="7"/>
  <c r="M35" i="9" l="1"/>
  <c r="L36" i="9"/>
  <c r="L34" i="7"/>
  <c r="K35" i="7"/>
  <c r="M36" i="9" l="1"/>
  <c r="L37" i="9"/>
  <c r="L35" i="7"/>
  <c r="K36" i="7"/>
  <c r="M37" i="9" l="1"/>
  <c r="L38" i="9"/>
  <c r="L36" i="7"/>
  <c r="K37" i="7"/>
  <c r="M38" i="9" l="1"/>
  <c r="L39" i="9"/>
  <c r="L37" i="7"/>
  <c r="K38" i="7"/>
  <c r="M39" i="9" l="1"/>
  <c r="L40" i="9"/>
  <c r="L38" i="7"/>
  <c r="K39" i="7"/>
  <c r="M40" i="9" l="1"/>
  <c r="L41" i="9"/>
  <c r="L39" i="7"/>
  <c r="K40" i="7"/>
  <c r="M41" i="9" l="1"/>
  <c r="L42" i="9"/>
  <c r="L40" i="7"/>
  <c r="K41" i="7"/>
  <c r="M42" i="9" l="1"/>
  <c r="L43" i="9"/>
  <c r="L41" i="7"/>
  <c r="K42" i="7"/>
  <c r="M43" i="9" l="1"/>
  <c r="L44" i="9"/>
  <c r="L42" i="7"/>
  <c r="K43" i="7"/>
  <c r="M44" i="9" l="1"/>
  <c r="L45" i="9"/>
  <c r="L43" i="7"/>
  <c r="K44" i="7"/>
  <c r="M45" i="9" l="1"/>
  <c r="L46" i="9"/>
  <c r="L44" i="7"/>
  <c r="K45" i="7"/>
  <c r="M46" i="9" l="1"/>
  <c r="L47" i="9"/>
  <c r="L45" i="7"/>
  <c r="K46" i="7"/>
  <c r="M47" i="9" l="1"/>
  <c r="L48" i="9"/>
  <c r="L46" i="7"/>
  <c r="K47" i="7"/>
  <c r="M48" i="9" l="1"/>
  <c r="L49" i="9"/>
  <c r="L47" i="7"/>
  <c r="K48" i="7"/>
  <c r="M49" i="9" l="1"/>
  <c r="L50" i="9"/>
  <c r="L48" i="7"/>
  <c r="K49" i="7"/>
  <c r="M50" i="9" l="1"/>
  <c r="L51" i="9"/>
  <c r="L49" i="7"/>
  <c r="K50" i="7"/>
  <c r="M51" i="9" l="1"/>
  <c r="L52" i="9"/>
  <c r="L50" i="7"/>
  <c r="K51" i="7"/>
  <c r="M52" i="9" l="1"/>
  <c r="L53" i="9"/>
  <c r="L51" i="7"/>
  <c r="K52" i="7"/>
  <c r="M53" i="9" l="1"/>
  <c r="L54" i="9"/>
  <c r="L52" i="7"/>
  <c r="K53" i="7"/>
  <c r="M54" i="9" l="1"/>
  <c r="L55" i="9"/>
  <c r="L53" i="7"/>
  <c r="K54" i="7"/>
  <c r="M55" i="9" l="1"/>
  <c r="L56" i="9"/>
  <c r="L54" i="7"/>
  <c r="K55" i="7"/>
  <c r="M56" i="9" l="1"/>
  <c r="L57" i="9"/>
  <c r="L55" i="7"/>
  <c r="K56" i="7"/>
  <c r="M57" i="9" l="1"/>
  <c r="L58" i="9"/>
  <c r="L56" i="7"/>
  <c r="K57" i="7"/>
  <c r="M58" i="9" l="1"/>
  <c r="L59" i="9"/>
  <c r="L57" i="7"/>
  <c r="K58" i="7"/>
  <c r="M59" i="9" l="1"/>
  <c r="L60" i="9"/>
  <c r="L58" i="7"/>
  <c r="K59" i="7"/>
  <c r="M60" i="9" l="1"/>
  <c r="L61" i="9"/>
  <c r="L59" i="7"/>
  <c r="K60" i="7"/>
  <c r="M61" i="9" l="1"/>
  <c r="L62" i="9"/>
  <c r="L60" i="7"/>
  <c r="K61" i="7"/>
  <c r="M62" i="9" l="1"/>
  <c r="L63" i="9"/>
  <c r="L61" i="7"/>
  <c r="K62" i="7"/>
  <c r="M63" i="9" l="1"/>
  <c r="L64" i="9"/>
  <c r="L62" i="7"/>
  <c r="K63" i="7"/>
  <c r="M64" i="9" l="1"/>
  <c r="L65" i="9"/>
  <c r="L63" i="7"/>
  <c r="K64" i="7"/>
  <c r="M65" i="9" l="1"/>
  <c r="L66" i="9"/>
  <c r="L64" i="7"/>
  <c r="K65" i="7"/>
  <c r="M66" i="9" l="1"/>
  <c r="L67" i="9"/>
  <c r="L65" i="7"/>
  <c r="K66" i="7"/>
  <c r="M67" i="9" l="1"/>
  <c r="L68" i="9"/>
  <c r="L66" i="7"/>
  <c r="K67" i="7"/>
  <c r="M68" i="9" l="1"/>
  <c r="L69" i="9"/>
  <c r="L67" i="7"/>
  <c r="K68" i="7"/>
  <c r="M69" i="9" l="1"/>
  <c r="L70" i="9"/>
  <c r="L68" i="7"/>
  <c r="K69" i="7"/>
  <c r="M70" i="9" l="1"/>
  <c r="L71" i="9"/>
  <c r="L69" i="7"/>
  <c r="K70" i="7"/>
  <c r="M71" i="9" l="1"/>
  <c r="L72" i="9"/>
  <c r="L70" i="7"/>
  <c r="K71" i="7"/>
  <c r="M72" i="9" l="1"/>
  <c r="L73" i="9"/>
  <c r="L71" i="7"/>
  <c r="K72" i="7"/>
  <c r="M73" i="9" l="1"/>
  <c r="L74" i="9"/>
  <c r="L72" i="7"/>
  <c r="K73" i="7"/>
  <c r="M74" i="9" l="1"/>
  <c r="L75" i="9"/>
  <c r="L73" i="7"/>
  <c r="K74" i="7"/>
  <c r="M75" i="9" l="1"/>
  <c r="L76" i="9"/>
  <c r="L74" i="7"/>
  <c r="K75" i="7"/>
  <c r="M76" i="9" l="1"/>
  <c r="L77" i="9"/>
  <c r="L75" i="7"/>
  <c r="K76" i="7"/>
  <c r="M77" i="9" l="1"/>
  <c r="L78" i="9"/>
  <c r="L76" i="7"/>
  <c r="K77" i="7"/>
  <c r="M78" i="9" l="1"/>
  <c r="L79" i="9"/>
  <c r="L77" i="7"/>
  <c r="K78" i="7"/>
  <c r="M79" i="9" l="1"/>
  <c r="L80" i="9"/>
  <c r="L78" i="7"/>
  <c r="K79" i="7"/>
  <c r="M80" i="9" l="1"/>
  <c r="L81" i="9"/>
  <c r="L79" i="7"/>
  <c r="K80" i="7"/>
  <c r="M81" i="9" l="1"/>
  <c r="L82" i="9"/>
  <c r="L80" i="7"/>
  <c r="K81" i="7"/>
  <c r="M82" i="9" l="1"/>
  <c r="L83" i="9"/>
  <c r="L81" i="7"/>
  <c r="K82" i="7"/>
  <c r="M83" i="9" l="1"/>
  <c r="L84" i="9"/>
  <c r="L82" i="7"/>
  <c r="K83" i="7"/>
  <c r="M84" i="9" l="1"/>
  <c r="L85" i="9"/>
  <c r="L83" i="7"/>
  <c r="K84" i="7"/>
  <c r="M85" i="9" l="1"/>
  <c r="L86" i="9"/>
  <c r="L84" i="7"/>
  <c r="K85" i="7"/>
  <c r="M86" i="9" l="1"/>
  <c r="L87" i="9"/>
  <c r="L85" i="7"/>
  <c r="K86" i="7"/>
  <c r="M87" i="9" l="1"/>
  <c r="L88" i="9"/>
  <c r="L86" i="7"/>
  <c r="K87" i="7"/>
  <c r="M88" i="9" l="1"/>
  <c r="L89" i="9"/>
  <c r="L87" i="7"/>
  <c r="K88" i="7"/>
  <c r="M89" i="9" l="1"/>
  <c r="L90" i="9"/>
  <c r="L88" i="7"/>
  <c r="K89" i="7"/>
  <c r="M90" i="9" l="1"/>
  <c r="L91" i="9"/>
  <c r="L89" i="7"/>
  <c r="K90" i="7"/>
  <c r="M91" i="9" l="1"/>
  <c r="L92" i="9"/>
  <c r="L90" i="7"/>
  <c r="K91" i="7"/>
  <c r="M92" i="9" l="1"/>
  <c r="L93" i="9"/>
  <c r="L91" i="7"/>
  <c r="K92" i="7"/>
  <c r="M93" i="9" l="1"/>
  <c r="L94" i="9"/>
  <c r="L92" i="7"/>
  <c r="K93" i="7"/>
  <c r="M94" i="9" l="1"/>
  <c r="L95" i="9"/>
  <c r="L93" i="7"/>
  <c r="K94" i="7"/>
  <c r="M95" i="9" l="1"/>
  <c r="L96" i="9"/>
  <c r="L94" i="7"/>
  <c r="K95" i="7"/>
  <c r="M96" i="9" l="1"/>
  <c r="L97" i="9"/>
  <c r="L95" i="7"/>
  <c r="K96" i="7"/>
  <c r="M97" i="9" l="1"/>
  <c r="L98" i="9"/>
  <c r="L96" i="7"/>
  <c r="K97" i="7"/>
  <c r="M98" i="9" l="1"/>
  <c r="L99" i="9"/>
  <c r="L97" i="7"/>
  <c r="K98" i="7"/>
  <c r="M99" i="9" l="1"/>
  <c r="L100" i="9"/>
  <c r="L98" i="7"/>
  <c r="K99" i="7"/>
  <c r="M100" i="9" l="1"/>
  <c r="L101" i="9"/>
  <c r="L99" i="7"/>
  <c r="K100" i="7"/>
  <c r="M101" i="9" l="1"/>
  <c r="L102" i="9"/>
  <c r="L100" i="7"/>
  <c r="K101" i="7"/>
  <c r="M102" i="9" l="1"/>
  <c r="L103" i="9"/>
  <c r="L101" i="7"/>
  <c r="K102" i="7"/>
  <c r="M103" i="9" l="1"/>
  <c r="L104" i="9"/>
  <c r="L102" i="7"/>
  <c r="K103" i="7"/>
  <c r="M104" i="9" l="1"/>
  <c r="L105" i="9"/>
  <c r="L103" i="7"/>
  <c r="K104" i="7"/>
  <c r="M105" i="9" l="1"/>
  <c r="L106" i="9"/>
  <c r="L104" i="7"/>
  <c r="K105" i="7"/>
  <c r="M106" i="9" l="1"/>
  <c r="L107" i="9"/>
  <c r="L105" i="7"/>
  <c r="K106" i="7"/>
  <c r="M107" i="9" l="1"/>
  <c r="L108" i="9"/>
  <c r="L106" i="7"/>
  <c r="K107" i="7"/>
  <c r="M108" i="9" l="1"/>
  <c r="L109" i="9"/>
  <c r="L107" i="7"/>
  <c r="K108" i="7"/>
  <c r="M109" i="9" l="1"/>
  <c r="L110" i="9"/>
  <c r="L108" i="7"/>
  <c r="K109" i="7"/>
  <c r="M110" i="9" l="1"/>
  <c r="L111" i="9"/>
  <c r="L109" i="7"/>
  <c r="K110" i="7"/>
  <c r="M111" i="9" l="1"/>
  <c r="L112" i="9"/>
  <c r="L110" i="7"/>
  <c r="K111" i="7"/>
  <c r="M112" i="9" l="1"/>
  <c r="L113" i="9"/>
  <c r="L111" i="7"/>
  <c r="K112" i="7"/>
  <c r="M113" i="9" l="1"/>
  <c r="L114" i="9"/>
  <c r="L112" i="7"/>
  <c r="K113" i="7"/>
  <c r="M114" i="9" l="1"/>
  <c r="L115" i="9"/>
  <c r="L113" i="7"/>
  <c r="K114" i="7"/>
  <c r="M115" i="9" l="1"/>
  <c r="L116" i="9"/>
  <c r="L114" i="7"/>
  <c r="K115" i="7"/>
  <c r="M116" i="9" l="1"/>
  <c r="L117" i="9"/>
  <c r="L115" i="7"/>
  <c r="K116" i="7"/>
  <c r="M117" i="9" l="1"/>
  <c r="L118" i="9"/>
  <c r="L116" i="7"/>
  <c r="K117" i="7"/>
  <c r="M118" i="9" l="1"/>
  <c r="L119" i="9"/>
  <c r="L117" i="7"/>
  <c r="K118" i="7"/>
  <c r="M119" i="9" l="1"/>
  <c r="L120" i="9"/>
  <c r="L118" i="7"/>
  <c r="K119" i="7"/>
  <c r="M120" i="9" l="1"/>
  <c r="L121" i="9"/>
  <c r="L119" i="7"/>
  <c r="K120" i="7"/>
  <c r="M121" i="9" l="1"/>
  <c r="L122" i="9"/>
  <c r="L120" i="7"/>
  <c r="K121" i="7"/>
  <c r="M122" i="9" l="1"/>
  <c r="L123" i="9"/>
  <c r="L121" i="7"/>
  <c r="K122" i="7"/>
  <c r="M123" i="9" l="1"/>
  <c r="L124" i="9"/>
  <c r="L122" i="7"/>
  <c r="K123" i="7"/>
  <c r="M124" i="9" l="1"/>
  <c r="L125" i="9"/>
  <c r="L123" i="7"/>
  <c r="K124" i="7"/>
  <c r="M125" i="9" l="1"/>
  <c r="L126" i="9"/>
  <c r="L124" i="7"/>
  <c r="K125" i="7"/>
  <c r="M126" i="9" l="1"/>
  <c r="L127" i="9"/>
  <c r="L125" i="7"/>
  <c r="K126" i="7"/>
  <c r="M127" i="9" l="1"/>
  <c r="L128" i="9"/>
  <c r="L126" i="7"/>
  <c r="K127" i="7"/>
  <c r="M128" i="9" l="1"/>
  <c r="L129" i="9"/>
  <c r="L127" i="7"/>
  <c r="K128" i="7"/>
  <c r="M129" i="9" l="1"/>
  <c r="L130" i="9"/>
  <c r="L128" i="7"/>
  <c r="K129" i="7"/>
  <c r="M130" i="9" l="1"/>
  <c r="L131" i="9"/>
  <c r="L129" i="7"/>
  <c r="K130" i="7"/>
  <c r="M131" i="9" l="1"/>
  <c r="L132" i="9"/>
  <c r="L130" i="7"/>
  <c r="K131" i="7"/>
  <c r="M132" i="9" l="1"/>
  <c r="L133" i="9"/>
  <c r="L131" i="7"/>
  <c r="K132" i="7"/>
  <c r="M133" i="9" l="1"/>
  <c r="L134" i="9"/>
  <c r="L132" i="7"/>
  <c r="K133" i="7"/>
  <c r="M134" i="9" l="1"/>
  <c r="L135" i="9"/>
  <c r="L133" i="7"/>
  <c r="K134" i="7"/>
  <c r="M135" i="9" l="1"/>
  <c r="L136" i="9"/>
  <c r="L134" i="7"/>
  <c r="K135" i="7"/>
  <c r="M136" i="9" l="1"/>
  <c r="L137" i="9"/>
  <c r="L135" i="7"/>
  <c r="K136" i="7"/>
  <c r="M137" i="9" l="1"/>
  <c r="L138" i="9"/>
  <c r="L136" i="7"/>
  <c r="K137" i="7"/>
  <c r="M138" i="9" l="1"/>
  <c r="L139" i="9"/>
  <c r="L137" i="7"/>
  <c r="K138" i="7"/>
  <c r="M139" i="9" l="1"/>
  <c r="L140" i="9"/>
  <c r="L138" i="7"/>
  <c r="K139" i="7"/>
  <c r="M140" i="9" l="1"/>
  <c r="L141" i="9"/>
  <c r="L139" i="7"/>
  <c r="K140" i="7"/>
  <c r="M141" i="9" l="1"/>
  <c r="L142" i="9"/>
  <c r="L140" i="7"/>
  <c r="K141" i="7"/>
  <c r="M142" i="9" l="1"/>
  <c r="L143" i="9"/>
  <c r="L141" i="7"/>
  <c r="K142" i="7"/>
  <c r="M143" i="9" l="1"/>
  <c r="L144" i="9"/>
  <c r="L142" i="7"/>
  <c r="K143" i="7"/>
  <c r="M144" i="9" l="1"/>
  <c r="L145" i="9"/>
  <c r="L143" i="7"/>
  <c r="K144" i="7"/>
  <c r="M145" i="9" l="1"/>
  <c r="L146" i="9"/>
  <c r="L144" i="7"/>
  <c r="K145" i="7"/>
  <c r="M146" i="9" l="1"/>
  <c r="L147" i="9"/>
  <c r="L145" i="7"/>
  <c r="K146" i="7"/>
  <c r="M147" i="9" l="1"/>
  <c r="L148" i="9"/>
  <c r="L146" i="7"/>
  <c r="K147" i="7"/>
  <c r="M148" i="9" l="1"/>
  <c r="L149" i="9"/>
  <c r="L147" i="7"/>
  <c r="K148" i="7"/>
  <c r="M149" i="9" l="1"/>
  <c r="L150" i="9"/>
  <c r="L148" i="7"/>
  <c r="K149" i="7"/>
  <c r="M150" i="9" l="1"/>
  <c r="L151" i="9"/>
  <c r="L149" i="7"/>
  <c r="K150" i="7"/>
  <c r="M151" i="9" l="1"/>
  <c r="L152" i="9"/>
  <c r="L150" i="7"/>
  <c r="K151" i="7"/>
  <c r="M152" i="9" l="1"/>
  <c r="L153" i="9"/>
  <c r="L151" i="7"/>
  <c r="K152" i="7"/>
  <c r="M153" i="9" l="1"/>
  <c r="L154" i="9"/>
  <c r="L152" i="7"/>
  <c r="K153" i="7"/>
  <c r="M154" i="9" l="1"/>
  <c r="L155" i="9"/>
  <c r="L153" i="7"/>
  <c r="K154" i="7"/>
  <c r="M155" i="9" l="1"/>
  <c r="L156" i="9"/>
  <c r="L154" i="7"/>
  <c r="K155" i="7"/>
  <c r="M156" i="9" l="1"/>
  <c r="L157" i="9"/>
  <c r="L155" i="7"/>
  <c r="K156" i="7"/>
  <c r="M157" i="9" l="1"/>
  <c r="L158" i="9"/>
  <c r="L156" i="7"/>
  <c r="K157" i="7"/>
  <c r="M158" i="9" l="1"/>
  <c r="L159" i="9"/>
  <c r="L157" i="7"/>
  <c r="K158" i="7"/>
  <c r="M159" i="9" l="1"/>
  <c r="L160" i="9"/>
  <c r="L158" i="7"/>
  <c r="K159" i="7"/>
  <c r="M160" i="9" l="1"/>
  <c r="L161" i="9"/>
  <c r="L159" i="7"/>
  <c r="K160" i="7"/>
  <c r="M161" i="9" l="1"/>
  <c r="L162" i="9"/>
  <c r="L160" i="7"/>
  <c r="K161" i="7"/>
  <c r="M162" i="9" l="1"/>
  <c r="L163" i="9"/>
  <c r="L161" i="7"/>
  <c r="K162" i="7"/>
  <c r="M163" i="9" l="1"/>
  <c r="L164" i="9"/>
  <c r="L162" i="7"/>
  <c r="K163" i="7"/>
  <c r="M164" i="9" l="1"/>
  <c r="L165" i="9"/>
  <c r="L163" i="7"/>
  <c r="K164" i="7"/>
  <c r="M165" i="9" l="1"/>
  <c r="L166" i="9"/>
  <c r="L164" i="7"/>
  <c r="K165" i="7"/>
  <c r="M166" i="9" l="1"/>
  <c r="L167" i="9"/>
  <c r="L165" i="7"/>
  <c r="K166" i="7"/>
  <c r="M167" i="9" l="1"/>
  <c r="L168" i="9"/>
  <c r="L166" i="7"/>
  <c r="K167" i="7"/>
  <c r="M168" i="9" l="1"/>
  <c r="L169" i="9"/>
  <c r="L167" i="7"/>
  <c r="K168" i="7"/>
  <c r="M169" i="9" l="1"/>
  <c r="L170" i="9"/>
  <c r="L168" i="7"/>
  <c r="K169" i="7"/>
  <c r="M170" i="9" l="1"/>
  <c r="L171" i="9"/>
  <c r="L169" i="7"/>
  <c r="K170" i="7"/>
  <c r="M171" i="9" l="1"/>
  <c r="L172" i="9"/>
  <c r="L170" i="7"/>
  <c r="K171" i="7"/>
  <c r="M172" i="9" l="1"/>
  <c r="L173" i="9"/>
  <c r="L171" i="7"/>
  <c r="K172" i="7"/>
  <c r="M173" i="9" l="1"/>
  <c r="L174" i="9"/>
  <c r="L172" i="7"/>
  <c r="K173" i="7"/>
  <c r="M174" i="9" l="1"/>
  <c r="L175" i="9"/>
  <c r="L173" i="7"/>
  <c r="K174" i="7"/>
  <c r="M175" i="9" l="1"/>
  <c r="L176" i="9"/>
  <c r="L174" i="7"/>
  <c r="K175" i="7"/>
  <c r="M176" i="9" l="1"/>
  <c r="L177" i="9"/>
  <c r="L175" i="7"/>
  <c r="K176" i="7"/>
  <c r="M177" i="9" l="1"/>
  <c r="L178" i="9"/>
  <c r="L176" i="7"/>
  <c r="K177" i="7"/>
  <c r="M178" i="9" l="1"/>
  <c r="L179" i="9"/>
  <c r="L177" i="7"/>
  <c r="K178" i="7"/>
  <c r="M179" i="9" l="1"/>
  <c r="L180" i="9"/>
  <c r="L178" i="7"/>
  <c r="K179" i="7"/>
  <c r="M180" i="9" l="1"/>
  <c r="L181" i="9"/>
  <c r="L179" i="7"/>
  <c r="K180" i="7"/>
  <c r="M181" i="9" l="1"/>
  <c r="L182" i="9"/>
  <c r="L180" i="7"/>
  <c r="K181" i="7"/>
  <c r="M182" i="9" l="1"/>
  <c r="L183" i="9"/>
  <c r="L181" i="7"/>
  <c r="K182" i="7"/>
  <c r="M183" i="9" l="1"/>
  <c r="L184" i="9"/>
  <c r="L182" i="7"/>
  <c r="K183" i="7"/>
  <c r="M184" i="9" l="1"/>
  <c r="L185" i="9"/>
  <c r="L183" i="7"/>
  <c r="K184" i="7"/>
  <c r="M185" i="9" l="1"/>
  <c r="L186" i="9"/>
  <c r="L184" i="7"/>
  <c r="K185" i="7"/>
  <c r="M186" i="9" l="1"/>
  <c r="L187" i="9"/>
  <c r="L185" i="7"/>
  <c r="K186" i="7"/>
  <c r="M187" i="9" l="1"/>
  <c r="L188" i="9"/>
  <c r="L186" i="7"/>
  <c r="K187" i="7"/>
  <c r="M188" i="9" l="1"/>
  <c r="L189" i="9"/>
  <c r="L187" i="7"/>
  <c r="K188" i="7"/>
  <c r="M189" i="9" l="1"/>
  <c r="L190" i="9"/>
  <c r="L188" i="7"/>
  <c r="K189" i="7"/>
  <c r="M190" i="9" l="1"/>
  <c r="L191" i="9"/>
  <c r="L189" i="7"/>
  <c r="K190" i="7"/>
  <c r="M191" i="9" l="1"/>
  <c r="L192" i="9"/>
  <c r="L190" i="7"/>
  <c r="K191" i="7"/>
  <c r="M192" i="9" l="1"/>
  <c r="L193" i="9"/>
  <c r="L191" i="7"/>
  <c r="K192" i="7"/>
  <c r="M193" i="9" l="1"/>
  <c r="L194" i="9"/>
  <c r="L192" i="7"/>
  <c r="K193" i="7"/>
  <c r="M194" i="9" l="1"/>
  <c r="L195" i="9"/>
  <c r="L193" i="7"/>
  <c r="K194" i="7"/>
  <c r="M195" i="9" l="1"/>
  <c r="L196" i="9"/>
  <c r="L194" i="7"/>
  <c r="K195" i="7"/>
  <c r="M196" i="9" l="1"/>
  <c r="L197" i="9"/>
  <c r="L195" i="7"/>
  <c r="K196" i="7"/>
  <c r="M197" i="9" l="1"/>
  <c r="L198" i="9"/>
  <c r="L196" i="7"/>
  <c r="K197" i="7"/>
  <c r="M198" i="9" l="1"/>
  <c r="L199" i="9"/>
  <c r="L197" i="7"/>
  <c r="K198" i="7"/>
  <c r="M199" i="9" l="1"/>
  <c r="L200" i="9"/>
  <c r="L198" i="7"/>
  <c r="K199" i="7"/>
  <c r="Q4" i="7" l="1"/>
  <c r="Q5" i="7"/>
  <c r="Q3" i="7"/>
  <c r="P4" i="7"/>
  <c r="P5" i="7"/>
  <c r="P3" i="7"/>
  <c r="R5" i="9" l="1"/>
  <c r="Q5" i="9"/>
  <c r="R4" i="9"/>
  <c r="Q4" i="9"/>
  <c r="R3" i="9"/>
  <c r="Q3" i="9"/>
</calcChain>
</file>

<file path=xl/sharedStrings.xml><?xml version="1.0" encoding="utf-8"?>
<sst xmlns="http://schemas.openxmlformats.org/spreadsheetml/2006/main" count="3949" uniqueCount="1202">
  <si>
    <t>Imóvel</t>
  </si>
  <si>
    <t>Hotel Rimo</t>
  </si>
  <si>
    <t>Endereço</t>
  </si>
  <si>
    <t>Praça Lucio Gomes, nº 0000, 64.255-000, Pedro II</t>
  </si>
  <si>
    <t>Matrícula</t>
  </si>
  <si>
    <t>Área (m2)</t>
  </si>
  <si>
    <t>Área Construída (m2)</t>
  </si>
  <si>
    <t>Perímetro (m)</t>
  </si>
  <si>
    <t>HOTEL PEDRO II</t>
  </si>
  <si>
    <t>Descrição</t>
  </si>
  <si>
    <t>Área do terreno</t>
  </si>
  <si>
    <t>Área de Construção total</t>
  </si>
  <si>
    <t>Entrada</t>
  </si>
  <si>
    <t>Lobby</t>
  </si>
  <si>
    <t>Recepção</t>
  </si>
  <si>
    <t>Banheiros (Fem/Mas/Família)</t>
  </si>
  <si>
    <t>Sala de Eventos</t>
  </si>
  <si>
    <t>Sala de Reunião 01</t>
  </si>
  <si>
    <t>Sala de Reunião 02</t>
  </si>
  <si>
    <t>Sala de admnistração</t>
  </si>
  <si>
    <t>Sala de Gerente</t>
  </si>
  <si>
    <t>Circulação</t>
  </si>
  <si>
    <t>Área de Suítes (52)</t>
  </si>
  <si>
    <t>DML</t>
  </si>
  <si>
    <t>Academia</t>
  </si>
  <si>
    <t>Banheiros Piscina</t>
  </si>
  <si>
    <t>Restaurante</t>
  </si>
  <si>
    <t>Brinquedoteca Restaurante</t>
  </si>
  <si>
    <t>Banheiros Restaurante</t>
  </si>
  <si>
    <t>Praça dos Garçons</t>
  </si>
  <si>
    <t>Cozinha/Preparo/Depósitos</t>
  </si>
  <si>
    <t>Refeitório Funcionários</t>
  </si>
  <si>
    <t>Vestiário e banheiros Funcionários</t>
  </si>
  <si>
    <t>Lavanderia</t>
  </si>
  <si>
    <t>Paredes</t>
  </si>
  <si>
    <t>Taxa de Ocupação</t>
  </si>
  <si>
    <t>Índice de Aproveitamento</t>
  </si>
  <si>
    <r>
      <t xml:space="preserve">Área Permeável </t>
    </r>
    <r>
      <rPr>
        <sz val="11"/>
        <color theme="0"/>
        <rFont val="Segoe UI Light"/>
      </rPr>
      <t>(área verde+Piso Drenante)</t>
    </r>
  </si>
  <si>
    <r>
      <t xml:space="preserve">Área Impermeável </t>
    </r>
    <r>
      <rPr>
        <sz val="11"/>
        <color theme="0"/>
        <rFont val="Segoe UI Light"/>
      </rPr>
      <t>(área 1º pav.+área pavimentada+muro)</t>
    </r>
  </si>
  <si>
    <t>Área total</t>
  </si>
  <si>
    <t>Percentual área construída</t>
  </si>
  <si>
    <t>Área construída total</t>
  </si>
  <si>
    <t>Serviços Preliminares</t>
  </si>
  <si>
    <t>Gabarito da fachada da frente (offset 1,0m), fechando nos muros laterais e no fundo</t>
  </si>
  <si>
    <t>Cobertura a ser demolida</t>
  </si>
  <si>
    <t>Retirada de cobertura s/ reap.</t>
  </si>
  <si>
    <t>Retirada de madeira s/ reap.</t>
  </si>
  <si>
    <t>Alvenaria a ser demolida</t>
  </si>
  <si>
    <t>1m2 de piso = 1,8m3 de alvenaria</t>
  </si>
  <si>
    <t xml:space="preserve">Deflator de 30% </t>
  </si>
  <si>
    <t>Estrutura de concreto a ser demolida</t>
  </si>
  <si>
    <t>1m2 de piso = 1,11m3 de concreto</t>
  </si>
  <si>
    <t xml:space="preserve">Deflator de 40% </t>
  </si>
  <si>
    <t>Bota-fora de material demolido</t>
  </si>
  <si>
    <t xml:space="preserve">Fundações rasas </t>
  </si>
  <si>
    <t>Escavações</t>
  </si>
  <si>
    <t xml:space="preserve">Profundidade: 1,10m </t>
  </si>
  <si>
    <t>Lastro de concreto</t>
  </si>
  <si>
    <t>40x5xL</t>
  </si>
  <si>
    <t>Sapatas (Qtd SPTs = Qtd Pilares)</t>
  </si>
  <si>
    <t>75x75x40</t>
  </si>
  <si>
    <t>Fundação em pedra argamassada</t>
  </si>
  <si>
    <t>40x40xL</t>
  </si>
  <si>
    <t xml:space="preserve">Embasamento </t>
  </si>
  <si>
    <t>2x19xL</t>
  </si>
  <si>
    <t>2 = duas fiadas</t>
  </si>
  <si>
    <t>Cintas</t>
  </si>
  <si>
    <t>15x25xL</t>
  </si>
  <si>
    <t>Piares</t>
  </si>
  <si>
    <t>15x25x4</t>
  </si>
  <si>
    <t>Obs: descontar 5% de L referente a vãos</t>
  </si>
  <si>
    <t>Utilizar todo o material escavado espalhando-o</t>
  </si>
  <si>
    <t>Superestrutura/Infraestrutura</t>
  </si>
  <si>
    <t>Convencionou-se Ø10mm para a infra/super</t>
  </si>
  <si>
    <t xml:space="preserve">Estribos Ø5mm </t>
  </si>
  <si>
    <t>Elétrica</t>
  </si>
  <si>
    <t>Quadro geral localizado na "praça dos garçons" - entrada de 25mm2</t>
  </si>
  <si>
    <t>Quadro geral joga para quadro de distribuição, localizado no corredor de divisa com a parede da área de passar/costura - distribuição de 16mm2</t>
  </si>
  <si>
    <t>Quadro de distribuição joga para cada quadro localizado nos quartos - 6mm2</t>
  </si>
  <si>
    <t>Considerou-se caixas de passagens 4"x2" em altura média = 1,30m</t>
  </si>
  <si>
    <t>Verificar existência de subestação (e se há necessidade)</t>
  </si>
  <si>
    <t>Hidráulica</t>
  </si>
  <si>
    <t>Classificação: hotel c/ cozinha e lavanderia</t>
  </si>
  <si>
    <t xml:space="preserve">hotel s/ cozinha e s/ lavanderia: </t>
  </si>
  <si>
    <t xml:space="preserve">Consumo água/hóspede adotado: </t>
  </si>
  <si>
    <t>Ar-Condicionado</t>
  </si>
  <si>
    <t>Tubulação - 500R$/m  (MERCADO)</t>
  </si>
  <si>
    <t>Considerando média de tubulações de ACs menores e maiores</t>
  </si>
  <si>
    <t>Drenos: tubos e conexões pvc sold 25mm</t>
  </si>
  <si>
    <t>P/ SIMULAÇÃO (SE NECESSÁRIO) - TERMOACÚSTICA</t>
  </si>
  <si>
    <t>Unidade</t>
  </si>
  <si>
    <t>$ Unit.</t>
  </si>
  <si>
    <t>SINAPI</t>
  </si>
  <si>
    <t>6.4</t>
  </si>
  <si>
    <t>Estrutura metálica para cobertura</t>
  </si>
  <si>
    <t>m2</t>
  </si>
  <si>
    <t>TRAMA DE AÇO COMPOSTA POR RIPAS, CAIBROS E TERÇAS PARA TELHADOS DE ATÉ 2 ÁGUAS PARA TELHA DE ENCAIXE DE CERÂMICA OU DE CONCRETO, INCLUSO TRANSPORTE VERTICAL. AF_07/2019</t>
  </si>
  <si>
    <t>Considerou-se estrutura de madeira em todo o hotel, incluso treliças de madeira no vão do restaurante</t>
  </si>
  <si>
    <t>6.5</t>
  </si>
  <si>
    <t>Telha termoacústica</t>
  </si>
  <si>
    <t>TELHAMENTO COM TELHA METÁLICA TERMOACÚSTICA E = 30 MM, COM ATÉ 2 ÁGUAS, INCLUSO IÇAMENTO. AF_07/2019</t>
  </si>
  <si>
    <t>Não foi considerada laje em nenhum local</t>
  </si>
  <si>
    <t>6.6</t>
  </si>
  <si>
    <t>Chapim de concreto</t>
  </si>
  <si>
    <t>m</t>
  </si>
  <si>
    <t>CHAPIM (RUFO CAPA) EM AÇO GALVANIZADO, CORTE 33. AF_11/2020</t>
  </si>
  <si>
    <t>Não foi considerada telha termoacústica em nenhum local</t>
  </si>
  <si>
    <t>6.7</t>
  </si>
  <si>
    <t>Rufo de concreto</t>
  </si>
  <si>
    <t>6.8</t>
  </si>
  <si>
    <t>Calha metalica</t>
  </si>
  <si>
    <t>CALHA EM CHAPA DE AÇO GALVANIZADO NÚMERO 24, DESENVOLVIMENTO DE 50 CM, INCLUSO TRANSPORTE VERTICAL. AF_07/2019</t>
  </si>
  <si>
    <t>6.9</t>
  </si>
  <si>
    <t>Impermeabilizações</t>
  </si>
  <si>
    <t>IMPERMEABILIZAÇÃO DE SUPERFÍCIE COM MANTA ASFÁLTICA, UMA CAMADA, INCLUSIVE APLICAÇÃO DE PRIMER ASFÁLTICO, E=4MM. AF_09/2023</t>
  </si>
  <si>
    <t>Pisos</t>
  </si>
  <si>
    <t>kg/m</t>
  </si>
  <si>
    <t>kg</t>
  </si>
  <si>
    <t>Tela Q-92: aço 4.2mm c/15cm</t>
  </si>
  <si>
    <t>Considerando 1x1 (m) a cada 15cm</t>
  </si>
  <si>
    <t>Revestimentos / Pintura</t>
  </si>
  <si>
    <t>Revestimentos somente em áreas molhadas (bwcs e lavanderia) e locais obrigatórios (cozinha e refeitório)</t>
  </si>
  <si>
    <t>Fachadas em textura e parte interna pintura</t>
  </si>
  <si>
    <t>BANCO</t>
  </si>
  <si>
    <t>CÓDIGO</t>
  </si>
  <si>
    <t>ITEM</t>
  </si>
  <si>
    <t>DESCRIÇÃO</t>
  </si>
  <si>
    <t>Qtd</t>
  </si>
  <si>
    <t>Qtd. Meses</t>
  </si>
  <si>
    <t>V. UNIT (R$)</t>
  </si>
  <si>
    <t>V. TOT. (R$)</t>
  </si>
  <si>
    <t>Engenheiro Civil Senior</t>
  </si>
  <si>
    <t>mês</t>
  </si>
  <si>
    <t>Elaboração de Projeto Planialtimétrico</t>
  </si>
  <si>
    <t>Engenheiro Civil Junior</t>
  </si>
  <si>
    <t>Elaboração de Projeto Arquitetônico</t>
  </si>
  <si>
    <t>Arquiteto Senior</t>
  </si>
  <si>
    <t>Elaboração de Projeto Estrutural</t>
  </si>
  <si>
    <t>Arquiteto Junior</t>
  </si>
  <si>
    <t>Elaboração de Projeto de Instalações Hidráulicas</t>
  </si>
  <si>
    <t>Topógrafo</t>
  </si>
  <si>
    <t>Elaboração de Projeto de Instalações Sanitárias</t>
  </si>
  <si>
    <t>Auxiliar de Topógrafo</t>
  </si>
  <si>
    <t>Elaboração de Projeto de Instalações de Águas Pluviais</t>
  </si>
  <si>
    <t>Desenhista</t>
  </si>
  <si>
    <t>Elaboração de Projeto de Instalações de Combate a Incêndio</t>
  </si>
  <si>
    <t>Auxiliar de escritório</t>
  </si>
  <si>
    <t>Elaboração de Projeto de Instalações Elétricas</t>
  </si>
  <si>
    <t>CREA</t>
  </si>
  <si>
    <t>-</t>
  </si>
  <si>
    <t>ART de Projeto</t>
  </si>
  <si>
    <t>und</t>
  </si>
  <si>
    <t>RRT de Projeto</t>
  </si>
  <si>
    <t>CAU</t>
  </si>
  <si>
    <t>Cotação</t>
  </si>
  <si>
    <t>Material de escritório</t>
  </si>
  <si>
    <t>vb</t>
  </si>
  <si>
    <t>ART de Execução</t>
  </si>
  <si>
    <t>Total</t>
  </si>
  <si>
    <t>RRT:</t>
  </si>
  <si>
    <t>Art proj</t>
  </si>
  <si>
    <t>99,64 até 15k</t>
  </si>
  <si>
    <t>Art exec</t>
  </si>
  <si>
    <t>Setorização</t>
  </si>
  <si>
    <t>Quartos</t>
  </si>
  <si>
    <t>Lixeira</t>
  </si>
  <si>
    <t>Adm+Comum</t>
  </si>
  <si>
    <t>Casa de gás</t>
  </si>
  <si>
    <t>Muro</t>
  </si>
  <si>
    <t>Piscina</t>
  </si>
  <si>
    <t>Serv preliminares</t>
  </si>
  <si>
    <t>$</t>
  </si>
  <si>
    <t>$ tot</t>
  </si>
  <si>
    <t>Ref</t>
  </si>
  <si>
    <t>Refeitorio</t>
  </si>
  <si>
    <t>C2936</t>
  </si>
  <si>
    <t>Sanitários e Chuveiros</t>
  </si>
  <si>
    <t>C2946</t>
  </si>
  <si>
    <t>Almoxarife / Escritório</t>
  </si>
  <si>
    <t>R$/m2</t>
  </si>
  <si>
    <t>Escav. Sapatas</t>
  </si>
  <si>
    <t>comp (m)</t>
  </si>
  <si>
    <t>largura (m)</t>
  </si>
  <si>
    <t>altura (m)</t>
  </si>
  <si>
    <t>quantidade</t>
  </si>
  <si>
    <t>Vol (m3)</t>
  </si>
  <si>
    <t>Sapatas</t>
  </si>
  <si>
    <t>já contabilizda em fpa</t>
  </si>
  <si>
    <t>Escav. FPA</t>
  </si>
  <si>
    <t>deflator (%)</t>
  </si>
  <si>
    <t>Obs.: deflator para vãos</t>
  </si>
  <si>
    <t>Escav. Piscina</t>
  </si>
  <si>
    <t>Alt média:</t>
  </si>
  <si>
    <t>Compactação</t>
  </si>
  <si>
    <t>Lastro de conc</t>
  </si>
  <si>
    <t>FPA</t>
  </si>
  <si>
    <t>Embasamento</t>
  </si>
  <si>
    <t>vol (m3)</t>
  </si>
  <si>
    <t>Altura: 2 fiadas de 29cm cada</t>
  </si>
  <si>
    <t>Formas</t>
  </si>
  <si>
    <t>qtd</t>
  </si>
  <si>
    <t>total</t>
  </si>
  <si>
    <t>qtd = nº sapatas</t>
  </si>
  <si>
    <t>qtd = faces</t>
  </si>
  <si>
    <t>Armadura</t>
  </si>
  <si>
    <t>% acréscimo</t>
  </si>
  <si>
    <t>kg total</t>
  </si>
  <si>
    <t>Sapatas 10mm</t>
  </si>
  <si>
    <t>Cintas 10mm</t>
  </si>
  <si>
    <t>Cintas 5mm</t>
  </si>
  <si>
    <t>Total 10mm</t>
  </si>
  <si>
    <t>Total 5mm</t>
  </si>
  <si>
    <t>Concreto</t>
  </si>
  <si>
    <t>Larg (m)</t>
  </si>
  <si>
    <t>Comp (m)</t>
  </si>
  <si>
    <t>deflator</t>
  </si>
  <si>
    <t>Imper</t>
  </si>
  <si>
    <t>Cintas face sup</t>
  </si>
  <si>
    <t>Cintas face lat</t>
  </si>
  <si>
    <t>Pilares</t>
  </si>
  <si>
    <t>Vigas</t>
  </si>
  <si>
    <t>Total serrada</t>
  </si>
  <si>
    <t>Total plastif</t>
  </si>
  <si>
    <t>Total alv</t>
  </si>
  <si>
    <t>Pilares 10mm</t>
  </si>
  <si>
    <t>Pilares 5mm</t>
  </si>
  <si>
    <t>Piscina 3,5x13,5x1,00</t>
  </si>
  <si>
    <t>Imper. polim.</t>
  </si>
  <si>
    <t>Alvenaria</t>
  </si>
  <si>
    <t>área (m2)</t>
  </si>
  <si>
    <t>Chapisco</t>
  </si>
  <si>
    <t>faces (und)</t>
  </si>
  <si>
    <t>Reboco</t>
  </si>
  <si>
    <t>Muro somente chapiscado</t>
  </si>
  <si>
    <t>Cobertura</t>
  </si>
  <si>
    <t>Área</t>
  </si>
  <si>
    <t>Área (offset 50)</t>
  </si>
  <si>
    <t>F. Inclinação</t>
  </si>
  <si>
    <t>Est Madeira</t>
  </si>
  <si>
    <t>Telha Cer</t>
  </si>
  <si>
    <t>Telha termo</t>
  </si>
  <si>
    <t>Laje</t>
  </si>
  <si>
    <t>Obs: treliça no vão do restaurante - duas</t>
  </si>
  <si>
    <t>Quantidade</t>
  </si>
  <si>
    <t>Adm+comum</t>
  </si>
  <si>
    <t>Total geral</t>
  </si>
  <si>
    <t>Rasgo em alvenaria p/ assentamento de tubos de Ø50mm</t>
  </si>
  <si>
    <t>Rasgo em alvenaria p/ assentamento de tubos de Ø32mm</t>
  </si>
  <si>
    <t>Rasgo em alvenaria p/ assentamento de tubos de Ø25mm</t>
  </si>
  <si>
    <t>Tubo PVC SOLD. Ø50mm</t>
  </si>
  <si>
    <t>Tubo PVC SOLD. Ø32mm</t>
  </si>
  <si>
    <t>Tubo PVC SOLD. Ø25mm</t>
  </si>
  <si>
    <t>Tubo PVC SOLD. Ø20mm</t>
  </si>
  <si>
    <t>Luva PVC SOLD. Ø50mm</t>
  </si>
  <si>
    <t>Luva PVC SOLD. Ø32mm</t>
  </si>
  <si>
    <t>Luva PVC SOLD. Ø25mm</t>
  </si>
  <si>
    <t>Luva PVC SOLD. Ø20mm</t>
  </si>
  <si>
    <t>Caixa d'água XXL c/ Boia</t>
  </si>
  <si>
    <t>as caixas que alimentam os quartos vai alimentar a lavanderia</t>
  </si>
  <si>
    <t>Adaptador SOLD. C/ ANEL P/ CX. D'ÁGUA Ø50mm</t>
  </si>
  <si>
    <t>Adaptador SOLD. C/ ANEL P/ CX. D'ÁGUA Ø32mm</t>
  </si>
  <si>
    <t>Registro Esfera PVC SOLD. Ø50mm</t>
  </si>
  <si>
    <t>Registro Esfera PVC SOLD. Ø32mm</t>
  </si>
  <si>
    <t>União PVC SOLD. Ø50mm</t>
  </si>
  <si>
    <t>União PVC SOLD. Ø32mm</t>
  </si>
  <si>
    <t>Joelho 90º PVC ROSC. AZUL c/ Bucha de latão Ø25x1/2"</t>
  </si>
  <si>
    <t>Tê PVC ROSC. AZUL c/ Bucha de latão Ø25x1/2"</t>
  </si>
  <si>
    <t>Curva 90º PVC SOLD. RAIO LONGO Ø50mm</t>
  </si>
  <si>
    <t>Curva 90º PVC SOLD. RAIO LONGO Ø32mm</t>
  </si>
  <si>
    <t>Curva 90º PVC SOLD. RAIO LONGO Ø25mm</t>
  </si>
  <si>
    <t>Joelho 90º PVC SOLD. Ø50mm</t>
  </si>
  <si>
    <t>cx d'águas</t>
  </si>
  <si>
    <t>Joelho 90º PVC SOLD. Ø32mm</t>
  </si>
  <si>
    <t>Joelho 90º PVC SOLD. Ø25mm</t>
  </si>
  <si>
    <t>Joelho 90º PVC SOLD. Ø20mm</t>
  </si>
  <si>
    <t>Joelho 45º PVC SOLD. Ø50mm</t>
  </si>
  <si>
    <t>Joelho 45º PVC SOLD. Ø32mm</t>
  </si>
  <si>
    <t>Joelho 45º PVC SOLD. Ø25mm</t>
  </si>
  <si>
    <t>Joelho 45º PVC SOLD. Ø20mm</t>
  </si>
  <si>
    <t>Tê PVC SOLD. Ø50mm</t>
  </si>
  <si>
    <t>cx d'águas e casa de bombas</t>
  </si>
  <si>
    <t>Tê PVC SOLD. Ø32mm</t>
  </si>
  <si>
    <t>Tê PVC SOLD. Ø25mm</t>
  </si>
  <si>
    <t>Tê PVC SOLD. Ø20mm</t>
  </si>
  <si>
    <t>Bucha de Redução PVC SOLD. Ø50x32mm</t>
  </si>
  <si>
    <t>Bucha de Redução PVC SOLD. Ø32x25mm</t>
  </si>
  <si>
    <t>Adaptador PVC SOLD. CURTO C/ BOLSA E ROSCA Ø25x3/4"</t>
  </si>
  <si>
    <t>Base p/ Registro de Gaveta Ø3/4"</t>
  </si>
  <si>
    <t>Base p/ Registro de Pressão Ø3/4"</t>
  </si>
  <si>
    <t>Plug PVC ROSC. Ø1/2"</t>
  </si>
  <si>
    <t>Dimensionamento CX d'água</t>
  </si>
  <si>
    <t>nº leitos</t>
  </si>
  <si>
    <t>pop. tot.</t>
  </si>
  <si>
    <t>Suites 01</t>
  </si>
  <si>
    <t>Suite 02</t>
  </si>
  <si>
    <t>Suíte 03</t>
  </si>
  <si>
    <t>Consumo (L/Dia/hab)</t>
  </si>
  <si>
    <t>Pop tot (hab)</t>
  </si>
  <si>
    <t>Sanitária</t>
  </si>
  <si>
    <t>Rasgo em alvenaria p/ assentamento de tubos de Ø40mm</t>
  </si>
  <si>
    <t>Tubo PVC ESG. Ø200mm</t>
  </si>
  <si>
    <t>Tubo PVC ESG. Ø150mm</t>
  </si>
  <si>
    <t>coletor final p/ rede</t>
  </si>
  <si>
    <t>Tubo PVC ESG. Ø100mm</t>
  </si>
  <si>
    <t>considerando passagem de subcoletores na adm+comum</t>
  </si>
  <si>
    <t>Tubo PVC ESG. Ø75mm</t>
  </si>
  <si>
    <t>o da cozinha somente após junção das 3 pias de Ø50mm / lavanderia somente tubulação que conecta as máquinas</t>
  </si>
  <si>
    <t>Tubo PVC ESG. Ø50mm</t>
  </si>
  <si>
    <t>quartos ventilações e ralos / adm+comum pias [inclui o bar depois] + ventilações (qtd bwcs * 3) / ralos geral</t>
  </si>
  <si>
    <t>Tubo PVC ESG. Ø40mm</t>
  </si>
  <si>
    <t>quartos descidas lav.+até conectar no ramal do vaso / premissa 1,5m * qtd lavatórios</t>
  </si>
  <si>
    <t>Luva PVC ESG. Ø200mm</t>
  </si>
  <si>
    <t>Luva PVC ESG. Ø150mm</t>
  </si>
  <si>
    <t>premissa: 1 luva a cada 6,00m</t>
  </si>
  <si>
    <t>Luva PVC ESG. Ø100mm</t>
  </si>
  <si>
    <t>Luva PVC ESG. Ø75mm</t>
  </si>
  <si>
    <t>Luva PVC ESG. Ø50mm</t>
  </si>
  <si>
    <t>Luva PVC ESG. Ø40mm</t>
  </si>
  <si>
    <t>Curva PVC ESG. RAIO LONGO Ø100mm</t>
  </si>
  <si>
    <t>Joelho 90º PVC ESG. Ø100mm</t>
  </si>
  <si>
    <t>1/vaso</t>
  </si>
  <si>
    <t>Joelho 90º PVC ESG. Ø75mm</t>
  </si>
  <si>
    <t>Joelho 90º PVC ESG. Ø50mm</t>
  </si>
  <si>
    <t>2/ralo-&gt;Ventilação (locais c. chuveiro 2 ralos / 1 chuveiro 1 ralo) / 2/pia [bar e cozinha] / 2/maquina lavar</t>
  </si>
  <si>
    <t>Joelho 90º PVC ESG. Ø40mm</t>
  </si>
  <si>
    <t>2/lavatório (saída e descida)</t>
  </si>
  <si>
    <t>Joelho 45º PVC ESG. Ø100mm</t>
  </si>
  <si>
    <t>Joelho 45º PVC ESG. Ø75mm</t>
  </si>
  <si>
    <t>Joelho 45º PVC ESG. Ø50mm</t>
  </si>
  <si>
    <t>1/maquina e 1/pia e 1/ralo</t>
  </si>
  <si>
    <t>Joelho 45º PVC ESG. Ø40mm</t>
  </si>
  <si>
    <t>1/lavatório</t>
  </si>
  <si>
    <t>Tê PVC ESG. Ø100mm</t>
  </si>
  <si>
    <t>Tê PVC ESG. Ø50mm</t>
  </si>
  <si>
    <t>1/ambiente ventilado</t>
  </si>
  <si>
    <t>Junção PVC ESG. Ø100mm</t>
  </si>
  <si>
    <t>Junção PVC ESG. Ø75mm</t>
  </si>
  <si>
    <t>Junção PVC ESG. Ø50mm</t>
  </si>
  <si>
    <t>Junção PVC ESG. Ø40mm</t>
  </si>
  <si>
    <t>Junção PVC ESG. Ø100x50mm</t>
  </si>
  <si>
    <t>1/bwc</t>
  </si>
  <si>
    <t>Junção PVC ESG. Ø75x50mm</t>
  </si>
  <si>
    <t>CAP PVC ESG. Ø100mm</t>
  </si>
  <si>
    <t>Ralo Sifonado C/ SAÍDA DE Ø50mm</t>
  </si>
  <si>
    <t>2/bwc e 3 lavanderia (área comum observar necessidade)</t>
  </si>
  <si>
    <t>CAIXA DE PASSAGEM DE ALVENARIA E TAMPA DE CONCRETO</t>
  </si>
  <si>
    <t>CAIXA DE GORDURA DE ALVENARIA E TAMPA DE CONCRETO</t>
  </si>
  <si>
    <t>CAIXA DE SABÃO DE ALVENARIA E TAMPA DE CONCRETO</t>
  </si>
  <si>
    <t>Pluviais</t>
  </si>
  <si>
    <t>Tubo PVC ESG. SÉRIE R Ø200mm</t>
  </si>
  <si>
    <t>Tubo PVC ESG. SÉRIE R Ø150mm</t>
  </si>
  <si>
    <t>Tubo PVC ESG. SÉRIE R Ø100mm</t>
  </si>
  <si>
    <t>Curva 90º PVC ESG. SÉRIE R RAIO LONGO Ø100mm</t>
  </si>
  <si>
    <t>Joelho 90º PVC ESG. SÉRIE R Ø100mm</t>
  </si>
  <si>
    <t>Joelho 45º PVC ESG. SÉRIE R Ø100mm</t>
  </si>
  <si>
    <t>Junção PVC ESG. SÉRIE R Ø100mm</t>
  </si>
  <si>
    <t>CAP PVC ESG. SÉRIE R Ø100mm</t>
  </si>
  <si>
    <t>Combate a Incêndio</t>
  </si>
  <si>
    <t>Extintores</t>
  </si>
  <si>
    <t>Ilum de emerg</t>
  </si>
  <si>
    <t>Placa de rota</t>
  </si>
  <si>
    <t>Placa saida</t>
  </si>
  <si>
    <t>Gás</t>
  </si>
  <si>
    <t>Tubulação</t>
  </si>
  <si>
    <t>Somente cozinha</t>
  </si>
  <si>
    <t>Joelho 90º</t>
  </si>
  <si>
    <t xml:space="preserve">Tê  </t>
  </si>
  <si>
    <t>Válvulas</t>
  </si>
  <si>
    <t>Cilindros 90kg</t>
  </si>
  <si>
    <t>Rasgo em alvenaria para passagens de eletrodutos</t>
  </si>
  <si>
    <t>Eletroduto flexível Ø32mm</t>
  </si>
  <si>
    <t>quartos: entrada aérea</t>
  </si>
  <si>
    <t>Eletroduto flexível Ø25mm</t>
  </si>
  <si>
    <t>Eletroduto rígido Ø50mm</t>
  </si>
  <si>
    <t>muro: infra de iluminação pelo piso até chegar no muro</t>
  </si>
  <si>
    <t>Eletroduto rígido Ø25mm</t>
  </si>
  <si>
    <t>Caixa de Passagem 4"x2"</t>
  </si>
  <si>
    <t>Caixa de Passagem 3"x3"</t>
  </si>
  <si>
    <t>Cabo flexível 25mm2</t>
  </si>
  <si>
    <t>Cabo flexível 16mm2</t>
  </si>
  <si>
    <t>Cabo flexível 6mm2</t>
  </si>
  <si>
    <t>Cabo flexível 4mm2</t>
  </si>
  <si>
    <t>Cabo flexível 2,5mm2</t>
  </si>
  <si>
    <t>Cabo flexível 1,5mm2</t>
  </si>
  <si>
    <t>Tomada dupla</t>
  </si>
  <si>
    <t>Interruptores</t>
  </si>
  <si>
    <t>Luminárias</t>
  </si>
  <si>
    <t>Luminárias arandelas</t>
  </si>
  <si>
    <t>Quadro</t>
  </si>
  <si>
    <t>Quadro geral</t>
  </si>
  <si>
    <t>Disjuntor monopolar 10A</t>
  </si>
  <si>
    <t>Disjuntor monopolar 16A</t>
  </si>
  <si>
    <t>Disjuntor monopolar 20A</t>
  </si>
  <si>
    <t>Disjuntor tripolar 50A</t>
  </si>
  <si>
    <t>Quadro de distribuição</t>
  </si>
  <si>
    <t>Conjunto moto-bomba e filtro</t>
  </si>
  <si>
    <t>Telefonia</t>
  </si>
  <si>
    <t>Cabeamento de telefonia</t>
  </si>
  <si>
    <t>Tomada de telefone</t>
  </si>
  <si>
    <t>AR-CONDICIONADO (MÁQUINAS)</t>
  </si>
  <si>
    <t>Solução</t>
  </si>
  <si>
    <t>Suites</t>
  </si>
  <si>
    <t>18mil btus</t>
  </si>
  <si>
    <t>2x18mil btus</t>
  </si>
  <si>
    <t>fiação</t>
  </si>
  <si>
    <t>Depósito frio</t>
  </si>
  <si>
    <t>1x9mil btus</t>
  </si>
  <si>
    <t>Brinquedoteca</t>
  </si>
  <si>
    <t>2x12mil btus</t>
  </si>
  <si>
    <t>Salão restaurante</t>
  </si>
  <si>
    <t>7x30mil btus</t>
  </si>
  <si>
    <t>Bar</t>
  </si>
  <si>
    <t>1x12mil btus</t>
  </si>
  <si>
    <t>Auditório</t>
  </si>
  <si>
    <t>3x30mil btus</t>
  </si>
  <si>
    <t>Loja</t>
  </si>
  <si>
    <t>1x30mil btus</t>
  </si>
  <si>
    <t>Sala de reunião 01</t>
  </si>
  <si>
    <t>Sala de reunião 02</t>
  </si>
  <si>
    <t>Sala Gerente</t>
  </si>
  <si>
    <t>Sala ADM</t>
  </si>
  <si>
    <t>3x30mil btus + 1 12milbtus</t>
  </si>
  <si>
    <t>9mil btus</t>
  </si>
  <si>
    <t>12mil btus</t>
  </si>
  <si>
    <t>30mil btus</t>
  </si>
  <si>
    <t>Infra</t>
  </si>
  <si>
    <t>Dreno</t>
  </si>
  <si>
    <t>AR-CONDICIONADO (INFRAESTRUTURA)</t>
  </si>
  <si>
    <t>Qtd ACs</t>
  </si>
  <si>
    <t>Joelho 90</t>
  </si>
  <si>
    <t>Joelho 45</t>
  </si>
  <si>
    <t>PISO</t>
  </si>
  <si>
    <t>Lona</t>
  </si>
  <si>
    <t>Tela</t>
  </si>
  <si>
    <t>Conc. Piso</t>
  </si>
  <si>
    <t>Contrapiso</t>
  </si>
  <si>
    <t>Meio-Fio</t>
  </si>
  <si>
    <t>Colchão areia</t>
  </si>
  <si>
    <t>pav. bloq.</t>
  </si>
  <si>
    <t>Compact.</t>
  </si>
  <si>
    <t>Rej. Cim.</t>
  </si>
  <si>
    <t>Piso cerâmico</t>
  </si>
  <si>
    <t>Lixo</t>
  </si>
  <si>
    <t>Área Comum</t>
  </si>
  <si>
    <t xml:space="preserve">excluida área de acesso a gas / lixo </t>
  </si>
  <si>
    <t>Estacionamento</t>
  </si>
  <si>
    <t>Impermeabilização de áreas molhadas</t>
  </si>
  <si>
    <t>Perimetro</t>
  </si>
  <si>
    <t>Altura</t>
  </si>
  <si>
    <t>A. Tot.</t>
  </si>
  <si>
    <t>BWC Masc. / Fem. (Funcionários)</t>
  </si>
  <si>
    <t>BWC Masc.</t>
  </si>
  <si>
    <t>BWC Fem.</t>
  </si>
  <si>
    <t>BWC PCD</t>
  </si>
  <si>
    <t>WC</t>
  </si>
  <si>
    <t>WC Família c/ Fraldário</t>
  </si>
  <si>
    <t>WC Masc. / WC Fem.</t>
  </si>
  <si>
    <t>Gesso Acartonado</t>
  </si>
  <si>
    <t>Obs</t>
  </si>
  <si>
    <t>Incluso bwc</t>
  </si>
  <si>
    <t>Vestiário</t>
  </si>
  <si>
    <t>Louçaria</t>
  </si>
  <si>
    <t>Depósito Seco</t>
  </si>
  <si>
    <t>Hall Expurgo</t>
  </si>
  <si>
    <t>Depósito Frio</t>
  </si>
  <si>
    <t>Cozinha</t>
  </si>
  <si>
    <t>Higienização</t>
  </si>
  <si>
    <t>Refeitório</t>
  </si>
  <si>
    <t>Praça dos garçons</t>
  </si>
  <si>
    <t>Bar Piscina</t>
  </si>
  <si>
    <t>Lavatório</t>
  </si>
  <si>
    <t>Sala de reunião 01 e 02</t>
  </si>
  <si>
    <t>Sala gerente</t>
  </si>
  <si>
    <t>Sala adm</t>
  </si>
  <si>
    <t>Bancadas e Cubas</t>
  </si>
  <si>
    <t>Qtd bancadas</t>
  </si>
  <si>
    <t>Qtd cubas</t>
  </si>
  <si>
    <t>PORTAS E JANELAS (ESQUADRIAS)</t>
  </si>
  <si>
    <t>Porta 90</t>
  </si>
  <si>
    <t>Porta 80</t>
  </si>
  <si>
    <t>Jan 2x1,5</t>
  </si>
  <si>
    <t>Jan 1,5x1</t>
  </si>
  <si>
    <t>Jan 1x</t>
  </si>
  <si>
    <t>Bascu 1,2x</t>
  </si>
  <si>
    <t>Correr 4</t>
  </si>
  <si>
    <t>Correr 2</t>
  </si>
  <si>
    <t>Lambri</t>
  </si>
  <si>
    <t>Grade</t>
  </si>
  <si>
    <t>ADM+Comum</t>
  </si>
  <si>
    <t>REVESTIMENTOS / PINTURA</t>
  </si>
  <si>
    <t>2P Rev</t>
  </si>
  <si>
    <t>2P Pintura</t>
  </si>
  <si>
    <t>2P textura</t>
  </si>
  <si>
    <t>H Rev</t>
  </si>
  <si>
    <t>H Pintura</t>
  </si>
  <si>
    <t>H Textura</t>
  </si>
  <si>
    <t>A revest</t>
  </si>
  <si>
    <t>A Pintura</t>
  </si>
  <si>
    <t>A Textura</t>
  </si>
  <si>
    <t>Deck Piscina</t>
  </si>
  <si>
    <t xml:space="preserve">Pastilhas </t>
  </si>
  <si>
    <t>(Piscina)</t>
  </si>
  <si>
    <t>Piso</t>
  </si>
  <si>
    <t>Serviço</t>
  </si>
  <si>
    <t>Parede</t>
  </si>
  <si>
    <t>Gesso</t>
  </si>
  <si>
    <t>Selar</t>
  </si>
  <si>
    <t>Emassar</t>
  </si>
  <si>
    <t>Pintar</t>
  </si>
  <si>
    <t>Textura</t>
  </si>
  <si>
    <t>Acabamentos finais</t>
  </si>
  <si>
    <t xml:space="preserve">Vaso </t>
  </si>
  <si>
    <t>Vaso PCD</t>
  </si>
  <si>
    <t>Barras</t>
  </si>
  <si>
    <t>Chuveiros</t>
  </si>
  <si>
    <t>Torneiras</t>
  </si>
  <si>
    <t>Papeleiras</t>
  </si>
  <si>
    <t>Toalha rosto</t>
  </si>
  <si>
    <t>Toalha banho</t>
  </si>
  <si>
    <t>MÓVEIS</t>
  </si>
  <si>
    <t>Cama solteiro</t>
  </si>
  <si>
    <t>Movel cabec</t>
  </si>
  <si>
    <t>Armário</t>
  </si>
  <si>
    <t>Painel tv</t>
  </si>
  <si>
    <t>Armario inox</t>
  </si>
  <si>
    <t>Prateleira inox</t>
  </si>
  <si>
    <t>Mesa esc</t>
  </si>
  <si>
    <t>Cadeira esc</t>
  </si>
  <si>
    <t>Cadeira audit</t>
  </si>
  <si>
    <t>mesa refeit</t>
  </si>
  <si>
    <t>mesa rest</t>
  </si>
  <si>
    <t>ELETRODOMÉSTICO</t>
  </si>
  <si>
    <t>TV 40"</t>
  </si>
  <si>
    <t>Frigobar</t>
  </si>
  <si>
    <t>Freezer V</t>
  </si>
  <si>
    <t>Máq. Lavar</t>
  </si>
  <si>
    <t>Microondas</t>
  </si>
  <si>
    <t>Datashow</t>
  </si>
  <si>
    <t>Notebook</t>
  </si>
  <si>
    <t>Mesa de costura</t>
  </si>
  <si>
    <t>Mesa passar</t>
  </si>
  <si>
    <t>R$</t>
  </si>
  <si>
    <t>R$ Total</t>
  </si>
  <si>
    <t>https://www.magazineluiza.com.br/cama-box-solteiro-reconflex-conjugada-fenix-55x88x188cm/p/237083000/co/cjso/?&amp;seller_id=magazineluiza&amp;utm_source=google&amp;utm_medium=cpc&amp;utm_term=73837&amp;utm_campaign=google_eco_per_ven_pla_mo_apo_1p_moveis&amp;utm_content=&amp;partner_id=73837&amp;gclsrc=aw.ds&amp;gclid=EAIaIQobChMIz66vod7biQMVuBBECB3vPigMEAQYASABEgIKlvD_BwE</t>
  </si>
  <si>
    <t>https://produto.mercadolivre.com.br/MLB-3102257106-mesa-de-cabeceira-criado-para-quarto-retro-alice-_JM?matt_tool=18983347&amp;matt_word=&amp;matt_source=google&amp;matt_campaign_id=14302215531&amp;matt_ad_group_id=155854918005&amp;matt_match_type=&amp;matt_network=g&amp;matt_device=c&amp;matt_creative=686778909993&amp;matt_keyword=&amp;matt_ad_position=&amp;matt_ad_type=pla&amp;matt_merchant_id=5082132220&amp;matt_product_id=MLB3102257106&amp;matt_product_partition_id=1963044459753&amp;matt_target_id=aud-2009166904988:pla-1963044459753&amp;cq_src=google_ads&amp;cq_cmp=14302215531&amp;cq_net=g&amp;cq_plt=gp&amp;cq_med=pla&amp;gad_source=1&amp;gclid=EAIaIQobChMIy92QsN7biQMVp2FIAB1i9jxHEAQYCCABEgJON_D_BwE</t>
  </si>
  <si>
    <t>https://www.amazon.com.br/Solteiro-Gavetas-Coimbra-Atacama-Aram%C3%B3veis/dp/B0CG2C12RK/ref=asc_df_B0CG2C12RK/?tag=googleshopp00-20&amp;linkCode=df0&amp;hvadid=709968340954&amp;hvpos=&amp;hvnetw=g&amp;hvrand=5847029545021136100&amp;hvpone=&amp;hvptwo=&amp;hvqmt=&amp;hvdev=c&amp;hvdvcmdl=&amp;hvlocint=&amp;hvlocphy=9101555&amp;hvtargid=pla-2211163066079&amp;psc=1&amp;mcid=3c034600e6a83541b9792bf665a5fd68&amp;gad_source=1</t>
  </si>
  <si>
    <t>https://www.amazon.com.br/Painel-Polegadas-Nicho-Not%C3%A1vel-M%C3%B3veis/dp/B08WLZZTBJ/ref=asc_df_B08WLZZTBJ/?tag=googleshopp00-20&amp;linkCode=df0&amp;hvadid=709968341269&amp;hvpos=&amp;hvnetw=g&amp;hvrand=11829679873824661718&amp;hvpone=&amp;hvptwo=&amp;hvqmt=&amp;hvdev=c&amp;hvdvcmdl=&amp;hvlocint=&amp;hvlocphy=9101555&amp;hvtargid=pla-1412287651358&amp;psc=1&amp;mcid=5e9e077825333cc89c38a4105460d7fa&amp;gad_source=1</t>
  </si>
  <si>
    <t>https://produto.mercadolivre.com.br/MLB-2975393334-estante-aco-5-prateleiras-cromada-aramada-170-cm-desmontavel-_JM?matt_tool=63065976&amp;matt_word=&amp;matt_source=google&amp;matt_campaign_id=14302215534&amp;matt_ad_group_id=154967597988&amp;matt_match_type=&amp;matt_network=g&amp;matt_device=c&amp;matt_creative=649487315899&amp;matt_keyword=&amp;matt_ad_position=&amp;matt_ad_type=pla&amp;matt_merchant_id=700812106&amp;matt_product_id=MLB2975393334&amp;matt_product_partition_id=1960832236233&amp;matt_target_id=aud-2009166904988:pla-1960832236233&amp;cq_src=google_ads&amp;cq_cmp=14302215534&amp;cq_net=g&amp;cq_plt=gp&amp;cq_med=pla&amp;gad_source=1&amp;gclid=EAIaIQobChMIlu_g697biQMV-TtECB1HpikBEAQYBCABEgLTl_D_BwE</t>
  </si>
  <si>
    <t>https://www.magazineluiza.com.br/prateleira-aco-inox-parede-decoracao-57x21-inox-laurindos/p/fccaaghfej/de/prha/?seller_id=redepinhal&amp;srsltid=AfmBOoruNCZ5-JmVdUAu06FV988LzwvyzjLorqneW_Nr2UJVBDitIbb4W6I</t>
  </si>
  <si>
    <t>https://www.mercadolivre.com.br/escrivaninha-steel-mobile-star-mdf-de-120cm-x-74cm-x-45cm-pretoimbuia/p/MLB27820924?pdp_filters=item_id%3AMLB3775751417&amp;from=gshop&amp;matt_tool=18983347&amp;matt_word=&amp;matt_source=google&amp;matt_campaign_id=14302215531&amp;matt_ad_group_id=155854918005&amp;matt_match_type=&amp;matt_network=g&amp;matt_device=c&amp;matt_creative=686778909993&amp;matt_keyword=&amp;matt_ad_position=&amp;matt_ad_type=pla&amp;matt_merchant_id=735128761&amp;matt_product_id=MLB27820924-product&amp;matt_product_partition_id=1963044459553&amp;matt_target_id=aud-2009166904988:pla-1963044459553&amp;cq_src=google_ads&amp;cq_cmp=14302215531&amp;cq_net=g&amp;cq_plt=gp&amp;cq_med=pla&amp;gad_source=1&amp;gclid=EAIaIQobChMI6pr-jd_biQMVaihECB0kogTDEAQYAiABEgJrLfD_BwE</t>
  </si>
  <si>
    <t>https://www.amazon.com.br/Cadeira-Escrit%C3%B3rio-Secret%C3%A1ria-Cromada-Rodinha/dp/B0D9HNH2KN/ref=asc_df_B0D9HNH2KN/?tag=googleshopp00-20&amp;linkCode=df0&amp;hvadid=709968340957&amp;hvpos=&amp;hvnetw=g&amp;hvrand=3823642956765407686&amp;hvpone=&amp;hvptwo=&amp;hvqmt=&amp;hvdev=c&amp;hvdvcmdl=&amp;hvlocint=&amp;hvlocphy=9101555&amp;hvtargid=pla-2331342379100&amp;psc=1&amp;mcid=9be4355e61863f34835c82a7a81b94b3&amp;gad_source=1</t>
  </si>
  <si>
    <t>https://produto.mercadolivre.com.br/MLB-4478143044-cadeira-de-escritorio-secretaria-fixa-palito-j-serrano-preta-_JM?matt_tool=18983347&amp;matt_word=&amp;matt_source=google&amp;matt_campaign_id=14302215531&amp;matt_ad_group_id=155854918005&amp;matt_match_type=&amp;matt_network=g&amp;matt_device=c&amp;matt_creative=686778909993&amp;matt_keyword=&amp;matt_ad_position=&amp;matt_ad_type=pla&amp;matt_merchant_id=5326759621&amp;matt_product_id=MLB4478143044&amp;matt_product_partition_id=1963044459753&amp;matt_target_id=aud-2009166904988:pla-1963044459753&amp;cq_src=google_ads&amp;cq_cmp=14302215531&amp;cq_net=g&amp;cq_plt=gp&amp;cq_med=pla&amp;gad_source=1&amp;gclid=EAIaIQobChMIuJXxpt_biQMV_w9ECB0-USfiEAQYAiABEgI_-_D_BwE</t>
  </si>
  <si>
    <t>https://www.madeiramadeira.com.br/conjunto-mesa-para-refeitorio-6-lugares-com-bancos-separados-945285169.html?origem=pla-945285169&amp;utm_source=google&amp;utm_medium=cpc&amp;utm_content=mesas-para-sala-de-jantar-5168&amp;utm_term=&amp;utm_id=17456093492&amp;gad_source=1&amp;gclid=EAIaIQobChMIlbGO3t_biQMVjFhIAB1wWwDDEAQYAyABEgL9ZvD_BwE</t>
  </si>
  <si>
    <t>https://produto.mercadolivre.com.br/MLB-5004944758-jogo-mesa-plastica-restaurante-hotel-quadrada-rattan-marrom-_JM?matt_tool=38467324&amp;matt_word=&amp;matt_source=google&amp;matt_campaign_id=14302215510&amp;matt_ad_group_id=157102242403&amp;matt_match_type=&amp;matt_network=g&amp;matt_device=c&amp;matt_creative=686778909984&amp;matt_keyword=&amp;matt_ad_position=&amp;matt_ad_type=pla&amp;matt_merchant_id=556898629&amp;matt_product_id=MLB5004944758&amp;matt_product_partition_id=1961825176466&amp;matt_target_id=aud-2009166904988:pla-1961825176466&amp;cq_src=google_ads&amp;cq_cmp=14302215510&amp;cq_net=g&amp;cq_plt=gp&amp;cq_med=pla&amp;gad_source=1&amp;gclid=EAIaIQobChMIzKLYueHbiQMVo0JIAB2cOQWsEAQYDyABEgIi4_D_BwE</t>
  </si>
  <si>
    <t>Talheres</t>
  </si>
  <si>
    <t>https://www.amazon.com.br/Pe%C3%A7as-Garfo-Colher-Buffet-Restaurante/dp/B0CD6D4GX4/ref=asc_df_B0CD6D4GX4/?tag=googleshopp00-20&amp;linkCode=df0&amp;hvadid=709964506220&amp;hvpos=&amp;hvnetw=g&amp;hvrand=13128620473185654699&amp;hvpone=&amp;hvptwo=&amp;hvqmt=&amp;hvdev=c&amp;hvdvcmdl=&amp;hvlocint=&amp;hvlocphy=9101555&amp;hvtargid=pla-2203097789675&amp;psc=1&amp;mcid=62c7cb3925483537a493d694da1a5d33&amp;gad_source=1</t>
  </si>
  <si>
    <t>Pratos</t>
  </si>
  <si>
    <t>https://produto.mercadolivre.com.br/MLB-2087077767-50-pratos-rasos-para-restaurante-buffet-hotel-lanchonete-bar-_JM?matt_tool=68506710&amp;matt_word=&amp;matt_source=google&amp;matt_campaign_id=14302215504&amp;matt_ad_group_id=154967597028&amp;matt_match_type=&amp;matt_network=g&amp;matt_device=c&amp;matt_creative=649487315881&amp;matt_keyword=&amp;matt_ad_position=&amp;matt_ad_type=pla&amp;matt_merchant_id=122236285&amp;matt_product_id=MLB2087077767&amp;matt_product_partition_id=2014536770847&amp;matt_target_id=aud-2009166904988:pla-2014536770847&amp;cq_src=google_ads&amp;cq_cmp=14302215504&amp;cq_net=g&amp;cq_plt=gp&amp;cq_med=pla&amp;gad_source=1&amp;gclid=EAIaIQobChMInffEzeLbiQMVwFVIAB2IYgD1EAQYAyABEgIUNfD_BwE</t>
  </si>
  <si>
    <t>Panelas</t>
  </si>
  <si>
    <t>https://produto.mercadolivre.com.br/MLB-1787337670-kit-cacarola-grande-restaurante-5-pecas-_JM?matt_tool=63065976&amp;matt_word=&amp;matt_source=google&amp;matt_campaign_id=14302215534&amp;matt_ad_group_id=154967597988&amp;matt_match_type=&amp;matt_network=g&amp;matt_device=c&amp;matt_creative=649487315899&amp;matt_keyword=&amp;matt_ad_position=&amp;matt_ad_type=pla&amp;matt_merchant_id=216526590&amp;matt_product_id=MLB1787337670&amp;matt_product_partition_id=1960832236233&amp;matt_target_id=aud-2009166904988:pla-1960832236233&amp;cq_src=google_ads&amp;cq_cmp=14302215534&amp;cq_net=g&amp;cq_plt=gp&amp;cq_med=pla&amp;gad_source=1&amp;gclid=EAIaIQobChMIn9Xj3eLbiQMVWSVECB1ygh5QEAQYAyABEgJ2IPD_BwE</t>
  </si>
  <si>
    <t>Coifa</t>
  </si>
  <si>
    <t>https://produto.mercadolivre.com.br/MLB-1086005988-coifa-industrial-130-x-060-dois-dutos-com-motor-e-chapeu-_JM?matt_tool=24471422&amp;matt_word=&amp;matt_source=google&amp;matt_campaign_id=14303413841&amp;matt_ad_group_id=125984300877&amp;matt_match_type=&amp;matt_network=g&amp;matt_device=c&amp;matt_creative=539354957217&amp;matt_keyword=&amp;matt_ad_position=&amp;matt_ad_type=pla&amp;matt_merchant_id=288193372&amp;matt_product_id=MLB1086005988&amp;matt_product_partition_id=2269750507396&amp;matt_target_id=aud-2009166904988:pla-2269750507396&amp;cq_src=google_ads&amp;cq_cmp=14303413841&amp;cq_net=g&amp;cq_plt=gp&amp;cq_med=pla&amp;gad_source=1&amp;gclid=EAIaIQobChMI15yx14nciQMVTF5IAB3tsAOWEAQYAyABEgJPwfD_BwE</t>
  </si>
  <si>
    <t>https://www.amazon.com.br/TCL-LED-SMART-S5400A-ANDROID/dp/B0CC73MY9D/ref=asc_df_B0CC73MY9D/?tag=googleshopp00-20&amp;linkCode=df0&amp;hvadid=709964502896&amp;hvpos=&amp;hvnetw=g&amp;hvrand=6785519557594998482&amp;hvpone=&amp;hvptwo=&amp;hvqmt=&amp;hvdev=c&amp;hvdvcmdl=&amp;hvlocint=&amp;hvlocphy=9101555&amp;hvtargid=pla-2260808535249&amp;psc=1&amp;mcid=e2969ca9e1a331f591d3bb4b6c781143&amp;gad_source=1</t>
  </si>
  <si>
    <t>https://www.amazon.com.br/Midea-MDRD108FGA011-FRIGOBAR-MIDEA-127V/dp/B0BT63ZBT7/ref=asc_df_B0BT63ZBT7/?tag=googleshopp00-20&amp;linkCode=df0&amp;hvadid=709884460975&amp;hvpos=&amp;hvnetw=g&amp;hvrand=16718862186633003967&amp;hvpone=&amp;hvptwo=&amp;hvqmt=&amp;hvdev=c&amp;hvdvcmdl=&amp;hvlocint=&amp;hvlocphy=9101555&amp;hvtargid=pla-2015581519099&amp;psc=1&amp;mcid=4b1a9085b26a373c81e14016dd13ab70&amp;gad_source=1</t>
  </si>
  <si>
    <t>https://www.amazon.com.br/Geladeira-Consul-Degelo-Gavet%C3%A3o-Hortifruti/dp/B076B97232/ref=asc_df_B076B97232/?tag=googleshopp00-20&amp;linkCode=df0&amp;hvadid=709884460975&amp;hvpos=&amp;hvnetw=g&amp;hvrand=9997892139953941511&amp;hvpone=&amp;hvptwo=&amp;hvqmt=&amp;hvdev=c&amp;hvdvcmdl=&amp;hvlocint=&amp;hvlocphy=9101555&amp;hvtargid=pla-2371707239973&amp;psc=1&amp;mcid=b0b0cf57d200310093cb3648ade593da&amp;gad_source=1</t>
  </si>
  <si>
    <t>https://www.amazon.com.br/Lavadora-Electrolux-LFE11-Front-Premium/dp/B084RNYPPZ/ref=asc_df_B084RNYPPZ/?tag=googleshopp00-20&amp;linkCode=df0&amp;hvadid=709884460999&amp;hvpos=&amp;hvnetw=g&amp;hvrand=9953422435084978048&amp;hvpone=&amp;hvptwo=&amp;hvqmt=&amp;hvdev=c&amp;hvdvcmdl=&amp;hvlocint=&amp;hvlocphy=9101555&amp;hvtargid=pla-1410547872629&amp;psc=1&amp;mcid=fd6d98078a07319f9c2029f954150072&amp;gad_source=1</t>
  </si>
  <si>
    <t>https://www.amazon.com.br/Forno-Micro-ondas-Preto-Midea-MRAS22/dp/B0931ZRJ66/ref=asc_df_B0931ZRJ66/?tag=googleshopp00-20&amp;linkCode=df0&amp;hvadid=709886750320&amp;hvpos=&amp;hvnetw=g&amp;hvrand=13962439182616537260&amp;hvpone=&amp;hvptwo=&amp;hvqmt=&amp;hvdev=c&amp;hvdvcmdl=&amp;hvlocint=&amp;hvlocphy=9101555&amp;hvtargid=pla-1395669744615&amp;psc=1&amp;mcid=794d8c196632344cb432af5f31c6bbd3&amp;gad_source=1</t>
  </si>
  <si>
    <t>https://www.amazon.com.br/Projetor-Lumens-PFL-5210-Intelbras/dp/B0CNH5K3JM/ref=asc_df_B0CNH5K3JM/?tag=googleshopp00-20&amp;linkCode=df0&amp;hvadid=709964502890&amp;hvpos=&amp;hvnetw=g&amp;hvrand=17960110704650655243&amp;hvpone=&amp;hvptwo=&amp;hvqmt=&amp;hvdev=c&amp;hvdvcmdl=&amp;hvlocint=&amp;hvlocphy=9101555&amp;hvtargid=pla-2311524453804&amp;psc=1&amp;mcid=b48e344d7e003d37aa2ab723c8eba6f3&amp;gad_source=1</t>
  </si>
  <si>
    <t>https://www.amazon.com.br/Notebook-Lenovo-Ideapad-i5-1235U-512GB/dp/B0CK3R8JYG/ref=asc_df_B0CK3R8JYG/?tag=googleshopp00-20&amp;linkCode=df0&amp;hvadid=709884378364&amp;hvpos=&amp;hvnetw=g&amp;hvrand=12434131605951846581&amp;hvpone=&amp;hvptwo=&amp;hvqmt=&amp;hvdev=c&amp;hvdvcmdl=&amp;hvlocint=&amp;hvlocphy=9101555&amp;hvtargid=pla-2259396492379&amp;psc=1&amp;mcid=615efcdecbd33b0095df075ef0bd9071&amp;gad_source=1</t>
  </si>
  <si>
    <t>https://produto.mercadolivre.com.br/MLB-5028941824-mesa-bancada-para-maquinas-de-costura-singer-facilita-pro-_JM?matt_tool=84319704&amp;matt_word=&amp;matt_source=google&amp;matt_campaign_id=16393052799&amp;matt_ad_group_id=136691958631&amp;matt_match_type=&amp;matt_network=g&amp;matt_device=c&amp;matt_creative=584296520780&amp;matt_keyword=&amp;matt_ad_position=&amp;matt_ad_type=pla&amp;matt_merchant_id=5325874933&amp;matt_product_id=MLB5028941824&amp;matt_product_partition_id=2268631379008&amp;matt_target_id=aud-2009166904988:pla-2268631379008&amp;cq_src=google_ads&amp;cq_cmp=16393052799&amp;cq_net=g&amp;cq_plt=gp&amp;cq_med=pla&amp;gad_source=1&amp;gclid=EAIaIQobChMI8vKvuODbiQMVUlhIAB0u6gDCEAQYASABEgJrBPD_BwE</t>
  </si>
  <si>
    <t>Mesa de passar</t>
  </si>
  <si>
    <t>https://produto.mercadolivre.com.br/MLB-4394801500-mesa-passadeira-de-roupa-grande-jumbo-142-com-suporte-ferro-_JM?matt_tool=68506710&amp;matt_word=&amp;matt_source=google&amp;matt_campaign_id=14302215504&amp;matt_ad_group_id=154967597028&amp;matt_match_type=&amp;matt_network=g&amp;matt_device=c&amp;matt_creative=649487315881&amp;matt_keyword=&amp;matt_ad_position=&amp;matt_ad_type=pla&amp;matt_merchant_id=411380408&amp;matt_product_id=MLB4394801500&amp;matt_product_partition_id=2014536770767&amp;matt_target_id=aud-2009166904988:pla-2014536770767&amp;cq_src=google_ads&amp;cq_cmp=14302215504&amp;cq_net=g&amp;cq_plt=gp&amp;cq_med=pla&amp;gad_source=1&amp;gclid=EAIaIQobChMIw57R-eLbiQMV3iBECB3A0wgXEAQYAiABEgLfhfD_BwE</t>
  </si>
  <si>
    <t>Mesa dobrar</t>
  </si>
  <si>
    <t>https://produto.mercadolivre.com.br/MLB-4540511064-mesa-dobravel-122-ajusta-de-altura-suporta-150-kg-_JM?matt_tool=47780295&amp;matt_word=&amp;matt_source=google&amp;matt_campaign_id=14302215540&amp;matt_ad_group_id=157843787695&amp;matt_match_type=&amp;matt_network=g&amp;matt_device=c&amp;matt_creative=686778909996&amp;matt_keyword=&amp;matt_ad_position=&amp;matt_ad_type=pla&amp;matt_merchant_id=105657373&amp;matt_product_id=MLB4540511064&amp;matt_product_partition_id=1961862651521&amp;matt_target_id=aud-2009166904988:pla-1961862651521&amp;cq_src=google_ads&amp;cq_cmp=14302215540&amp;cq_net=g&amp;cq_plt=gp&amp;cq_med=pla&amp;gad_source=1&amp;gclid=EAIaIQobChMIwoTZkOPbiQMVuVVIAB1shwC9EAQYAiABEgK_NPD_BwE</t>
  </si>
  <si>
    <t>Roupeiro</t>
  </si>
  <si>
    <t>https://produto.mercadolivre.com.br/MLB-3516833815-armario-roupeiro-aco-12-portas-guarda-volume-trinco-_JM?matt_tool=81686442&amp;matt_word=&amp;matt_source=google&amp;matt_campaign_id=14302215513&amp;matt_ad_group_id=130580034710&amp;matt_match_type=&amp;matt_network=g&amp;matt_device=c&amp;matt_creative=542969737596&amp;matt_keyword=&amp;matt_ad_position=&amp;matt_ad_type=pla&amp;matt_merchant_id=5386182031&amp;matt_product_id=MLB3516833815&amp;matt_product_partition_id=2323205042847&amp;matt_target_id=aud-2009166904988:pla-2323205042847&amp;cq_src=google_ads&amp;cq_cmp=14302215513&amp;cq_net=g&amp;cq_plt=gp&amp;cq_med=pla&amp;gad_source=1&amp;gclid=EAIaIQobChMIu6Ttp-PbiQMVo0JIAB2cOQWsEAQYBCABEgIxsfD_BwE</t>
  </si>
  <si>
    <t>Kit academia</t>
  </si>
  <si>
    <t>https://www.amazon.com.br/Esta%C3%A7%C3%A3o-Muscula%C3%A7%C3%A3o-Academia-Podiumfit-Me200-65kg/dp/B08642FYQ4/ref=asc_df_B08642FYQ4/?tag=googleshopp00-20&amp;linkCode=df0&amp;hvadid=709857070023&amp;hvpos=&amp;hvnetw=g&amp;hvrand=6554924835057423462&amp;hvpone=&amp;hvptwo=&amp;hvqmt=&amp;hvdev=c&amp;hvdvcmdl=&amp;hvlocint=&amp;hvlocphy=9101555&amp;hvtargid=pla-930540053204&amp;psc=1&amp;mcid=a17b783eea1c386d80d3699710d749b6&amp;gad_source=1</t>
  </si>
  <si>
    <t>Esteira</t>
  </si>
  <si>
    <t>https://www.amazon.com.br/Esteira-ergom%C3%A9trica-Dr2110-Dream-Fitness/dp/B07XG2SF77/ref=asc_df_B07XG2SF77/?tag=googleshopp00-20&amp;linkCode=df0&amp;hvadid=709857069984&amp;hvpos=&amp;hvnetw=g&amp;hvrand=14836885530846891182&amp;hvpone=&amp;hvptwo=&amp;hvqmt=&amp;hvdev=c&amp;hvdvcmdl=&amp;hvlocint=&amp;hvlocphy=9101555&amp;hvtargid=pla-916570325914&amp;psc=1&amp;mcid=931090319c903015b63b4be384364a8f&amp;gad_source=1</t>
  </si>
  <si>
    <t>Bicicleta</t>
  </si>
  <si>
    <t>https://www.amazon.com.br/Ergometrica-Ergom%C3%A9trica-Bicicletas-Ergom%C3%A9tricas-Silenciosa/dp/B0DJ7C21YV/ref=asc_df_B0DJ7C21YV/?tag=googleshopp00-20&amp;linkCode=df0&amp;hvadid=709857069984&amp;hvpos=&amp;hvnetw=g&amp;hvrand=11031128221219538495&amp;hvpone=&amp;hvptwo=&amp;hvqmt=&amp;hvdev=c&amp;hvdvcmdl=&amp;hvlocint=&amp;hvlocphy=9101555&amp;hvtargid=pla-2372454745808&amp;psc=1&amp;mcid=121f7e00f2103b46a0a8bd329ee7119b&amp;gad_source=1</t>
  </si>
  <si>
    <t>Banco de acad</t>
  </si>
  <si>
    <t>https://www.amazon.com.br/Banco-Supino-Muscula%C3%A7%C3%A3o-Academia-90x30x42cm/dp/B0D51HC7CN/ref=asc_df_B0D51HC7CN/?tag=googleshopp00-20&amp;linkCode=df0&amp;hvadid=709857070023&amp;hvpos=&amp;hvnetw=g&amp;hvrand=9739932977692915275&amp;hvpone=&amp;hvptwo=&amp;hvqmt=&amp;hvdev=c&amp;hvdvcmdl=&amp;hvlocint=&amp;hvlocphy=9101555&amp;hvtargid=pla-2314628788070&amp;psc=1&amp;mcid=599d07ee8ed632609b2cf1c0a0a1e25a&amp;gad_source=1</t>
  </si>
  <si>
    <t>Kit halteres</t>
  </si>
  <si>
    <t>https://produto.mercadolivre.com.br/MLB-3226402377-kit-halteres-de-1-a-10kg-emborrachados-10-pares-suporte-_JM?matt_tool=65726776&amp;matt_word=&amp;matt_source=google&amp;matt_campaign_id=21817993345&amp;matt_ad_group_id=168458186866&amp;matt_match_type=&amp;matt_network=g&amp;matt_device=c&amp;matt_creative=717401467184&amp;matt_keyword=&amp;matt_ad_position=&amp;matt_ad_type=pla&amp;matt_merchant_id=134385982&amp;matt_product_id=MLB3226402377&amp;matt_product_partition_id=613677686816&amp;matt_target_id=aud-2009166904988:pla-613677686816&amp;cq_src=google_ads&amp;cq_cmp=21817993345&amp;cq_net=g&amp;cq_plt=gp&amp;cq_med=pla&amp;gad_source=1&amp;gclid=EAIaIQobChMIx7TpkOTbiQMVlyJECB3ZSigYEAQYAyABEgIuh_D_BwE</t>
  </si>
  <si>
    <t>Kit brinquedoteca</t>
  </si>
  <si>
    <t>https://www.amazon.com.br/Piscina-Bolinhas-500un-Escorrega-Gangorra/dp/B0CHCT33RF/ref=asc_df_B0CHCT33RF/?tag=googleshopp00-20&amp;linkCode=df0&amp;hvadid=709857019626&amp;hvpos=&amp;hvnetw=g&amp;hvrand=13778785945494152306&amp;hvpone=&amp;hvptwo=&amp;hvqmt=&amp;hvdev=c&amp;hvdvcmdl=&amp;hvlocint=&amp;hvlocphy=9101555&amp;hvtargid=pla-2212933292846&amp;psc=1&amp;mcid=bc924582653c36a3a35043696837ffef&amp;gad_source=1</t>
  </si>
  <si>
    <t>Limpeza</t>
  </si>
  <si>
    <t>Área acesso</t>
  </si>
  <si>
    <t>Lav/gas/lixo</t>
  </si>
  <si>
    <t>Objeto:</t>
  </si>
  <si>
    <t>Demolição e Construção do Hotel Pedro II</t>
  </si>
  <si>
    <t>Ago/2024</t>
  </si>
  <si>
    <t>Endereço:</t>
  </si>
  <si>
    <t>SICRO</t>
  </si>
  <si>
    <t>Jul/2024</t>
  </si>
  <si>
    <t>Nº Processo:</t>
  </si>
  <si>
    <t>00002.000444/2024-19</t>
  </si>
  <si>
    <t>BDI</t>
  </si>
  <si>
    <t>DESCRIÇÃO DOS SERVIÇOS</t>
  </si>
  <si>
    <t>UNIDADE</t>
  </si>
  <si>
    <t>QUANTIDADE</t>
  </si>
  <si>
    <t>V. UNIT. (R$)</t>
  </si>
  <si>
    <t>SERVIÇOS INICIAIS</t>
  </si>
  <si>
    <t>Eq. Proj.</t>
  </si>
  <si>
    <t>1.1</t>
  </si>
  <si>
    <t>Elaboração de Projetos Executivos</t>
  </si>
  <si>
    <t>1.11</t>
  </si>
  <si>
    <t>1.15</t>
  </si>
  <si>
    <t>Ligações provisiórias - Energia Elétrica</t>
  </si>
  <si>
    <t>1.16</t>
  </si>
  <si>
    <t>Ligações provisórias - Água e esgoto</t>
  </si>
  <si>
    <t>SERVIÇOS PRELIMINARES</t>
  </si>
  <si>
    <t>2.1</t>
  </si>
  <si>
    <t>Placa de obra</t>
  </si>
  <si>
    <t>FORNECIMENTO E INSTALAÇÃO DE PLACA DE OBRA COM CHAPA GALVANIZADA E ESTRUTURA DE MADEIRA. AF_03/2022_PS</t>
  </si>
  <si>
    <t>2.2</t>
  </si>
  <si>
    <t>Demolição de Alvenaria</t>
  </si>
  <si>
    <t>m3</t>
  </si>
  <si>
    <t>DEMOLIÇÃO DE ALVENARIA PARA QUALQUER TIPO DE BLOCO, DE FORMA MECANIZADA, SEM REAPROVEITAMENTO. AF_09/2023</t>
  </si>
  <si>
    <t>2.3</t>
  </si>
  <si>
    <t>Demolição de Concreto</t>
  </si>
  <si>
    <t>DEMOLIÇÃO DE PILARES E VIGAS EM CONCRETO ARMADO, DE FORMA MECANIZADA COM MARTELETE, SEM REAPROVEITAMENTO. AF_09/2023</t>
  </si>
  <si>
    <t>2.4</t>
  </si>
  <si>
    <t>REGULARIZAÇÃO DE BOTA-FORA COM ESPALHAMENTO E COMPACTAÇÃO</t>
  </si>
  <si>
    <t>2.6</t>
  </si>
  <si>
    <t xml:space="preserve">Terraplenagem </t>
  </si>
  <si>
    <t>RASPAGEM E LIMPEZA DE TERRENO PLANO</t>
  </si>
  <si>
    <t>PRÓPRIA</t>
  </si>
  <si>
    <t>2.7</t>
  </si>
  <si>
    <t>Canteiro de obras</t>
  </si>
  <si>
    <t>CANTEIRO DE OBRAS COM BANHEIROS, REFEITÓRIO E ALMOXARIFE/ESCRITÓRIO</t>
  </si>
  <si>
    <t>2.8</t>
  </si>
  <si>
    <t>Gabarito</t>
  </si>
  <si>
    <t>LOCAÇÃO CONVENCIONAL DE OBRA, UTILIZANDO GABARITO DE TÁBUAS CORRIDAS PONTALETADAS A CADA 2,00M -  2 UTILIZAÇÕES. AF_03/2024</t>
  </si>
  <si>
    <t>INFRAESTRUTURA</t>
  </si>
  <si>
    <t>3.1</t>
  </si>
  <si>
    <t>ESCAVAÇÃO MECANIZADA PARA BLOCO DE COROAMENTO OU SAPATA COM RETROESCAVADEIRA (INCLUINDO ESCAVAÇÃO PARA COLOCAÇÃO DE FÔRMAS). AF_01/2024</t>
  </si>
  <si>
    <t>3.2</t>
  </si>
  <si>
    <t>COMPACTAÇÃO MECÂNICA DE SOLO PARA EXECUÇÃO DE RADIER, PISO DE CONCRETO  OU LAJE SOBRE SOLO, COM COMPACTADOR DE SOLOS A PERCUSSÃO. AF_09/2021</t>
  </si>
  <si>
    <t>3.3</t>
  </si>
  <si>
    <t>Lastro de concreto magro</t>
  </si>
  <si>
    <t>LASTRO DE CONCRETO MAGRO, APLICADO EM BLOCOS DE COROAMENTO OU SAPATAS,  ESPESSURA DE 5 CM. AF_01/2024</t>
  </si>
  <si>
    <t>3.4</t>
  </si>
  <si>
    <t xml:space="preserve">Concreto ciclópico </t>
  </si>
  <si>
    <t>CONCRETO CICLÓPICO FCK = 15MPA, 30% PEDRA DE MÃO EM VOLUME REAL, INCLUSIVE LANÇAMENTO. AF_05/2021</t>
  </si>
  <si>
    <t>3.5</t>
  </si>
  <si>
    <t>Alvenaria de embasamento</t>
  </si>
  <si>
    <t>ALVENARIA DE EMBASAMENTO COM BLOCO ESTRUTURAL DE CERÂMICA, DE 14X19X29CM E ARGAMASSA DE ASSENTAMENTO COM PREPARO EM BETONEIRA. AF_05/2020</t>
  </si>
  <si>
    <t>3.6</t>
  </si>
  <si>
    <t>FABRICAÇÃO DE FÔRMA PARA VIGAS, COM MADEIRA SERRADA, E = 25 MM. AF_09/2020</t>
  </si>
  <si>
    <t>3.7</t>
  </si>
  <si>
    <t>Aço-CA50 Ø10.00mm</t>
  </si>
  <si>
    <t>ARMAÇÃO DE PILAR OU VIGA DE ESTRUTURA CONVENCIONAL DE CONCRETO ARMADO  UTILIZANDO AÇO CA-50 DE 10,0 MM - MONTAGEM. AF_06/2022</t>
  </si>
  <si>
    <t>3.8</t>
  </si>
  <si>
    <t>Aço-CA50 Ø5.00mm</t>
  </si>
  <si>
    <t>ARMAÇÃO DE PILAR OU VIGA DE ESTRUTURA CONVENCIONAL DE CONCRETO ARMADO  UTILIZANDO AÇO CA-60 DE 5,0 MM - MONTAGEM. AF_06/2022</t>
  </si>
  <si>
    <t>3.9</t>
  </si>
  <si>
    <t>Concreto FCK=25MPa</t>
  </si>
  <si>
    <t>CONCRETO FCK = 25MPA, TRAÇO 1:2,3:2,7 (EM MASSA SECA DE CIMENTO/ AREIA MÉDIA/ BRITA 1) - PREPARO MECÂNICO COM BETONEIRA 400 L. AF_05/2021</t>
  </si>
  <si>
    <t>3.10</t>
  </si>
  <si>
    <t>Impermeabilização de cintas</t>
  </si>
  <si>
    <t>IMPERMEABILIZAÇÃO DE SUPERFÍCIE COM EMULSÃO ASFÁLTICA, 2 DEMÃOS. AF_09/2023</t>
  </si>
  <si>
    <t>3.11</t>
  </si>
  <si>
    <t>Reaterro compactado</t>
  </si>
  <si>
    <t>REATERRO MANUAL DE VALAS, COM PLACA VIBRATÓRIA.  AF_08/2023</t>
  </si>
  <si>
    <t>SUPERESTRUTURA</t>
  </si>
  <si>
    <t>4.1</t>
  </si>
  <si>
    <t>Aço Ø10.00mm</t>
  </si>
  <si>
    <t>4.2</t>
  </si>
  <si>
    <t>Aço Ø5.00mm</t>
  </si>
  <si>
    <t>4.3</t>
  </si>
  <si>
    <t>4.4</t>
  </si>
  <si>
    <t>Formas madeirite</t>
  </si>
  <si>
    <t>FABRICAÇÃO DE FÔRMA PARA LAJES, EM CHAPA DE MADEIRA COMPENSADA PLASTIFICADA, E = 18 MM. AF_09/2020</t>
  </si>
  <si>
    <t>4.5</t>
  </si>
  <si>
    <t>Formas em alvenaria p/ piscina</t>
  </si>
  <si>
    <t>ALVENARIA DE VEDAÇÃO DE BLOCOS CERÂMICOS FURADOS NA HORIZONTAL DE 9X19X19 CM (ESPESSURA 9 CM) E ARGAMASSA DE ASSENTAMENTO COM PREPARO EM BETONEIRA. AF_12/2021</t>
  </si>
  <si>
    <t>4.6</t>
  </si>
  <si>
    <t>4.7</t>
  </si>
  <si>
    <t>Impermeabilização c/ argamassa polimérica</t>
  </si>
  <si>
    <t>IMPERMEABILIZAÇÃO DE SUPERFÍCIE COM ARGAMASSA POLIMÉRICA / MEMBRANA ACRÍLICA, 4 DEMÃOS, REFORÇADA COM VÉU DE POLIÉSTER (MAV). AF_09/2023</t>
  </si>
  <si>
    <t>PAREDES E PAINEIS</t>
  </si>
  <si>
    <t>5.1</t>
  </si>
  <si>
    <t>Elevação de alvenaria</t>
  </si>
  <si>
    <t>ALVENARIA DE VEDAÇÃO DE BLOCOS CERÂMICOS FURADOS NA HORIZONTAL DE 9X14X19 CM (ESPESSURA 9 CM) E ARGAMASSA DE ASSENTAMENTO COM PREPARO EM BETONEIRA. AF_12/2021</t>
  </si>
  <si>
    <t>5.2</t>
  </si>
  <si>
    <t>Encunhamento</t>
  </si>
  <si>
    <t>FIXAÇÃO (ENCUNHAMENTO) DE ALVENARIA DE VEDAÇÃO COM TIJOLO MACIÇO. AF_03/2024</t>
  </si>
  <si>
    <t>COBERTURA</t>
  </si>
  <si>
    <t>6.1</t>
  </si>
  <si>
    <t>Estrutura de madeira (ripas, caibros e terças)</t>
  </si>
  <si>
    <t>TRAMA DE MADEIRA COMPOSTA POR RIPAS, CAIBROS E TERÇAS PARA TELHADOS DE ATÉ 2 ÁGUAS PARA TELHA DE ENCAIXE DE CERÂMICA OU DE CONCRETO, INCLUSO TRANSPORTE VERTICAL. AF_07/2019</t>
  </si>
  <si>
    <t>6.2</t>
  </si>
  <si>
    <t>Treliça de madeira</t>
  </si>
  <si>
    <t>FABRICAÇÃO E INSTALAÇÃO DE TESOURA INTEIRA EM MADEIRA NÃO APARELHADA, VÃO DE 12 M, PARA TELHA CERÂMICA OU DE CONCRETO, INCLUSO IÇAMENTO. AF_07/2019</t>
  </si>
  <si>
    <t>6.3</t>
  </si>
  <si>
    <t>Cobertura em Telha Cerâmica</t>
  </si>
  <si>
    <t>TELHAMENTO COM TELHA CERÂMICA DE ENCAIXE, TIPO PORTUGUESA, COM ATÉ 2 ÁGUAS, INCLUSO TRANSPORTE VERTICAL. AF_07/2019</t>
  </si>
  <si>
    <t>INSTALAÇÕES</t>
  </si>
  <si>
    <t>7.1</t>
  </si>
  <si>
    <t>INSTALAÇÕES HIDRÁULICAS</t>
  </si>
  <si>
    <t>7.1.1</t>
  </si>
  <si>
    <t>RASGO LINEAR MECANIZADO EM ALVENARIA, PARA RAMAIS/ DISTRIBUIÇÃO DE INSTALAÇÕES HIDRÁULICAS, DIÂMETROS MENORES OU IGUAIS A 40 MM. AF_09/2023</t>
  </si>
  <si>
    <t>7.1.2</t>
  </si>
  <si>
    <t>TUBO, PVC, SOLDÁVEL, DE 50MM, INSTALADO EM PRUMADA DE ÁGUA - FORNECIMENTO E INSTALAÇÃO. AF_06/2022</t>
  </si>
  <si>
    <t>7.1.3</t>
  </si>
  <si>
    <t>TUBO, PVC, SOLDÁVEL, DE 32MM, INSTALADO EM RAMAL DE DISTRIBUIÇÃO DE ÁGUA - FORNECIMENTO E INSTALAÇÃO. AF_06/2022</t>
  </si>
  <si>
    <t>7.1.4</t>
  </si>
  <si>
    <t>TUBO, PVC, SOLDÁVEL, DE 25MM, INSTALADO EM RAMAL OU SUB-RAMAL DE ÁGUA- FORNECIMENTO E INSTALAÇÃO. AF_06/2022</t>
  </si>
  <si>
    <t>7.1.5</t>
  </si>
  <si>
    <t>LUVA, PVC, SOLDÁVEL, DN 50MM, INSTALADO EM PRUMADA DE ÁGUA - FORNECIMENTO E INSTALAÇÃO. AF_06/2022</t>
  </si>
  <si>
    <t>7.1.6</t>
  </si>
  <si>
    <t>LUVA, PVC, SOLDÁVEL, DN 32MM, INSTALADO EM RAMAL OU SUB-RAMAL DE ÁGUA- FORNECIMENTO E INSTALAÇÃO. AF_06/2022</t>
  </si>
  <si>
    <t>7.1.7</t>
  </si>
  <si>
    <t>LUVA, PVC, SOLDÁVEL, DN 25MM, INSTALADO EM RAMAL OU SUB-RAMAL DE ÁGUA- FORNECIMENTO E INSTALAÇÃO. AF_06/2022</t>
  </si>
  <si>
    <t>7.1.8</t>
  </si>
  <si>
    <t xml:space="preserve">Caixa d'água </t>
  </si>
  <si>
    <t>CAIXA D´ÁGUA EM POLIÉSTER REFORÇADO COM FIBRA DE VIDRO, 3000 LITROS - FORNECIMENTO E INSTALAÇÃO. AF_06/2021</t>
  </si>
  <si>
    <t>7.1.9</t>
  </si>
  <si>
    <t>Adaptador SOLD. C/ Flanges P/ CX. D'ÁGUA Ø50mm</t>
  </si>
  <si>
    <t>ADAPTADOR COM FLANGE E ANEL DE VEDAÇÃO, PVC, SOLDÁVEL, DN 50 MM X 1 1/2", INSTALADO EM RESERVAÇÃO PREDIAL DE ÁGUA - FORNECIMENTO E INSTALAÇÃO. AF_04/2024</t>
  </si>
  <si>
    <t>7.1.10</t>
  </si>
  <si>
    <t>Adaptador SOLD. C/ Flanges  P/ CX. D'ÁGUA Ø32mm</t>
  </si>
  <si>
    <t>ADAPTADOR COM FLANGE E ANEL DE VEDAÇÃO, PVC, SOLDÁVEL, DN 32 MM X 1",INSTALADO EM RESERVAÇÃO PREDIAL DE ÁGUA - FORNECIMENTO E INSTALAÇÃO. AF_04/2024</t>
  </si>
  <si>
    <t>7.1.11</t>
  </si>
  <si>
    <t>REGISTRO DE ESFERA, PVC, SOLDÁVEL, COM VOLANTE, DN 50 MM - FORNECIMENTO E INSTALAÇÃO. AF_08/2021</t>
  </si>
  <si>
    <t>7.1.12</t>
  </si>
  <si>
    <t>REGISTRO DE ESFERA, PVC, SOLDÁVEL, COM VOLANTE, DN 32 MM - FORNECIMENTO E INSTALAÇÃO. AF_08/2021</t>
  </si>
  <si>
    <t>7.1.13</t>
  </si>
  <si>
    <t>UNIÃO, PVC, SOLDÁVEL, DN 50MM, INSTALADO EM PRUMADA DE ÁGUA - FORNECIMENTO E INSTALAÇÃO. AF_06/2022</t>
  </si>
  <si>
    <t>7.1.14</t>
  </si>
  <si>
    <t>UNIÃO, PVC, SOLDÁVEL, DN 32MM, INSTALADO EM RAMAL DE DISTRIBUIÇÃO DE ÁGUA - FORNECIMENTO E INSTALAÇÃO. AF_06/2022</t>
  </si>
  <si>
    <t>7.1.15</t>
  </si>
  <si>
    <t>GRAUS COM BUCHA DE LATÃO, PVC, SOLDÁVEL, DN 25MM, X 1/2 INSTALADO EM RAMAL OU SUB-RAMAL DE ÁGUA - FORNECIMENTO E INSTALAÇÃO. AF_06/2022</t>
  </si>
  <si>
    <t>7.1.16</t>
  </si>
  <si>
    <t>TÊ COM BUCHA DE LATÃO NA BOLSA CENTRAL, PVC, SOLDÁVEL, DN 25MM X 3/4 ,INSTALADO EM RAMAL OU SUB-RAMAL DE ÁGUA - FORNECIMENTO E INSTALAÇÃO.AF_06/2022</t>
  </si>
  <si>
    <t>7.1.17</t>
  </si>
  <si>
    <t>Curva 90º PVC SOLD. Ø50mm</t>
  </si>
  <si>
    <t>CURVA 90 GRAUS, PVC, SOLDÁVEL, DN 50MM, INSTALADO EM RAMAL DE DISTRIBUIÇÃO DE ÁGUA - FORNECIMENTO E INSTALAÇÃO. AF_06/2022</t>
  </si>
  <si>
    <t>7.1.18</t>
  </si>
  <si>
    <t>Curva 90º PVC SOLD. Ø32mm</t>
  </si>
  <si>
    <t>CURVA 90 GRAUS, PVC, SOLDÁVEL, DN 32MM, INSTALADO EM RAMAL OU SUB-RAMAL DE ÁGUA - FORNECIMENTO E INSTALAÇÃO. AF_06/2022</t>
  </si>
  <si>
    <t>7.1.19</t>
  </si>
  <si>
    <t>JOELHO 90 GRAUS, PVC, SOLDÁVEL, DN 50MM, INSTALADO EM PRUMADA DE ÁGUA- FORNECIMENTO E INSTALAÇÃO. AF_06/2022</t>
  </si>
  <si>
    <t>7.1.20</t>
  </si>
  <si>
    <t>JOELHO 90 GRAUS, PVC, SOLDÁVEL, DN 25MM, INSTALADO EM RAMAL OU SUB-RAMAL DE ÁGUA - FORNECIMENTO E INSTALAÇÃO. AF_06/2022</t>
  </si>
  <si>
    <t>7.1.21</t>
  </si>
  <si>
    <t>TE, PVC, SOLDÁVEL, DN 50MM, INSTALADO EM PRUMADA DE ÁGUA - FORNECIMENTO E INSTALAÇÃO. AF_06/2022</t>
  </si>
  <si>
    <t>7.1.22</t>
  </si>
  <si>
    <t>TE, PVC, SOLDÁVEL, DN 32MM, INSTALADO EM RAMAL DE DISTRIBUIÇÃO DE ÁGUA- FORNECIMENTO E INSTALAÇÃO. AF_06/2022</t>
  </si>
  <si>
    <t>7.1.23</t>
  </si>
  <si>
    <t>TE, PVC, SOLDÁVEL, DN 25MM, INSTALADO EM RAMAL OU SUB-RAMAL DE ÁGUA -FORNECIMENTO E INSTALAÇÃO. AF_06/2022</t>
  </si>
  <si>
    <t>7.1.24</t>
  </si>
  <si>
    <t>BUCHA DE REDUÇÃO, PVC, SOLDÁVEL, DN 40MM X 32MM, INSTALADO EM RAMAL DEDISTRIBUIÇÃO DE ÁGUA - FORNECIMENTO E INSTALAÇÃO. AF_06/2022</t>
  </si>
  <si>
    <t>7.1.25</t>
  </si>
  <si>
    <t>Bucha de Redução PVC SOLD. Ø32x20mm</t>
  </si>
  <si>
    <t>LUVA DE REDUÇÃO, PVC, SOLDÁVEL, DN 32MM X 25MM, INSTALADO EM RAMAL DE DISTRIBUIÇÃO DE ÁGUA - FORNECIMENTO E INSTALAÇÃO. AF_06/2022</t>
  </si>
  <si>
    <t>7.1.26</t>
  </si>
  <si>
    <t>ADAPTADOR CURTO COM BOLSA E ROSCA PARA REGISTRO, PVC, SOLDÁVEL, DN 25MM X 3/4 , INSTALADO EM RAMAL DE DISTRIBUIÇÃO DE ÁGUA - FORNECIMENTO E INSTALAÇÃO. AF_06/2022</t>
  </si>
  <si>
    <t>7.1.27</t>
  </si>
  <si>
    <t>REGISTRO DE GAVETA BRUTO, LATÃO, ROSCÁVEL, 3/4", COM ACABAMENTO E CANOPLA CROMADOS - FORNECIMENTO E INSTALAÇÃO. AF_08/2021</t>
  </si>
  <si>
    <t>7.1.28</t>
  </si>
  <si>
    <t>REGISTRO DE PRESSÃO BRUTO, LATÃO, ROSCÁVEL, 3/4", COM ACABAMENTO E CANOPLA CROMADOS - FORNECIMENTO E INSTALAÇÃO. AF_08/2021</t>
  </si>
  <si>
    <t>7.1.29</t>
  </si>
  <si>
    <t>7.2</t>
  </si>
  <si>
    <t>INSTALAÇÕES SANITÁRIAS</t>
  </si>
  <si>
    <t>7.2.1</t>
  </si>
  <si>
    <t>7.2.2</t>
  </si>
  <si>
    <t>TUBO PVC, SERIE NORMAL, ESGOTO PREDIAL, DN 150 MM, FORNECIDO E INSTALADO EM SUBCOLETOR AÉREO DE ESGOTO SANITÁRIO. AF_08/2022</t>
  </si>
  <si>
    <t>7.2.3</t>
  </si>
  <si>
    <t>TUBO PVC, SERIE NORMAL, ESGOTO PREDIAL, DN 100 MM, FORNECIDO E INSTALADO EM RAMAL DE DESCARGA OU RAMAL DE ESGOTO SANITÁRIO. AF_08/2022</t>
  </si>
  <si>
    <t>7.2.4</t>
  </si>
  <si>
    <t>TUBO PVC, SERIE NORMAL, ESGOTO PREDIAL, DN 75 MM, FORNECIDO E INSTALADO EM RAMAL DE DESCARGA OU RAMAL DE ESGOTO SANITÁRIO. AF_08/2022</t>
  </si>
  <si>
    <t>7.2.5</t>
  </si>
  <si>
    <t>TUBO PVC, SERIE NORMAL, ESGOTO PREDIAL, DN 50 MM, FORNECIDO E INSTALADO EM RAMAL DE DESCARGA OU RAMAL DE ESGOTO SANITÁRIO. AF_08/2022</t>
  </si>
  <si>
    <t>7.2.6</t>
  </si>
  <si>
    <t>TUBO PVC, SERIE NORMAL, ESGOTO PREDIAL, DN 40 MM, FORNECIDO E INSTALADO EM RAMAL DE DESCARGA OU RAMAL DE ESGOTO SANITÁRIO. AF_08/2022</t>
  </si>
  <si>
    <t>7.2.7</t>
  </si>
  <si>
    <t>LUVA SIMPLES, PVC, SÉRIE NORMAL, ESGOTO PREDIAL, DN 150 MM, JUNTA ELÁS TICA, FORNECIDO E INSTALADO EM SUBCOLETOR AÉREO DE ESGOTO SANITÁRIO. AF_08/2022</t>
  </si>
  <si>
    <t>7.2.8</t>
  </si>
  <si>
    <t>LUVA SIMPLES, PVC, SERIE NORMAL, ESGOTO PREDIAL, DN 100 MM, JUNTA ELÁSTICA, FORNECIDO E INSTALADO EM RAMAL DE DESCARGA OU RAMAL DE ESGOTO SANITÁRIO. AF_08/2022</t>
  </si>
  <si>
    <t>7.2.9</t>
  </si>
  <si>
    <t>LUVA SIMPLES, PVC, SERIE NORMAL, ESGOTO PREDIAL, DN 75 MM, JUNTA ELÁSTICA, FORNECIDO E INSTALADO EM RAMAL DE DESCARGA OU RAMAL DE ESGOTO SANITÁRIO. AF_08/2022</t>
  </si>
  <si>
    <t>7.2.10</t>
  </si>
  <si>
    <t>LUVA SIMPLES, PVC, SERIE NORMAL, ESGOTO PREDIAL, DN 50 MM, JUNTA ELÁSTICA, FORNECIDO E INSTALADO EM RAMAL DE DESCARGA OU RAMAL DE ESGOTO SANITÁRIO. AF_08/2022</t>
  </si>
  <si>
    <t>7.2.11</t>
  </si>
  <si>
    <t>LUVA SIMPLES, PVC, SERIE NORMAL, ESGOTO PREDIAL, DN 40 MM, JUNTA SOLDÁVEL, FORNECIDO E INSTALADO EM RAMAL DE DESCARGA OU RAMAL DE ESGOTO SANITÁRIO. AF_08/2022</t>
  </si>
  <si>
    <t>7.2.12</t>
  </si>
  <si>
    <t>JOELHO 90 GRAUS, PVC, SERIE NORMAL, ESGOTO PREDIAL, DN 100 MM, JUNTA E LÁSTICA, FORNECIDO E INSTALADO EM RAMAL DE DESCARGA OU RAMAL DE ESGOTO SANITÁRIO. AF_08/2022</t>
  </si>
  <si>
    <t>7.2.13</t>
  </si>
  <si>
    <t>JOELHO 90 GRAUS, PVC, SERIE NORMAL, ESGOTO PREDIAL, DN 50 MM, JUNTA ELÁSTICA, FORNECIDO E INSTALADO EM RAMAL DE DESCARGA OU RAMAL DE ESGOTO SANITÁRIO. AF_08/2022</t>
  </si>
  <si>
    <t>7.2.14</t>
  </si>
  <si>
    <t>JOELHO 90 GRAUS, PVC, SERIE NORMAL, ESGOTO PREDIAL, DN 40 MM, JUNTA SOLDÁVEL, FORNECIDO E INSTALADO EM RAMAL DE DESCARGA OU RAMAL DE ESGOTO SANITÁRIO. AF_08/2022</t>
  </si>
  <si>
    <t>7.2.15</t>
  </si>
  <si>
    <t>JOELHO 45 GRAUS, PVC, SERIE NORMAL, ESGOTO PREDIAL, DN 100 MM, JUNTA ELÁSTICA, FORNECIDO E INSTALADO EM RAMAL DE DESCARGA OU RAMAL DE ESGOTO SANITÁRIO. AF_08/2022</t>
  </si>
  <si>
    <t>7.2.16</t>
  </si>
  <si>
    <t>JOELHO 45 GRAUS, PVC, SERIE NORMAL, ESGOTO PREDIAL, DN 75 MM, JUNTA ELÁSTICA, FORNECIDO E INSTALADO EM RAMAL DE DESCARGA OU RAMAL DE ESGOTO  SANITÁRIO. AF_08/2022</t>
  </si>
  <si>
    <t>7.2.17</t>
  </si>
  <si>
    <t>JOELHO 45 GRAUS, PVC, SERIE NORMAL, ESGOTO PREDIAL, DN 50 MM, JUNTA ELÁSTICA, FORNECIDO E INSTALADO EM RAMAL DE DESCARGA OU RAMAL DE ESGOTO SANITÁRIO. AF_08/2022</t>
  </si>
  <si>
    <t>7.2.18</t>
  </si>
  <si>
    <t>JOELHO 45 GRAUS, PVC, SERIE NORMAL, ESGOTO PREDIAL, DN 40 MM, JUNTA SOLDÁVEL, FORNECIDO E INSTALADO EM RAMAL DE DESCARGA OU RAMAL DE ESGOTO SANITÁRIO. AF_08/2022</t>
  </si>
  <si>
    <t>7.2.19</t>
  </si>
  <si>
    <t>TE, PVC, SERIE NORMAL, ESGOTO PREDIAL, DN 50 X 50 MM, JUNTA ELÁSTICA, FORNECIDO E INSTALADO EM RAMAL DE DESCARGA OU RAMAL DE ESGOTO SANITÁRIO. AF_08/2022</t>
  </si>
  <si>
    <t>7.2.20</t>
  </si>
  <si>
    <t>JUNÇÃO SIMPLES, PVC, SERIE NORMAL, ESGOTO PREDIAL, DN 75 X 75 MM, JUNTA ELÁSTICA, FORNECIDO E INSTALADO EM RAMAL DE DESCARGA OU RAMAL DE ESGOTO SANITÁRIO. AF_08/2022</t>
  </si>
  <si>
    <t>7.2.21</t>
  </si>
  <si>
    <t>JUNÇÃO SIMPLES, PVC, SERIE NORMAL, ESGOTO PREDIAL, DN 50 X 50 MM, JUNTA ELÁSTICA, FORNECIDO E INSTALADO EM RAMAL DE DESCARGA OU RAMAL DE ESGOTO SANITÁRIO. AF_08/2022</t>
  </si>
  <si>
    <t>7.2.22</t>
  </si>
  <si>
    <t>JUNÇÃO DE REDUÇÃO INVERTIDA, PVC, SÉRIE NORMAL, ESGOTO PREDIAL, DN 100X 50 MM, JUNTA ELÁSTICA, FORNECIDO E INSTALADO EM RAMAL DE DESCARGA OU RAMAL DE ESGOTO SANITÁRIO. AF_08/2022</t>
  </si>
  <si>
    <t>7.2.23</t>
  </si>
  <si>
    <t>JUNÇÃO DE REDUÇÃO INVERTIDA, PVC, SÉRIE NORMAL, ESGOTO PREDIAL, DN 75 X 50 MM, JUNTA ELÁSTICA, FORNECIDO E INSTALADO EM RAMAL DE DESCARGA OU  RAMAL DE ESGOTO SANITÁRIO. AF_08/2022</t>
  </si>
  <si>
    <t>7.2.24</t>
  </si>
  <si>
    <t>CAIXA SIFONADA, PVC, DN 100 X 100 X 50 MM, JUNTA ELÁSTICA, FORNECIDA E  INSTALADA EM RAMAL DE DESCARGA OU EM RAMAL DE ESGOTO SANITÁRIO. AF_08/2022</t>
  </si>
  <si>
    <t>7.2.25</t>
  </si>
  <si>
    <t>CAIXA ENTERRADA HIDRÁULICA RETANGULAR, EM ALVENARIA COM BLOCOS DE CONCRETO, DIMENSÕES INTERNAS: 0,6X0,6X0,6 M PARA REDE DE ESGOTO. AF_12/2020</t>
  </si>
  <si>
    <t>7.2.26</t>
  </si>
  <si>
    <t>CAIXA DE GORDURA SIMPLES (CAPACIDADE: 36L), RETANGULAR, EM ALVENARIA COM TIJOLOS CERÂMICOS MACIÇOS, DIMENSÕES INTERNAS = 0,2X0,4 M, ALTURA INTERNA = 0,8 M. AF_12/2020</t>
  </si>
  <si>
    <t>7.2.27</t>
  </si>
  <si>
    <t>7.3</t>
  </si>
  <si>
    <t>INSTALAÇÕES ÁGUAS PLUVIAIS</t>
  </si>
  <si>
    <t>7.3.1</t>
  </si>
  <si>
    <t>TUBO PVC, SÉRIE R, ÁGUA PLUVIAL, DN 100 MM, FORNECIDO E INSTALADO EM RAMAL DE ENCAMINHAMENTO. AF_06/2022</t>
  </si>
  <si>
    <t>7.3.2</t>
  </si>
  <si>
    <t>CURVA 90 GRAUS, PVC, SERIE R, ÁGUA PLUVIAL, DN 100 MM, JUNTA ELÁSTICA, FORNECIDO E INSTALADO EM CONDUTORES VERTICAIS DE ÁGUAS PLUVIAIS. AF_06/2022</t>
  </si>
  <si>
    <t>7.3.3</t>
  </si>
  <si>
    <t>CAIXA ENTERRADA HIDRÁULICA RETANGULAR, EM ALVENARIA COM BLOCOS DE CONCRETO, DIMENSÕES INTERNAS: 0,6X0,6X0,6 M PARA REDE DE DRENAGEM. AF_12/2020</t>
  </si>
  <si>
    <t>7.4</t>
  </si>
  <si>
    <t>INSTALAÇOES DE COMBATE A INCÊNDIO</t>
  </si>
  <si>
    <t>7.4.1</t>
  </si>
  <si>
    <t>EXTINTOR DE INCÊNDIO PORTÁTIL COM CARGA DE PQS DE 6 KG, CLASSE BC - FORNECIMENTO E INSTALAÇÃO. AF_10/2020_PE</t>
  </si>
  <si>
    <t>SEINFRA CE</t>
  </si>
  <si>
    <t>C4649</t>
  </si>
  <si>
    <t>7.4.2</t>
  </si>
  <si>
    <t>Sinalização para extintores</t>
  </si>
  <si>
    <t>SINALIZAÇÃO PARA EXTINTOR</t>
  </si>
  <si>
    <t>C4850</t>
  </si>
  <si>
    <t>7.4.3</t>
  </si>
  <si>
    <t>Sinalização de rota de fuga</t>
  </si>
  <si>
    <t>PLACA EM ACRÍLICO ADESIVADA PARA SINALIZAÇÃO COM INDICAÇÃO DE ROTA DE FUGA 26X13CM</t>
  </si>
  <si>
    <t>7.4.4</t>
  </si>
  <si>
    <t>Sinalização de saída de emergência</t>
  </si>
  <si>
    <t>7.4.5</t>
  </si>
  <si>
    <t>Iluminação de emergência</t>
  </si>
  <si>
    <t>LUMINÁRIA DE EMERGÊNCIA, COM 30 LÂMPADAS LED DE 2 W, SEM REATOR - FORNECIMENTO E INSTALAÇÃO. AF_02/2020</t>
  </si>
  <si>
    <t>7.5</t>
  </si>
  <si>
    <t>INSTALAÇÕES DE GÁS</t>
  </si>
  <si>
    <t>7.5.1</t>
  </si>
  <si>
    <t>TUBO DE AÇO GALVANIZADO COM COSTURA, CLASSE MÉDIA, CONEXÃO ROSQUEADA, DN 20 (3/4"), INSTALADO EM RAMAIS E SUB-RAMAIS DE GÁS - FORNECIMENTO E INSTALAÇÃO. AF_10/2020</t>
  </si>
  <si>
    <t>7.5.2</t>
  </si>
  <si>
    <t>JOELHO 90 GRAUS, EM FERRO GALVANIZADO, CONEXÃO ROSQUEADA, DN 20 (3/4"), INSTALADO EM RAMAIS E SUB-RAMAIS DE GÁS - FORNECIMENTO E INSTALAÇÃO. AF_10/2020</t>
  </si>
  <si>
    <t>7.5.3</t>
  </si>
  <si>
    <t>TÊ, EM FERRO GALVANIZADO, CONEXÃO ROSQUEADA, DN 20 (3/4"), INSTALADO EM RAMAIS E SUB-RAMAIS DE GÁS - FORNECIMENTO E INSTALAÇÃO. AF_10/2020</t>
  </si>
  <si>
    <t>7.5.4</t>
  </si>
  <si>
    <t>Cavalete</t>
  </si>
  <si>
    <t>KIT CAVALETE PARA GÁS - SEM MEDIDOR OU REGULADOR - ENTRADA INDIVIDUAL PRINCIPAL, EM AÇO GALVANIZADO DN 15 E 25 MM (1/2" E 1") - FORNECIMENTO E INSTALAÇÃO. AF_01/2020</t>
  </si>
  <si>
    <t>7.5.5</t>
  </si>
  <si>
    <t>Registros</t>
  </si>
  <si>
    <t>REGISTRO OU REGULADOR DE GÁS DE COZINHA - FORNECIMENTO E INSTALAÇÃO. AF_08/2021</t>
  </si>
  <si>
    <t>COMP2</t>
  </si>
  <si>
    <t>7.5.6</t>
  </si>
  <si>
    <t>7.6</t>
  </si>
  <si>
    <t>INSTALAÇÕES ELÉTRICAS</t>
  </si>
  <si>
    <t>7.6.1</t>
  </si>
  <si>
    <t>RASGO LINEAR MANUAL EM ALVENARIA, PARA ELETRODUTOS, DIÂMETROS MENORES OU IGUAIS A 40 MM. AF_09/2023</t>
  </si>
  <si>
    <t>7.6.2</t>
  </si>
  <si>
    <t>ELETRODUTO FLEXÍVEL CORRUGADO, PVC, DN 32 MM (1"), PARA CIRCUITOS TERMINAIS, INSTALADO EM PAREDE - FORNECIMENTO E INSTALAÇÃO. AF_03/2023</t>
  </si>
  <si>
    <t>7.6.3</t>
  </si>
  <si>
    <t>ELETRODUTO FLEXÍVEL CORRUGADO, PVC, DN 25 MM (3/4"), PARA CIRCUITOS TERMINAIS, INSTALADO EM PAREDE - FORNECIMENTO E INSTALAÇÃO. AF_03/2023</t>
  </si>
  <si>
    <t>7.6.4</t>
  </si>
  <si>
    <t>ELETRODUTO RÍGIDO ROSCÁVEL, PVC, DN 50 MM (1 1/2"), PARA REDE ENTERRADA DE DISTRIBUIÇÃO DE ENERGIA ELÉTRICA - FORNECIMENTO E INSTALAÇÃO. AF_12/2021</t>
  </si>
  <si>
    <t>7.6.5</t>
  </si>
  <si>
    <t>ELETRODUTO RÍGIDO ROSCÁVEL, PVC, DN 25 MM (3/4"), PARA CIRCUITOS TERMINAIS, INSTALADO EM FORRO - FORNECIMENTO E INSTALAÇÃO. AF_03/2023</t>
  </si>
  <si>
    <t>7.6.6</t>
  </si>
  <si>
    <t>CAIXA RETANGULAR 4" X 2" MÉDIA (1,30 M DO PISO), PVC, INSTALADA EM PAREDE - FORNECIMENTO E INSTALAÇÃO. AF_03/2023</t>
  </si>
  <si>
    <t>7.6.7</t>
  </si>
  <si>
    <t>CAIXA OCTOGONAL 3" X 3", PVC, INSTALADA EM LAJE - FORNECIMENTO E INSTALAÇÃO. AF_03/2023</t>
  </si>
  <si>
    <t>7.6.8</t>
  </si>
  <si>
    <t>CABO DE COBRE FLEXÍVEL ISOLADO, 25 MM², ANTI-CHAMA 0,6/1,0 KV, PARA REDE ENTERRADA DE DISTRIBUIÇÃO DE ENERGIA ELÉTRICA - FORNECIMENTO E INSTALAÇÃO. AF_12/2021</t>
  </si>
  <si>
    <t>7.6.9</t>
  </si>
  <si>
    <t>CABO DE COBRE FLEXÍVEL ISOLADO, 16 MM², ANTI-CHAMA 450/750 V, PARA DISTRIBUIÇÃO - FORNECIMENTO E INSTALAÇÃO. AF_10/2020</t>
  </si>
  <si>
    <t>7.6.10</t>
  </si>
  <si>
    <t>CABO DE COBRE FLEXÍVEL ISOLADO, 6 MM², ANTI-CHAMA 450/750 V, PARA CIRCUITOS TERMINAIS - FORNECIMENTO E INSTALAÇÃO. AF_03/2023</t>
  </si>
  <si>
    <t>7.6.11</t>
  </si>
  <si>
    <t>CABO DE COBRE FLEXÍVEL ISOLADO, 4 MM², ANTI-CHAMA 450/750 V, PARA CIRCUITOS TERMINAIS - FORNECIMENTO E INSTALAÇÃO. AF_03/2023</t>
  </si>
  <si>
    <t>7.6.12</t>
  </si>
  <si>
    <t>CABO DE COBRE FLEXÍVEL ISOLADO, 2,5 MM², ANTI-CHAMA 450/750 V, PARA CIRCUITOS TERMINAIS - FORNECIMENTO E INSTALAÇÃO. AF_03/2023</t>
  </si>
  <si>
    <t>7.6.13</t>
  </si>
  <si>
    <t>CABO DE COBRE FLEXÍVEL ISOLADO, 1,5 MM², ANTI-CHAMA 450/750 V, PARA CIRCUITOS TERMINAIS - FORNECIMENTO E INSTALAÇÃO. AF_03/2023</t>
  </si>
  <si>
    <t>7.6.14</t>
  </si>
  <si>
    <t>TOMADA MÉDIA DE EMBUTIR (2 MÓDULOS), 2P+T 10 A, INCLUINDO SUPORTE E PLACA - FORNECIMENTO E INSTALAÇÃO. AF_03/2023</t>
  </si>
  <si>
    <t>7.6.15</t>
  </si>
  <si>
    <t>INTERRUPTOR SIMPLES (2 MÓDULOS), 10A/250V, INCLUINDO SUPORTE E PLACA - FORNECIMENTO E INSTALAÇÃO. AF_03/2023</t>
  </si>
  <si>
    <t>7.6.16</t>
  </si>
  <si>
    <t>LUMINÁRIA TIPO PLAFON CIRCULAR, DE SOBREPOR, COM LED DE 12/13 W - FORNECIMENTO E INSTALAÇÃO. AF_03/2022</t>
  </si>
  <si>
    <t>7.6.17</t>
  </si>
  <si>
    <t>LUMINÁRIA ARANDELA TIPO TARTARUGA, DE SOBREPOR, COM 1 LÂMPADA LED DE 6 W, SEM REATOR - FORNECIMENTO E INSTALAÇÃO. AF_02/2020</t>
  </si>
  <si>
    <t>7.6.18</t>
  </si>
  <si>
    <t>QUADRO DE DISTRIBUIÇÃO DE ENERGIA EM PVC, DE EMBUTIR, SEM BARRAMENTO, PARA 6 DISJUNTORES - FORNECIMENTO E INSTALAÇÃO. AF_10/2020</t>
  </si>
  <si>
    <t>7.6.19</t>
  </si>
  <si>
    <t>QUADRO DE DISTRIBUIÇÃO DE ENERGIA EM CHAPA DE AÇO GALVANIZADO, DE EMBUTIR, COM BARRAMENTO TRIFÁSICO, PARA 40 DISJUNTORES DIN 100A - FORNECIMENTO E INSTALAÇÃO. AF_10/2020</t>
  </si>
  <si>
    <t>7.6.20</t>
  </si>
  <si>
    <t>DISJUNTOR MONOPOLAR TIPO DIN, CORRENTE NOMINAL DE 10A - FORNECIMENTO E INSTALAÇÃO. AF_10/2020</t>
  </si>
  <si>
    <t>7.6.21</t>
  </si>
  <si>
    <t>DISJUNTOR MONOPOLAR TIPO DIN, CORRENTE NOMINAL DE 16A - FORNECIMENTO E INSTALAÇÃO. AF_10/2020</t>
  </si>
  <si>
    <t>7.6.22</t>
  </si>
  <si>
    <t>DISJUNTOR MONOPOLAR TIPO DIN, CORRENTE NOMINAL DE 25A - FORNECIMENTO E INSTALAÇÃO. AF_10/2020</t>
  </si>
  <si>
    <t>7.6.23</t>
  </si>
  <si>
    <t>DISJUNTOR TRIPOLAR TIPO DIN, CORRENTE NOMINAL DE 50A - FORNECIMENTO E INSTALAÇÃO. AF_10/2020</t>
  </si>
  <si>
    <t>COMP3</t>
  </si>
  <si>
    <t>7.6.24</t>
  </si>
  <si>
    <t>https://produto.mercadolivre.com.br/MLB-3347392928-filtro-motobomba-piscina-completo-aspirador-peneira-escova-_JM?matt_tool=47780295&amp;matt_word=&amp;matt_source=google&amp;matt_campaign_id=14302215540&amp;matt_ad_group_id=157843787695&amp;matt_match_type=&amp;matt_network=g&amp;matt_device=c&amp;matt_creative=686778909996&amp;matt_keyword=&amp;matt_ad_position=&amp;matt_ad_type=pla&amp;matt_merchant_id=143601751&amp;matt_product_id=MLB3347392928&amp;matt_product_partition_id=1961862651521&amp;matt_target_id=aud-2009166904988:pla-1961862651521&amp;cq_src=google_ads&amp;cq_cmp=14302215540&amp;cq_net=g&amp;cq_plt=gp&amp;cq_med=pla&amp;gad_source=1&amp;gclid=EAIaIQobChMIpOCM_N_WiQMVEiFECB3B4xIBEAQYBCABEgLQ4fD_BwE</t>
  </si>
  <si>
    <t>7.6.25</t>
  </si>
  <si>
    <t>Caixa de inspeção para aterramento</t>
  </si>
  <si>
    <t>CAIXA DE INSPEÇÃO PARA ATERRAMENTO, CIRCULAR, EM POLIETILENO, DIÂMETRO INTERNO = 0,3 M. AF_12/2020</t>
  </si>
  <si>
    <t>7.6.26</t>
  </si>
  <si>
    <t>Aterramento</t>
  </si>
  <si>
    <t>HASTE DE ATERRAMENTO, DIÂMETRO 3/4", COM 3 METROS - FORNECIMENTO E INSTALAÇÃO. AF_08/2023</t>
  </si>
  <si>
    <t>7.6.27</t>
  </si>
  <si>
    <t>Caixas de passagem</t>
  </si>
  <si>
    <t>CAIXA ENTERRADA ELÉTRICA RETANGULAR, EM CONCRETO PRÉ-MOLDADO, FUNDO COM BRITA, DIMENSÕES INTERNAS: 0,3X0,3X0,3 M. AF_12/2020</t>
  </si>
  <si>
    <t>7.7</t>
  </si>
  <si>
    <t>INSTALAÇÕES DE TELEFONIA</t>
  </si>
  <si>
    <t>7.7.1</t>
  </si>
  <si>
    <t>7.7.2</t>
  </si>
  <si>
    <t>7.7.3</t>
  </si>
  <si>
    <t>7.7.4</t>
  </si>
  <si>
    <t>CABO TELEFÔNICO CCI-50 2 PARES, SEM BLINDAGEM, INSTALADO EM ENTRADA DE EDIFICAÇÃO - FORNECIMENTO E INSTALAÇÃO. AF_11/2019</t>
  </si>
  <si>
    <t>7.7.5</t>
  </si>
  <si>
    <t>TOMADA PARA TELEFONE RJ11 - FORNECIMENTO E INSTALAÇÃO. AF_11/2019</t>
  </si>
  <si>
    <t>7.7.6</t>
  </si>
  <si>
    <t>QUADRO DE DISTRIBUIÇÃO PARA TELEFONE N.5, 80X80X12CM EM CHAPA METALICA, SEM ACESSORIOS, PADRAO TELEBRAS, FORNECIMENTO E INSTALAÇÃO. AF_11/2019</t>
  </si>
  <si>
    <t>7.8</t>
  </si>
  <si>
    <t>INSTALAÇÕES DE AR-CONDICIONADO</t>
  </si>
  <si>
    <t>COMP4</t>
  </si>
  <si>
    <t>7.8.1</t>
  </si>
  <si>
    <t>Infraestrutura de ar-condicionado</t>
  </si>
  <si>
    <t>COMP5</t>
  </si>
  <si>
    <t>7.8.2</t>
  </si>
  <si>
    <t>Ar-condicionado 9mil BTUs</t>
  </si>
  <si>
    <t>https://www.americanas.com.br/produto/7476923806/ar-condicionado-split-hi-wall-inverter-electrolux-color-adapt-wi-fi-9000-btu-h-frio-yi09f-220-volts?offerId=6628e89c17c6b5c0e18ae758&amp;opn=YSMESP&amp;epar=bp_pl_px_go_pmax_clima_3p_split_pb_2_curvatestexpo&amp;gclsrc=aw.ds&amp;gad_source=1&amp;gclid=EAIaIQobChMInoPBguPWiQMVyCRECB0yfgUxEAQYAiABEgIJPfD_BwE&amp;voltagem=220%20Volts&amp;condition=NEW</t>
  </si>
  <si>
    <t>COMP6</t>
  </si>
  <si>
    <t>7.8.3</t>
  </si>
  <si>
    <t>Ar-condicionado 12mil BTUs</t>
  </si>
  <si>
    <t>https://www.magazineluiza.com.br/ar-condicionado-split-hi-wall-springer-midea-airvolution-12-000-btus-frio-220v-r-32/p/be68f0c1g5/ar/arsp/?seller_id=climario&amp;region_id=123472&amp;utm_source=google&amp;utm_medium=cpc&amp;utm_term=76909&amp;utm_campaign=google_eco_per_ven_pla_arp_sor_3p_ar-a&amp;utm_content=&amp;partner_id=76909&amp;gclsrc=aw.ds&amp;gclid=EAIaIQobChMIwqqOt-PWiQMVGy5ECB3gEweYEAQYAiABEgKjQfD_BwE</t>
  </si>
  <si>
    <t>COMP7</t>
  </si>
  <si>
    <t>7.8.4</t>
  </si>
  <si>
    <t>Ar-condicionado 18mil BTUs</t>
  </si>
  <si>
    <t>https://www.carajas.com.br/ar-condicionado-18-000btu-h-inverter-liv-top-lcst18-02i-agratto-530295792/p?idsku=49356&amp;catchall&amp;gad_source=1&amp;gclid=EAIaIQobChMIsqnmxOPWiQMVJZXuAR1LbB6WEAQYAyABEgI-YvD_BwE</t>
  </si>
  <si>
    <t>COMP8</t>
  </si>
  <si>
    <t>7.8.5</t>
  </si>
  <si>
    <t>Ar-condicionado 30mil BTUs</t>
  </si>
  <si>
    <t>https://www.frigelar.com.br/ar-condicionado-split-inverter-cassete-36000-btus-philco-eco-quente-frio-pac36000icqfm16-220v/p/kit10232?gad_source=1&amp;gclid=EAIaIQobChMIuue31ePWiQMV1SpECB2IqzaiEAQYASABEgJxlPD_BwE</t>
  </si>
  <si>
    <t>7.9</t>
  </si>
  <si>
    <t>INSTALAÇÕES DE DRENO</t>
  </si>
  <si>
    <t>7.9.1</t>
  </si>
  <si>
    <t>TUBO, PVC, SOLDÁVEL, DE 25MM, INSTALADO EM DRENO DE AR-CONDICIONADO - FORNECIMENTO E INSTALAÇÃO. AF_08/2022</t>
  </si>
  <si>
    <t>7.9.2</t>
  </si>
  <si>
    <t>JOELHO 90 GRAUS, PVC, SOLDÁVEL, DN 25MM, INSTALADO EM DRENO DE AR-CONDICIONADO - FORNECIMENTO E INSTALAÇÃO. AF_08/2022</t>
  </si>
  <si>
    <t>7.9.3</t>
  </si>
  <si>
    <t>Joelho 45º</t>
  </si>
  <si>
    <t>JOELHO 45 GRAUS, PVC, SOLDÁVEL, DN 25MM, INSTALADO EM DRENO DE AR-CONDICIONADO - FORNECIMENTO E INSTALAÇÃO. AF_08/2022</t>
  </si>
  <si>
    <t>7.9.4</t>
  </si>
  <si>
    <t>Luva PVC SOLD.</t>
  </si>
  <si>
    <t>LUVA, PVC, SOLDÁVEL, DN 25MM, INSTALADO EM DRENO DE AR-CONDICIONADO - FORNECIMENTO E INSTALAÇÃO. AF_08/2022</t>
  </si>
  <si>
    <t>PISO CIVIL</t>
  </si>
  <si>
    <t>8.1</t>
  </si>
  <si>
    <t>CAMADA SEPARADORA PARA EXECUÇÃO DE RADIER, PISO DE CONCRETO OU LAJE SOBRE SOLO, EM LONA PLÁSTICA. AF_09/2021</t>
  </si>
  <si>
    <t>8.2</t>
  </si>
  <si>
    <t>Tela Q-92 Aço-CA60 Ø4.20mm</t>
  </si>
  <si>
    <t>ARMAÇÃO PARA EXECUÇÃO DE RADIER, PISO DE CONCRETO OU LAJE SOBRE SOLO, COM USO DE TELA Q-92. AF_09/2021</t>
  </si>
  <si>
    <t>8.3</t>
  </si>
  <si>
    <t>Concreto p/ Pisos</t>
  </si>
  <si>
    <t>CONCRETAGEM DE RADIER, PISO DE CONCRETO OU LAJE SOBRE SOLO, FCK 30 MPA - LANÇAMENTO, ADENSAMENTO E ACABAMENTO. AF_09/2021</t>
  </si>
  <si>
    <t>8.4</t>
  </si>
  <si>
    <t>Impermeabilização com argamassa polimérica</t>
  </si>
  <si>
    <t>8.5</t>
  </si>
  <si>
    <t>CONTRAPISO EM ARGAMASSA TRAÇO 1:4 (CIMENTO E AREIA), PREPARO MECÂNICO COM BETONEIRA 400 L, APLICADO EM ÁREAS SECAS SOBRE LAJE, ADERIDO, ACABAMENTO NÃO REFORÇADO, ESPESSURA 3CM. AF_07/2021</t>
  </si>
  <si>
    <t>8.6</t>
  </si>
  <si>
    <t>Meio-fio de concreto</t>
  </si>
  <si>
    <t>ASSENTAMENTO DE GUIA (MEIO-FIO) EM TRECHO RETO, CONFECCIONADA EM CONCRETO PRÉ-FABRICADO, DIMENSÕES 100X15X13X30 CM (COMPRIMENTO X BASE INFERIOR X BASE SUPERIOR X ALTURA). AF_01/2024</t>
  </si>
  <si>
    <t>COMP9</t>
  </si>
  <si>
    <t>8.8</t>
  </si>
  <si>
    <t>Pavimento em paralelepípedo</t>
  </si>
  <si>
    <t>PAVIMENTO EM PARALELEPIPEDO SOBRE COLCHAO DE AREIA REJUNTADO COM ARGAMASSA DE CIMENTO E AREIA NO TRAÇO 1:3 (PEDRAS PEQUENAS 30 A 35 PECAS POR M2)</t>
  </si>
  <si>
    <t>8.9</t>
  </si>
  <si>
    <t>COMPACTAÇÃO MECÂNICA DE SOLO PARA EXECUÇÃO DE RADIER, PISO DE CONCRETO OU LAJE SOBRE SOLO, COM COMPACTADOR DE SOLOS TIPO PLACA VIBRATÓRIA. AF_09/2021</t>
  </si>
  <si>
    <t>REVESTIMENTO CIVIL</t>
  </si>
  <si>
    <t>9.1</t>
  </si>
  <si>
    <t>CHAPISCO APLICADO EM ALVENARIAS E ESTRUTURAS DE CONCRETO INTERNAS, COM COLHER DE PEDREIRO. ARGAMASSA TRAÇO 1:3 COM PREPARO MANUAL. AF_10/2022</t>
  </si>
  <si>
    <t>9.2</t>
  </si>
  <si>
    <t>EMBOÇO, EM ARGAMASSA TRAÇO 1:2:8, PREPARO MECÂNICO, APLICADO MANUALMENTE EM PAREDES INTERNAS DE AMBIENTES COM ÁREA MAIOR QUE 10M², E = 17,5MM, COM TALISCAS. AF_03/2024</t>
  </si>
  <si>
    <t>DIVERSOS</t>
  </si>
  <si>
    <t>10.1</t>
  </si>
  <si>
    <t>Forro em gesso acartonado</t>
  </si>
  <si>
    <t>FORRO EM DRYWALL PARA AMBIENTES RESIDENCIAIS, INCLUSIVE ESTRUTURA UNIDIRECIONAL DE FIXAÇÃO. AF_08/2023_PS</t>
  </si>
  <si>
    <t>10.2</t>
  </si>
  <si>
    <t>Fornecimento e assentamento de bancadas de cozinha</t>
  </si>
  <si>
    <t>BANCADA DE GRANITO CINZA POLIDO, DE 1,50 X 0,60 M, PARA PIA DE COZINHA - FORNECIMENTO E INSTALAÇÃO. AF_01/2020</t>
  </si>
  <si>
    <t>10.3</t>
  </si>
  <si>
    <t>Cuba de embutir inox</t>
  </si>
  <si>
    <t>CUBA DE EMBUTIR RETANGULAR DE AÇO INOXIDÁVEL, 46 X 30 X 12 CM - FORNECIMENTO E INSTALAÇÃO. AF_01/2020</t>
  </si>
  <si>
    <t>10.4</t>
  </si>
  <si>
    <t>Fornecimento e assentamento de bancadas de lavatório</t>
  </si>
  <si>
    <t>BANCADA DE MÁRMORE SINTÉTICO 120 X 60CM, COM CUBA INTEGRADA, INCLUSO SIFÃO TIPO FLEXÍVEL EM PVC, VÁLVULA EM PLÁSTICO CROMADO TIPO AMERICANAE TORNEIRA CROMADA LONGA, DE PAREDE, PADRÃO POPULAR - FORNECIMENTO E INSTALAÇÃO. AF_01/2020</t>
  </si>
  <si>
    <t xml:space="preserve">REVESTIMENTOS </t>
  </si>
  <si>
    <t>11.1</t>
  </si>
  <si>
    <t>Aplicação de piso cerâmico</t>
  </si>
  <si>
    <t>REVESTIMENTO CERÂMICO PARA PISO COM PLACAS TIPO PORCELANATO DE DIMENSÕES 45X45 CM APLICADA EM AMBIENTES DE ÁREA MAIOR QUE 10 M². AF_02/2023_PE</t>
  </si>
  <si>
    <t>11.2</t>
  </si>
  <si>
    <t>Aplicação de revestimento cerâmico</t>
  </si>
  <si>
    <t>REVESTIMENTO CERÂMICO PARA PAREDES INTERNAS COM PLACAS TIPO ESMALTADA DE DIMENSÕES 60X60 CM APLICADAS NA ALTURA INTEIRA DAS PAREDES. AF_02/2023_PE</t>
  </si>
  <si>
    <t>11.3</t>
  </si>
  <si>
    <t>Aplicação de pastilhas</t>
  </si>
  <si>
    <t>REVESTIMENTO CERÂMICO PARA PAREDES INTERNAS COM PLACAS TIPO PASTILHA DE DIMENSÕES 2,5 X 2,5 CM (PLACAS DE 30 X 30 CM) CM APLICADAS NA ALTURA INTEIRA DAS PAREDES. AF_02/2023</t>
  </si>
  <si>
    <t>ESQUADRIAS</t>
  </si>
  <si>
    <t>12.1</t>
  </si>
  <si>
    <t>Porta tipo abrir de madeira 90x210</t>
  </si>
  <si>
    <t>KIT DE PORTA-PRONTA DE MADEIRA EM ACABAMENTO MELAMÍNICO BRANCO, FOLHA PESADA OU SUPERPESADA, E BATENTE METÁLICO, 80X210CM, FIXAÇÃO COM ARGAMASSA - FORNECIMENTO E INSTALAÇÃO. AF_12/2019</t>
  </si>
  <si>
    <t>12.2</t>
  </si>
  <si>
    <t>Porta tipo abrir de madeira 80x210</t>
  </si>
  <si>
    <t>12.3</t>
  </si>
  <si>
    <t>Janela de correr de vidro e alumínio 2,00x1,50m</t>
  </si>
  <si>
    <t>JANELA DE ALUMÍNIO TIPO MAXIM-AR, COM VIDROS, BATENTE E FERRAGENS. EXCLUSIVE ALIZAR, ACABAMENTO E CONTRAMARCO. FORNECIMENTO E INSTALAÇÃO. AF_12/2019</t>
  </si>
  <si>
    <t>12.4</t>
  </si>
  <si>
    <t>Janela de correr de vidro e alumínio 1,50x1,00m</t>
  </si>
  <si>
    <t>12.5</t>
  </si>
  <si>
    <t>Janela de correr de vidro e alumínio 1,00x1,00m</t>
  </si>
  <si>
    <t>12.6</t>
  </si>
  <si>
    <t>Basculante abrir de vidro e alumínio 1,20x0,40m</t>
  </si>
  <si>
    <t>12.7</t>
  </si>
  <si>
    <t>Porta de correr 04 (quatro) folhas</t>
  </si>
  <si>
    <t>PORTA DE CORRER DE ALUMÍNIO, COM DUAS FOLHAS PARA VIDRO, INCLUSO VIDRO LISO INCOLOR, FECHADURA E PUXADOR, SEM ALIZAR. AF_12/2019</t>
  </si>
  <si>
    <t>12.8</t>
  </si>
  <si>
    <t>Porta de correr 02 (duas) folhas</t>
  </si>
  <si>
    <t>12.9</t>
  </si>
  <si>
    <t>Porta de lambri</t>
  </si>
  <si>
    <t>PORTA DE ALUMÍNIO DE ABRIR COM LAMBRI, COM GUARNIÇÃO, FIXAÇÃO COM PARAFUSOS - FORNECIMENTO E INSTALAÇÃO. AF_12/2019</t>
  </si>
  <si>
    <t>12.10</t>
  </si>
  <si>
    <t>Gradeado</t>
  </si>
  <si>
    <t>GRADIL EM FERRO FIXADO EM VÃOS DE JANELAS, FORMADO POR BARRAS CHATAS DE 25X4,8 MM. AF_04/2019</t>
  </si>
  <si>
    <t>PINTURA</t>
  </si>
  <si>
    <t>13.1</t>
  </si>
  <si>
    <t>Aplicação de selador em teto</t>
  </si>
  <si>
    <t>FUNDO SELADOR ACRÍLICO, APLICAÇÃO MANUAL EM TETO, UMA DEMÃO. AF_04/2023</t>
  </si>
  <si>
    <t>13.2</t>
  </si>
  <si>
    <t>Aplicação de selador em parede</t>
  </si>
  <si>
    <t>FUNDO SELADOR ACRÍLICO, APLICAÇÃO MANUAL EM PAREDE, UMA DEMÃO. AF_04/2023</t>
  </si>
  <si>
    <t>13.3</t>
  </si>
  <si>
    <t>Emassamento e lixamento em teto</t>
  </si>
  <si>
    <t>EMASSAMENTO COM MASSA LÁTEX, APLICAÇÃO EM TETO, UMA DEMÃO, LIXAMENTO MANUAL. AF_04/2023</t>
  </si>
  <si>
    <t>13.4</t>
  </si>
  <si>
    <t>Emassamento e lixamento em parede</t>
  </si>
  <si>
    <t>EMASSAMENTO COM MASSA LÁTEX, APLICAÇÃO EM PAREDE, UMA DEMÃO, LIXAMENTO MANUAL. AF_04/2023</t>
  </si>
  <si>
    <t>13.5</t>
  </si>
  <si>
    <t>Pintura em teto</t>
  </si>
  <si>
    <t>PINTURA LÁTEX ACRÍLICA PREMIUM, APLICAÇÃO MANUAL EM TETO, DUAS DEMÃOS. AF_04/2023</t>
  </si>
  <si>
    <t>13.6</t>
  </si>
  <si>
    <t>Pintura em parede</t>
  </si>
  <si>
    <t>PINTURA LÁTEX ACRÍLICA PREMIUM, APLICAÇÃO MANUAL EM PAREDES, DUAS DEMÃOS. AF_04/2023</t>
  </si>
  <si>
    <t>13.7</t>
  </si>
  <si>
    <t>APLICAÇÃO MANUAL DE PINTURA COM TINTA TEXTURIZADA ACRÍLICA EM PAREDES EXTERNAS DE CASAS, UMA COR. AF_03/2024</t>
  </si>
  <si>
    <t>13.8</t>
  </si>
  <si>
    <t>Pintura de marcação de vaga</t>
  </si>
  <si>
    <t>PINTURA DE DEMARCAÇÃO DE VAGA COM TINTA ACRÍLICA, E = 10 CM, APLICAÇÃO MANUAL. AF_05/2021</t>
  </si>
  <si>
    <t>ACABAMENTOS FINAIS</t>
  </si>
  <si>
    <t>14.1</t>
  </si>
  <si>
    <t>Instalação de Vasos</t>
  </si>
  <si>
    <t>VASO SANITÁRIO SIFONADO COM CAIXA ACOPLADA LOUÇA BRANCA, INCLUSO ENGATE FLEXÍVEL EM PLÁSTICO BRANCO, 1/2  X 40CM - FORNECIMENTO E INSTALAÇÃO. AF_01/2020</t>
  </si>
  <si>
    <t>14.2</t>
  </si>
  <si>
    <t>Instalação de Vasos PCD</t>
  </si>
  <si>
    <t>VASO SANITARIO SIFONADO CONVENCIONAL PARA PCD SEM FURO FRONTAL COM LOUÇA BRANCA SEM ASSENTO, INCLUSO CONJUNTO DE LIGAÇÃO PARA BACIA SANITÁRIA AJUSTÁVEL - FORNECIMENTO E INSTALAÇÃO. AF_01/2020</t>
  </si>
  <si>
    <t>14.3</t>
  </si>
  <si>
    <t>Barras de apoio</t>
  </si>
  <si>
    <t>BARRA DE APOIO RETA, EM ACO INOX POLIDO, COMPRIMENTO 90 CM,  FIXADA NA PAREDE - FORNECIMENTO E INSTALAÇÃO. AF_01/2020</t>
  </si>
  <si>
    <t>C3513</t>
  </si>
  <si>
    <t>14.4</t>
  </si>
  <si>
    <t>Instalação de Chuveiros</t>
  </si>
  <si>
    <t>CHUVEIRO CROMADO C/ ARTICULAÇÃO</t>
  </si>
  <si>
    <t>14.5</t>
  </si>
  <si>
    <t>Instalação de Torneiras</t>
  </si>
  <si>
    <t>TORNEIRA CROMADA DE MESA, 1/2" OU 3/4", PARA LAVATÓRIO, PADRÃO POPULAR - FORNECIMENTO E INSTALAÇÃO. AF_01/2020</t>
  </si>
  <si>
    <t>14.6</t>
  </si>
  <si>
    <t>Papeleira</t>
  </si>
  <si>
    <t>PAPELEIRA DE PAREDE EM METAL CROMADO SEM TAMPA, INCLUSO FIXAÇÃO. AF_01/2020</t>
  </si>
  <si>
    <t>14.7</t>
  </si>
  <si>
    <t>Porta toalha rosto</t>
  </si>
  <si>
    <t>PORTA TOALHA ROSTO EM METAL CROMADO, TIPO ARGOLA, INCLUSO FIXAÇÃO. AF_01/2020</t>
  </si>
  <si>
    <t>14.8</t>
  </si>
  <si>
    <t>Porta toalha banho</t>
  </si>
  <si>
    <t>PORTA TOALHA BANHO EM METAL CROMADO, TIPO BARRA, INCLUSO FIXAÇÃO. AF_01/2020</t>
  </si>
  <si>
    <t>15.1</t>
  </si>
  <si>
    <t>Móveis e eletrodomésticos</t>
  </si>
  <si>
    <t>COTAÇÃO INTERNET - PREÇO MÉDIO</t>
  </si>
  <si>
    <t>SERVIÇOS FINAIS</t>
  </si>
  <si>
    <t>16.1</t>
  </si>
  <si>
    <t>Limpeza de piso de concreto</t>
  </si>
  <si>
    <t xml:space="preserve">LIMPEZA EM SUPERFÍCIE DE CONCRETO COM JATEAMENTO D'ÁGUA SOB PRESSÃO </t>
  </si>
  <si>
    <t>16.2</t>
  </si>
  <si>
    <t>Limpeza de piso cerâmico c/ vassoura</t>
  </si>
  <si>
    <t>LIMPEZA DE PISO CERÂMICO OU PORCELANATO COM VASSOURA A SECO. AF_04/2019</t>
  </si>
  <si>
    <t>16.3</t>
  </si>
  <si>
    <t>Limpeza de piso cerâmico c/ pano úmido</t>
  </si>
  <si>
    <t>LIMPEZA DE PISO CERÂMICO OU PORCELANATO COM PANO ÚMIDO. AF_04/2019</t>
  </si>
  <si>
    <t>16.4</t>
  </si>
  <si>
    <t>Limpeza de janela de vidro</t>
  </si>
  <si>
    <t>LIMPEZA DE JANELA DE VIDRO COM CAIXILHO EM AÇO/ALUMÍNIO/PVC. AF_04/2019</t>
  </si>
  <si>
    <t>16.5</t>
  </si>
  <si>
    <t>Limpeza de porta de vidro</t>
  </si>
  <si>
    <t>LIMPEZA DE PORTA DE VIDRO COM CAIXILHO EM AÇO/ ALUMÍNIO/ PVC. AF_04/2019</t>
  </si>
  <si>
    <t>16.6</t>
  </si>
  <si>
    <t>Limpeza de vaso</t>
  </si>
  <si>
    <t>LIMPEZA DE BACIA SANITÁRIA, BIDÊ OU MICTÓRIO EM LOUÇA, INCLUSIVE METAIS CORRESPONDENTES. AF_04/2019</t>
  </si>
  <si>
    <t>16.7</t>
  </si>
  <si>
    <t>Limpeza de bancada e lavatório</t>
  </si>
  <si>
    <t>LIMPEZA DE LAVATÓRIO DE LOUÇA COM BANCADA DE PEDRA, INCLUSIVE METAIS CORRESPONDENTES. AF_04/2019</t>
  </si>
  <si>
    <t xml:space="preserve"> INVESTIMENTO (R$)</t>
  </si>
  <si>
    <t>TOTAL (R$)</t>
  </si>
  <si>
    <t>BDI (R$)</t>
  </si>
  <si>
    <t>TOTAL COM BDI (R$)</t>
  </si>
  <si>
    <t>V. AC (R$)</t>
  </si>
  <si>
    <t>%</t>
  </si>
  <si>
    <t>% AC.</t>
  </si>
  <si>
    <t>CLASSIFICAÇÃO</t>
  </si>
  <si>
    <t>CLASSE</t>
  </si>
  <si>
    <t>CORTE</t>
  </si>
  <si>
    <t>PROPORÇÃO</t>
  </si>
  <si>
    <t>PROPORÇÃO VALOR</t>
  </si>
  <si>
    <t>A</t>
  </si>
  <si>
    <t>B</t>
  </si>
  <si>
    <t>C</t>
  </si>
  <si>
    <t>QTD</t>
  </si>
  <si>
    <t>PESO (%)</t>
  </si>
  <si>
    <t>Investimento Total (R$)</t>
  </si>
  <si>
    <t>Área de Construção Total (m2)</t>
  </si>
  <si>
    <t>Investimento / Área Construída (R$/m2)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</si>
  <si>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</si>
  <si>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</si>
  <si>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</si>
  <si>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</si>
  <si>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</si>
  <si>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</si>
  <si>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</si>
  <si>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</si>
  <si>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</si>
  <si>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</si>
  <si>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</si>
  <si>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</si>
  <si>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</si>
  <si>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</si>
  <si>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</si>
  <si>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</si>
  <si>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</si>
  <si>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</si>
  <si>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</si>
  <si>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</si>
  <si>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</si>
  <si>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</si>
  <si>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</si>
  <si>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</si>
  <si>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Valor mensal (R$)</t>
  </si>
  <si>
    <t>Valor mensal acumulado (R$)</t>
  </si>
  <si>
    <t>Data</t>
  </si>
  <si>
    <t>192 - Índice nacional de custo da construção (INCC) - Var. % mensal</t>
  </si>
  <si>
    <t>Fator</t>
  </si>
  <si>
    <t>Fator Ac.</t>
  </si>
  <si>
    <t>Fator Ac. (%)</t>
  </si>
  <si>
    <t>Fonte</t>
  </si>
  <si>
    <t>FGV</t>
  </si>
  <si>
    <t>Fonte:</t>
  </si>
  <si>
    <t>BACEN</t>
  </si>
  <si>
    <t>Link</t>
  </si>
  <si>
    <t>https://www3.bcb.gov.br/sgspub/consultarvalores/telaCvsSelecionarSeries.paint</t>
  </si>
  <si>
    <t>Data Base Inicial</t>
  </si>
  <si>
    <t>Índice de Atualização</t>
  </si>
  <si>
    <t>INCC/FGV</t>
  </si>
  <si>
    <t>Data-base inicial</t>
  </si>
  <si>
    <t>Valor corrigido</t>
  </si>
  <si>
    <t>% CAPEX</t>
  </si>
  <si>
    <t>Mês</t>
  </si>
  <si>
    <t>n-2</t>
  </si>
  <si>
    <t>Serviços iniciais</t>
  </si>
  <si>
    <t>Valor CAPEX</t>
  </si>
  <si>
    <t>Serviços preliminares</t>
  </si>
  <si>
    <t>Infraestrutura</t>
  </si>
  <si>
    <t>Superestrutura</t>
  </si>
  <si>
    <t xml:space="preserve">Indicador Inicial </t>
  </si>
  <si>
    <t>Paredes e painéis</t>
  </si>
  <si>
    <t>Indicador  Final</t>
  </si>
  <si>
    <t>Fator de Atualização</t>
  </si>
  <si>
    <t>Instalações</t>
  </si>
  <si>
    <t>CAPEX CORRIGIDO</t>
  </si>
  <si>
    <t>Piso civil</t>
  </si>
  <si>
    <t>Revestimento civil</t>
  </si>
  <si>
    <t>Diversos</t>
  </si>
  <si>
    <t>Revestimentos</t>
  </si>
  <si>
    <t>Esquadrias</t>
  </si>
  <si>
    <t>Pintura</t>
  </si>
  <si>
    <t>Acabamentos</t>
  </si>
  <si>
    <t>Móveis</t>
  </si>
  <si>
    <t>Serviços finais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</si>
</sst>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_-[$R$-416]\ * #,##0.00_-;\-[$R$-416]\ * #,##0.00_-;_-[$R$-416]\ * &quot;-&quot;??_-;_-@_-"/>
    <numFmt numFmtId="166" formatCode="0.0000%"/>
    <numFmt numFmtId="167" formatCode="0.00000%"/>
    <numFmt numFmtId="168" formatCode="&quot;R$&quot;\ #,##0.0"/>
  </numFmts>
  <fonts count="22">
    <font>
      <sz val="11"/>
      <color theme="1"/>
      <name val="Calibri"/>
      <family val="2"/>
      <scheme val="minor"/>
    </font>
    <font>
      <sz val="11"/>
      <color theme="1"/>
      <name val="Segoe UI Light"/>
      <family val="2"/>
    </font>
    <font>
      <b/>
      <sz val="11"/>
      <color theme="1"/>
      <name val="Segoe UI Light"/>
      <family val="2"/>
    </font>
    <font>
      <b/>
      <sz val="11"/>
      <color theme="0"/>
      <name val="Segoe UI Light"/>
      <family val="2"/>
    </font>
    <font>
      <sz val="11"/>
      <color theme="1"/>
      <name val="Calibri"/>
      <family val="2"/>
      <scheme val="minor"/>
    </font>
    <font>
      <b/>
      <sz val="11"/>
      <color rgb="FF000000"/>
      <name val="Segoe UI Light"/>
      <family val="2"/>
    </font>
    <font>
      <sz val="11"/>
      <color rgb="FF000000"/>
      <name val="Segoe UI Light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Segoe UI Light"/>
      <family val="2"/>
    </font>
    <font>
      <b/>
      <sz val="9"/>
      <color theme="1"/>
      <name val="Segoe UI Light"/>
      <family val="2"/>
    </font>
    <font>
      <b/>
      <sz val="11"/>
      <color theme="0"/>
      <name val="Segoe UI Light"/>
    </font>
    <font>
      <sz val="11"/>
      <color theme="0"/>
      <name val="Segoe UI Light"/>
    </font>
    <font>
      <b/>
      <sz val="8"/>
      <color theme="0"/>
      <name val="Segoe UI Light"/>
      <family val="2"/>
    </font>
    <font>
      <sz val="8"/>
      <color theme="1"/>
      <name val="Segoe UI Light"/>
      <family val="2"/>
    </font>
    <font>
      <b/>
      <sz val="8"/>
      <color theme="1"/>
      <name val="Segoe UI Light"/>
      <family val="2"/>
    </font>
    <font>
      <b/>
      <sz val="12"/>
      <color theme="0"/>
      <name val="Segoe UI Light"/>
      <family val="2"/>
    </font>
    <font>
      <sz val="11"/>
      <color rgb="FF000000"/>
      <name val="Aptos Narrow"/>
      <family val="2"/>
    </font>
    <font>
      <i/>
      <sz val="11"/>
      <color rgb="FF000000"/>
      <name val="Aptos Narrow"/>
      <family val="2"/>
    </font>
    <font>
      <b/>
      <sz val="11"/>
      <color theme="0"/>
      <name val="Aptos Narrow"/>
      <family val="2"/>
    </font>
    <font>
      <b/>
      <sz val="11"/>
      <color theme="0"/>
      <name val="Calibri"/>
      <family val="2"/>
      <scheme val="minor"/>
    </font>
    <font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8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/>
    </xf>
    <xf numFmtId="9" fontId="1" fillId="0" borderId="0" xfId="1" applyFont="1" applyAlignment="1">
      <alignment horizontal="center"/>
    </xf>
    <xf numFmtId="0" fontId="1" fillId="3" borderId="14" xfId="0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/>
    <xf numFmtId="2" fontId="1" fillId="3" borderId="15" xfId="0" applyNumberFormat="1" applyFont="1" applyFill="1" applyBorder="1" applyAlignment="1">
      <alignment horizontal="center"/>
    </xf>
    <xf numFmtId="164" fontId="1" fillId="3" borderId="15" xfId="0" applyNumberFormat="1" applyFont="1" applyFill="1" applyBorder="1" applyAlignment="1">
      <alignment horizontal="center"/>
    </xf>
    <xf numFmtId="0" fontId="1" fillId="0" borderId="15" xfId="0" applyFont="1" applyBorder="1"/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/>
    <xf numFmtId="2" fontId="1" fillId="3" borderId="16" xfId="0" applyNumberFormat="1" applyFont="1" applyFill="1" applyBorder="1" applyAlignment="1">
      <alignment horizont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9" fontId="1" fillId="0" borderId="23" xfId="0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/>
    </xf>
    <xf numFmtId="2" fontId="6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5" fillId="0" borderId="23" xfId="0" applyFont="1" applyBorder="1" applyAlignment="1">
      <alignment horizontal="left"/>
    </xf>
    <xf numFmtId="9" fontId="6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10" fontId="6" fillId="0" borderId="0" xfId="0" applyNumberFormat="1" applyFont="1" applyAlignment="1">
      <alignment horizontal="center"/>
    </xf>
    <xf numFmtId="0" fontId="5" fillId="0" borderId="23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6" fillId="0" borderId="23" xfId="0" applyFont="1" applyBorder="1" applyAlignment="1">
      <alignment horizontal="center" wrapText="1"/>
    </xf>
    <xf numFmtId="164" fontId="3" fillId="2" borderId="24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7" fillId="0" borderId="0" xfId="2" applyAlignment="1">
      <alignment horizontal="left"/>
    </xf>
    <xf numFmtId="0" fontId="5" fillId="5" borderId="26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165" fontId="6" fillId="0" borderId="0" xfId="0" applyNumberFormat="1" applyFont="1" applyAlignment="1">
      <alignment horizontal="center"/>
    </xf>
    <xf numFmtId="165" fontId="8" fillId="0" borderId="0" xfId="0" applyNumberFormat="1" applyFont="1"/>
    <xf numFmtId="0" fontId="7" fillId="0" borderId="0" xfId="2"/>
    <xf numFmtId="164" fontId="2" fillId="3" borderId="0" xfId="0" applyNumberFormat="1" applyFont="1" applyFill="1" applyAlignment="1">
      <alignment horizontal="center"/>
    </xf>
    <xf numFmtId="0" fontId="2" fillId="3" borderId="30" xfId="0" applyFont="1" applyFill="1" applyBorder="1"/>
    <xf numFmtId="0" fontId="1" fillId="3" borderId="31" xfId="0" applyFont="1" applyFill="1" applyBorder="1"/>
    <xf numFmtId="0" fontId="1" fillId="3" borderId="31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 vertical="center"/>
    </xf>
    <xf numFmtId="2" fontId="1" fillId="3" borderId="31" xfId="0" applyNumberFormat="1" applyFont="1" applyFill="1" applyBorder="1" applyAlignment="1">
      <alignment horizontal="center"/>
    </xf>
    <xf numFmtId="164" fontId="2" fillId="3" borderId="31" xfId="0" applyNumberFormat="1" applyFont="1" applyFill="1" applyBorder="1" applyAlignment="1">
      <alignment horizontal="center"/>
    </xf>
    <xf numFmtId="164" fontId="1" fillId="3" borderId="32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/>
    </xf>
    <xf numFmtId="164" fontId="1" fillId="3" borderId="34" xfId="0" applyNumberFormat="1" applyFont="1" applyFill="1" applyBorder="1" applyAlignment="1">
      <alignment horizontal="center"/>
    </xf>
    <xf numFmtId="0" fontId="1" fillId="3" borderId="33" xfId="0" applyFont="1" applyFill="1" applyBorder="1"/>
    <xf numFmtId="0" fontId="1" fillId="3" borderId="0" xfId="0" applyFont="1" applyFill="1" applyAlignment="1">
      <alignment horizontal="center"/>
    </xf>
    <xf numFmtId="9" fontId="1" fillId="3" borderId="34" xfId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3" borderId="35" xfId="0" applyFont="1" applyFill="1" applyBorder="1"/>
    <xf numFmtId="0" fontId="1" fillId="3" borderId="23" xfId="0" applyFont="1" applyFill="1" applyBorder="1"/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 vertical="center"/>
    </xf>
    <xf numFmtId="2" fontId="1" fillId="3" borderId="23" xfId="0" applyNumberFormat="1" applyFont="1" applyFill="1" applyBorder="1" applyAlignment="1">
      <alignment horizontal="center"/>
    </xf>
    <xf numFmtId="164" fontId="1" fillId="3" borderId="23" xfId="0" applyNumberFormat="1" applyFont="1" applyFill="1" applyBorder="1" applyAlignment="1">
      <alignment horizontal="center"/>
    </xf>
    <xf numFmtId="164" fontId="1" fillId="3" borderId="36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/>
    <xf numFmtId="2" fontId="3" fillId="2" borderId="1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/>
    </xf>
    <xf numFmtId="44" fontId="3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44" fontId="9" fillId="2" borderId="3" xfId="0" applyNumberFormat="1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left" vertical="center"/>
    </xf>
    <xf numFmtId="44" fontId="10" fillId="6" borderId="3" xfId="0" applyNumberFormat="1" applyFont="1" applyFill="1" applyBorder="1" applyAlignment="1">
      <alignment horizontal="center"/>
    </xf>
    <xf numFmtId="10" fontId="1" fillId="3" borderId="38" xfId="0" applyNumberFormat="1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/>
    </xf>
    <xf numFmtId="0" fontId="1" fillId="3" borderId="39" xfId="0" applyFont="1" applyFill="1" applyBorder="1"/>
    <xf numFmtId="2" fontId="1" fillId="3" borderId="39" xfId="0" applyNumberFormat="1" applyFont="1" applyFill="1" applyBorder="1" applyAlignment="1">
      <alignment horizontal="center"/>
    </xf>
    <xf numFmtId="164" fontId="1" fillId="3" borderId="39" xfId="0" applyNumberFormat="1" applyFont="1" applyFill="1" applyBorder="1" applyAlignment="1">
      <alignment horizontal="center"/>
    </xf>
    <xf numFmtId="166" fontId="1" fillId="3" borderId="38" xfId="0" applyNumberFormat="1" applyFont="1" applyFill="1" applyBorder="1" applyAlignment="1">
      <alignment horizontal="center" vertical="center"/>
    </xf>
    <xf numFmtId="167" fontId="1" fillId="3" borderId="38" xfId="0" applyNumberFormat="1" applyFont="1" applyFill="1" applyBorder="1" applyAlignment="1">
      <alignment horizontal="center" vertical="center"/>
    </xf>
    <xf numFmtId="167" fontId="1" fillId="3" borderId="40" xfId="0" applyNumberFormat="1" applyFont="1" applyFill="1" applyBorder="1" applyAlignment="1">
      <alignment horizontal="center" vertical="center"/>
    </xf>
    <xf numFmtId="166" fontId="1" fillId="3" borderId="40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 vertical="center"/>
    </xf>
    <xf numFmtId="0" fontId="1" fillId="3" borderId="38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164" fontId="3" fillId="2" borderId="42" xfId="0" applyNumberFormat="1" applyFont="1" applyFill="1" applyBorder="1" applyAlignment="1">
      <alignment horizontal="center"/>
    </xf>
    <xf numFmtId="10" fontId="1" fillId="3" borderId="41" xfId="0" applyNumberFormat="1" applyFont="1" applyFill="1" applyBorder="1" applyAlignment="1">
      <alignment horizontal="center"/>
    </xf>
    <xf numFmtId="10" fontId="1" fillId="3" borderId="43" xfId="0" applyNumberFormat="1" applyFont="1" applyFill="1" applyBorder="1" applyAlignment="1">
      <alignment horizontal="center"/>
    </xf>
    <xf numFmtId="10" fontId="1" fillId="3" borderId="44" xfId="0" applyNumberFormat="1" applyFont="1" applyFill="1" applyBorder="1" applyAlignment="1">
      <alignment horizontal="center"/>
    </xf>
    <xf numFmtId="44" fontId="3" fillId="2" borderId="3" xfId="0" applyNumberFormat="1" applyFont="1" applyFill="1" applyBorder="1" applyAlignment="1">
      <alignment horizontal="right"/>
    </xf>
    <xf numFmtId="10" fontId="3" fillId="2" borderId="3" xfId="0" applyNumberFormat="1" applyFont="1" applyFill="1" applyBorder="1" applyAlignment="1">
      <alignment horizontal="center" vertical="center"/>
    </xf>
    <xf numFmtId="10" fontId="10" fillId="6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30" xfId="0" applyFont="1" applyFill="1" applyBorder="1" applyAlignment="1">
      <alignment vertical="center"/>
    </xf>
    <xf numFmtId="10" fontId="3" fillId="2" borderId="42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10" fontId="3" fillId="2" borderId="25" xfId="0" applyNumberFormat="1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10" fontId="3" fillId="2" borderId="36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vertical="center"/>
    </xf>
    <xf numFmtId="0" fontId="6" fillId="3" borderId="4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vertical="center"/>
    </xf>
    <xf numFmtId="9" fontId="1" fillId="0" borderId="0" xfId="1" applyFont="1" applyBorder="1" applyAlignment="1">
      <alignment horizontal="center"/>
    </xf>
    <xf numFmtId="0" fontId="1" fillId="3" borderId="0" xfId="0" applyFont="1" applyFill="1" applyAlignment="1">
      <alignment horizontal="left"/>
    </xf>
    <xf numFmtId="0" fontId="2" fillId="3" borderId="33" xfId="0" applyFont="1" applyFill="1" applyBorder="1"/>
    <xf numFmtId="0" fontId="13" fillId="2" borderId="37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/>
    <xf numFmtId="2" fontId="14" fillId="3" borderId="2" xfId="0" applyNumberFormat="1" applyFont="1" applyFill="1" applyBorder="1" applyAlignment="1">
      <alignment horizontal="center"/>
    </xf>
    <xf numFmtId="164" fontId="14" fillId="3" borderId="1" xfId="0" applyNumberFormat="1" applyFont="1" applyFill="1" applyBorder="1" applyAlignment="1">
      <alignment horizontal="center"/>
    </xf>
    <xf numFmtId="10" fontId="14" fillId="3" borderId="38" xfId="0" applyNumberFormat="1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/>
    </xf>
    <xf numFmtId="2" fontId="14" fillId="3" borderId="1" xfId="0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/>
    </xf>
    <xf numFmtId="0" fontId="14" fillId="3" borderId="39" xfId="0" applyFont="1" applyFill="1" applyBorder="1"/>
    <xf numFmtId="2" fontId="14" fillId="3" borderId="39" xfId="0" applyNumberFormat="1" applyFont="1" applyFill="1" applyBorder="1" applyAlignment="1">
      <alignment horizontal="center"/>
    </xf>
    <xf numFmtId="164" fontId="14" fillId="3" borderId="39" xfId="0" applyNumberFormat="1" applyFont="1" applyFill="1" applyBorder="1" applyAlignment="1">
      <alignment horizontal="center"/>
    </xf>
    <xf numFmtId="0" fontId="14" fillId="3" borderId="40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/>
    </xf>
    <xf numFmtId="0" fontId="13" fillId="2" borderId="13" xfId="0" applyFont="1" applyFill="1" applyBorder="1" applyAlignment="1">
      <alignment vertical="center"/>
    </xf>
    <xf numFmtId="2" fontId="13" fillId="2" borderId="13" xfId="0" applyNumberFormat="1" applyFont="1" applyFill="1" applyBorder="1" applyAlignment="1">
      <alignment horizontal="center" vertical="center"/>
    </xf>
    <xf numFmtId="164" fontId="13" fillId="2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3" xfId="0" applyFont="1" applyFill="1" applyBorder="1" applyAlignment="1">
      <alignment vertical="center"/>
    </xf>
    <xf numFmtId="2" fontId="3" fillId="2" borderId="13" xfId="0" applyNumberFormat="1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167" fontId="3" fillId="2" borderId="13" xfId="0" applyNumberFormat="1" applyFont="1" applyFill="1" applyBorder="1" applyAlignment="1">
      <alignment horizontal="center" vertical="center"/>
    </xf>
    <xf numFmtId="10" fontId="13" fillId="2" borderId="13" xfId="0" applyNumberFormat="1" applyFont="1" applyFill="1" applyBorder="1" applyAlignment="1">
      <alignment horizontal="center" vertical="center"/>
    </xf>
    <xf numFmtId="10" fontId="14" fillId="3" borderId="40" xfId="0" applyNumberFormat="1" applyFont="1" applyFill="1" applyBorder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164" fontId="13" fillId="2" borderId="42" xfId="0" applyNumberFormat="1" applyFont="1" applyFill="1" applyBorder="1" applyAlignment="1">
      <alignment horizontal="center" vertical="center"/>
    </xf>
    <xf numFmtId="10" fontId="14" fillId="3" borderId="43" xfId="0" applyNumberFormat="1" applyFont="1" applyFill="1" applyBorder="1" applyAlignment="1">
      <alignment horizontal="center" vertical="center"/>
    </xf>
    <xf numFmtId="10" fontId="14" fillId="3" borderId="44" xfId="0" applyNumberFormat="1" applyFont="1" applyFill="1" applyBorder="1" applyAlignment="1">
      <alignment horizontal="center" vertical="center"/>
    </xf>
    <xf numFmtId="10" fontId="14" fillId="3" borderId="41" xfId="0" applyNumberFormat="1" applyFont="1" applyFill="1" applyBorder="1" applyAlignment="1">
      <alignment horizontal="center" vertical="center"/>
    </xf>
    <xf numFmtId="164" fontId="13" fillId="2" borderId="24" xfId="0" applyNumberFormat="1" applyFont="1" applyFill="1" applyBorder="1" applyAlignment="1">
      <alignment horizontal="center" vertical="center"/>
    </xf>
    <xf numFmtId="0" fontId="3" fillId="2" borderId="23" xfId="0" applyFont="1" applyFill="1" applyBorder="1"/>
    <xf numFmtId="0" fontId="6" fillId="3" borderId="0" xfId="0" applyFont="1" applyFill="1"/>
    <xf numFmtId="2" fontId="10" fillId="6" borderId="3" xfId="0" applyNumberFormat="1" applyFont="1" applyFill="1" applyBorder="1" applyAlignment="1">
      <alignment horizontal="right" vertical="center"/>
    </xf>
    <xf numFmtId="44" fontId="10" fillId="6" borderId="3" xfId="0" applyNumberFormat="1" applyFont="1" applyFill="1" applyBorder="1" applyAlignment="1">
      <alignment horizontal="right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64" fontId="3" fillId="2" borderId="41" xfId="0" applyNumberFormat="1" applyFont="1" applyFill="1" applyBorder="1" applyAlignment="1">
      <alignment horizontal="center" vertical="center"/>
    </xf>
    <xf numFmtId="164" fontId="2" fillId="7" borderId="41" xfId="0" applyNumberFormat="1" applyFont="1" applyFill="1" applyBorder="1" applyAlignment="1">
      <alignment horizontal="center" vertical="center"/>
    </xf>
    <xf numFmtId="164" fontId="0" fillId="6" borderId="41" xfId="0" applyNumberFormat="1" applyFill="1" applyBorder="1"/>
    <xf numFmtId="164" fontId="2" fillId="6" borderId="41" xfId="0" applyNumberFormat="1" applyFont="1" applyFill="1" applyBorder="1" applyAlignment="1">
      <alignment horizontal="center" vertical="center"/>
    </xf>
    <xf numFmtId="164" fontId="0" fillId="0" borderId="0" xfId="0" applyNumberFormat="1"/>
    <xf numFmtId="10" fontId="2" fillId="0" borderId="0" xfId="0" applyNumberFormat="1" applyFont="1" applyAlignment="1">
      <alignment horizontal="center" vertical="center"/>
    </xf>
    <xf numFmtId="17" fontId="0" fillId="0" borderId="0" xfId="0" applyNumberForma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3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8" fillId="0" borderId="0" xfId="0" applyFont="1"/>
    <xf numFmtId="14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17" fontId="17" fillId="3" borderId="30" xfId="0" applyNumberFormat="1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/>
    </xf>
    <xf numFmtId="0" fontId="0" fillId="3" borderId="31" xfId="0" applyFill="1" applyBorder="1"/>
    <xf numFmtId="10" fontId="0" fillId="3" borderId="32" xfId="0" applyNumberFormat="1" applyFill="1" applyBorder="1"/>
    <xf numFmtId="17" fontId="17" fillId="3" borderId="33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/>
    <xf numFmtId="10" fontId="0" fillId="3" borderId="34" xfId="0" applyNumberFormat="1" applyFill="1" applyBorder="1"/>
    <xf numFmtId="0" fontId="18" fillId="3" borderId="35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/>
    </xf>
    <xf numFmtId="0" fontId="17" fillId="3" borderId="23" xfId="0" applyFont="1" applyFill="1" applyBorder="1"/>
    <xf numFmtId="0" fontId="0" fillId="3" borderId="36" xfId="0" applyFill="1" applyBorder="1"/>
    <xf numFmtId="0" fontId="19" fillId="2" borderId="30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/>
    </xf>
    <xf numFmtId="0" fontId="20" fillId="2" borderId="31" xfId="0" applyFont="1" applyFill="1" applyBorder="1"/>
    <xf numFmtId="0" fontId="20" fillId="2" borderId="32" xfId="0" applyFont="1" applyFill="1" applyBorder="1"/>
    <xf numFmtId="0" fontId="21" fillId="0" borderId="48" xfId="0" applyFont="1" applyBorder="1"/>
    <xf numFmtId="0" fontId="21" fillId="0" borderId="0" xfId="0" applyFont="1"/>
    <xf numFmtId="8" fontId="21" fillId="0" borderId="0" xfId="0" applyNumberFormat="1" applyFont="1"/>
    <xf numFmtId="0" fontId="21" fillId="0" borderId="49" xfId="0" applyFont="1" applyBorder="1"/>
    <xf numFmtId="8" fontId="0" fillId="0" borderId="0" xfId="0" applyNumberFormat="1"/>
    <xf numFmtId="8" fontId="0" fillId="0" borderId="0" xfId="0" applyNumberFormat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8" fontId="21" fillId="0" borderId="27" xfId="0" applyNumberFormat="1" applyFont="1" applyBorder="1"/>
    <xf numFmtId="8" fontId="0" fillId="0" borderId="27" xfId="0" applyNumberFormat="1" applyBorder="1" applyAlignment="1">
      <alignment horizontal="center" vertical="center"/>
    </xf>
    <xf numFmtId="10" fontId="0" fillId="0" borderId="27" xfId="0" applyNumberFormat="1" applyBorder="1" applyAlignment="1">
      <alignment horizontal="center" vertic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2" borderId="33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0" fontId="11" fillId="2" borderId="45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6" fillId="0" borderId="0" xfId="0" applyFont="1" applyAlignment="1">
      <alignment horizontal="right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</cellXfs>
  <cellStyles count="3">
    <cellStyle name="Hyperlink" xfId="2"/>
    <cellStyle name="Normal" xfId="0" builtinId="0"/>
    <cellStyle name="Porcentagem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3.bcb.gov.br/sgspub/consultarvalores/telaCvsSelecionarSeries.pain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.br/Cadeira-Escrit%C3%B3rio-Secret%C3%A1ria-Cromada-Rodinha/dp/B0D9HNH2KN/ref=asc_df_B0D9HNH2KN/?tag=googleshopp00-20&amp;linkCode=df0&amp;hvadid=709968340957&amp;hvpos=&amp;hvnetw=g&amp;hvrand=3823642956765407686&amp;hvpone=&amp;hvptwo=&amp;hvqmt=&amp;hvdev=c&amp;hvdvcmdl=&amp;hvlocint=&amp;hvlocphy=9101555&amp;hvtargid=pla-2331342379100&amp;psc=1&amp;mcid=9be4355e61863f34835c82a7a81b94b3&amp;gad_source=1" TargetMode="External"/><Relationship Id="rId13" Type="http://schemas.openxmlformats.org/officeDocument/2006/relationships/hyperlink" Target="https://www.amazon.com.br/Geladeira-Consul-Degelo-Gavet%C3%A3o-Hortifruti/dp/B076B97232/ref=asc_df_B076B97232/?tag=googleshopp00-20&amp;linkCode=df0&amp;hvadid=709884460975&amp;hvpos=&amp;hvnetw=g&amp;hvrand=9997892139953941511&amp;hvpone=&amp;hvptwo=&amp;hvqmt=&amp;hvdev=c&amp;hvdvcmdl=&amp;hvlocint=&amp;hvlocphy=9101555&amp;hvtargid=pla-2371707239973&amp;psc=1&amp;mcid=b0b0cf57d200310093cb3648ade593da&amp;gad_source=1" TargetMode="External"/><Relationship Id="rId18" Type="http://schemas.openxmlformats.org/officeDocument/2006/relationships/hyperlink" Target="https://produto.mercadolivre.com.br/MLB-5028941824-mesa-bancada-para-maquinas-de-costura-singer-facilita-pro-_JM?matt_tool=84319704&amp;matt_word=&amp;matt_source=google&amp;matt_campaign_id=16393052799&amp;matt_ad_group_id=136691958631&amp;matt_match_type=&amp;matt_network=g&amp;matt_device=c&amp;matt_creative=584296520780&amp;matt_keyword=&amp;matt_ad_position=&amp;matt_ad_type=pla&amp;matt_merchant_id=5325874933&amp;matt_product_id=MLB5028941824&amp;matt_product_partition_id=2268631379008&amp;matt_target_id=aud-2009166904988:pla-2268631379008&amp;cq_src=google_ads&amp;cq_cmp=16393052799&amp;cq_net=g&amp;cq_plt=gp&amp;cq_med=pla&amp;gad_source=1&amp;gclid=EAIaIQobChMI8vKvuODbiQMVUlhIAB0u6gDCEAQYASABEgJrBPD_BwE" TargetMode="External"/><Relationship Id="rId26" Type="http://schemas.openxmlformats.org/officeDocument/2006/relationships/hyperlink" Target="https://www.amazon.com.br/Esta%C3%A7%C3%A3o-Muscula%C3%A7%C3%A3o-Academia-Podiumfit-Me200-65kg/dp/B08642FYQ4/ref=asc_df_B08642FYQ4/?tag=googleshopp00-20&amp;linkCode=df0&amp;hvadid=709857070023&amp;hvpos=&amp;hvnetw=g&amp;hvrand=6554924835057423462&amp;hvpone=&amp;hvptwo=&amp;hvqmt=&amp;hvdev=c&amp;hvdvcmdl=&amp;hvlocint=&amp;hvlocphy=9101555&amp;hvtargid=pla-930540053204&amp;psc=1&amp;mcid=a17b783eea1c386d80d3699710d749b6&amp;gad_source=1" TargetMode="External"/><Relationship Id="rId3" Type="http://schemas.openxmlformats.org/officeDocument/2006/relationships/hyperlink" Target="https://www.amazon.com.br/Solteiro-Gavetas-Coimbra-Atacama-Aram%C3%B3veis/dp/B0CG2C12RK/ref=asc_df_B0CG2C12RK/?tag=googleshopp00-20&amp;linkCode=df0&amp;hvadid=709968340954&amp;hvpos=&amp;hvnetw=g&amp;hvrand=5847029545021136100&amp;hvpone=&amp;hvptwo=&amp;hvqmt=&amp;hvdev=c&amp;hvdvcmdl=&amp;hvlocint=&amp;hvlocphy=9101555&amp;hvtargid=pla-2211163066079&amp;psc=1&amp;mcid=3c034600e6a83541b9792bf665a5fd68&amp;gad_source=1" TargetMode="External"/><Relationship Id="rId21" Type="http://schemas.openxmlformats.org/officeDocument/2006/relationships/hyperlink" Target="https://produto.mercadolivre.com.br/MLB-2087077767-50-pratos-rasos-para-restaurante-buffet-hotel-lanchonete-bar-_JM?matt_tool=68506710&amp;matt_word=&amp;matt_source=google&amp;matt_campaign_id=14302215504&amp;matt_ad_group_id=154967597028&amp;matt_match_type=&amp;matt_network=g&amp;matt_device=c&amp;matt_creative=649487315881&amp;matt_keyword=&amp;matt_ad_position=&amp;matt_ad_type=pla&amp;matt_merchant_id=122236285&amp;matt_product_id=MLB2087077767&amp;matt_product_partition_id=2014536770847&amp;matt_target_id=aud-2009166904988:pla-2014536770847&amp;cq_src=google_ads&amp;cq_cmp=14302215504&amp;cq_net=g&amp;cq_plt=gp&amp;cq_med=pla&amp;gad_source=1&amp;gclid=EAIaIQobChMInffEzeLbiQMVwFVIAB2IYgD1EAQYAyABEgIUNfD_BwE" TargetMode="External"/><Relationship Id="rId7" Type="http://schemas.openxmlformats.org/officeDocument/2006/relationships/hyperlink" Target="https://www.mercadolivre.com.br/escrivaninha-steel-mobile-star-mdf-de-120cm-x-74cm-x-45cm-pretoimbuia/p/MLB27820924?pdp_filters=item_id%3AMLB3775751417&amp;from=gshop&amp;matt_tool=18983347&amp;matt_word=&amp;matt_source=google&amp;matt_campaign_id=14302215531&amp;matt_ad_group_id=155854918005&amp;matt_match_type=&amp;matt_network=g&amp;matt_device=c&amp;matt_creative=686778909993&amp;matt_keyword=&amp;matt_ad_position=&amp;matt_ad_type=pla&amp;matt_merchant_id=735128761&amp;matt_product_id=MLB27820924-product&amp;matt_product_partition_id=1963044459553&amp;matt_target_id=aud-2009166904988:pla-1963044459553&amp;cq_src=google_ads&amp;cq_cmp=14302215531&amp;cq_net=g&amp;cq_plt=gp&amp;cq_med=pla&amp;gad_source=1&amp;gclid=EAIaIQobChMI6pr-jd_biQMVaihECB0kogTDEAQYAiABEgJrLfD_BwE" TargetMode="External"/><Relationship Id="rId12" Type="http://schemas.openxmlformats.org/officeDocument/2006/relationships/hyperlink" Target="https://www.amazon.com.br/Midea-MDRD108FGA011-FRIGOBAR-MIDEA-127V/dp/B0BT63ZBT7/ref=asc_df_B0BT63ZBT7/?tag=googleshopp00-20&amp;linkCode=df0&amp;hvadid=709884460975&amp;hvpos=&amp;hvnetw=g&amp;hvrand=16718862186633003967&amp;hvpone=&amp;hvptwo=&amp;hvqmt=&amp;hvdev=c&amp;hvdvcmdl=&amp;hvlocint=&amp;hvlocphy=9101555&amp;hvtargid=pla-2015581519099&amp;psc=1&amp;mcid=4b1a9085b26a373c81e14016dd13ab70&amp;gad_source=1" TargetMode="External"/><Relationship Id="rId17" Type="http://schemas.openxmlformats.org/officeDocument/2006/relationships/hyperlink" Target="https://www.amazon.com.br/Notebook-Lenovo-Ideapad-i5-1235U-512GB/dp/B0CK3R8JYG/ref=asc_df_B0CK3R8JYG/?tag=googleshopp00-20&amp;linkCode=df0&amp;hvadid=709884378364&amp;hvpos=&amp;hvnetw=g&amp;hvrand=12434131605951846581&amp;hvpone=&amp;hvptwo=&amp;hvqmt=&amp;hvdev=c&amp;hvdvcmdl=&amp;hvlocint=&amp;hvlocphy=9101555&amp;hvtargid=pla-2259396492379&amp;psc=1&amp;mcid=615efcdecbd33b0095df075ef0bd9071&amp;gad_source=1" TargetMode="External"/><Relationship Id="rId25" Type="http://schemas.openxmlformats.org/officeDocument/2006/relationships/hyperlink" Target="https://produto.mercadolivre.com.br/MLB-3516833815-armario-roupeiro-aco-12-portas-guarda-volume-trinco-_JM?matt_tool=81686442&amp;matt_word=&amp;matt_source=google&amp;matt_campaign_id=14302215513&amp;matt_ad_group_id=130580034710&amp;matt_match_type=&amp;matt_network=g&amp;matt_device=c&amp;matt_creative=542969737596&amp;matt_keyword=&amp;matt_ad_position=&amp;matt_ad_type=pla&amp;matt_merchant_id=5386182031&amp;matt_product_id=MLB3516833815&amp;matt_product_partition_id=2323205042847&amp;matt_target_id=aud-2009166904988:pla-2323205042847&amp;cq_src=google_ads&amp;cq_cmp=14302215513&amp;cq_net=g&amp;cq_plt=gp&amp;cq_med=pla&amp;gad_source=1&amp;gclid=EAIaIQobChMIu6Ttp-PbiQMVo0JIAB2cOQWsEAQYBCABEgIxsfD_BwE" TargetMode="External"/><Relationship Id="rId33" Type="http://schemas.openxmlformats.org/officeDocument/2006/relationships/hyperlink" Target="https://produto.mercadolivre.com.br/MLB-1086005988-coifa-industrial-130-x-060-dois-dutos-com-motor-e-chapeu-_JM?matt_tool=24471422&amp;matt_word=&amp;matt_source=google&amp;matt_campaign_id=14303413841&amp;matt_ad_group_id=125984300877&amp;matt_match_type=&amp;matt_network=g&amp;matt_device=c&amp;matt_creative=539354957217&amp;matt_keyword=&amp;matt_ad_position=&amp;matt_ad_type=pla&amp;matt_merchant_id=288193372&amp;matt_product_id=MLB1086005988&amp;matt_product_partition_id=2269750507396&amp;matt_target_id=aud-2009166904988:pla-2269750507396&amp;cq_src=google_ads&amp;cq_cmp=14303413841&amp;cq_net=g&amp;cq_plt=gp&amp;cq_med=pla&amp;gad_source=1&amp;gclid=EAIaIQobChMI15yx14nciQMVTF5IAB3tsAOWEAQYAyABEgJPwfD_BwE" TargetMode="External"/><Relationship Id="rId2" Type="http://schemas.openxmlformats.org/officeDocument/2006/relationships/hyperlink" Target="https://produto.mercadolivre.com.br/MLB-3102257106-mesa-de-cabeceira-criado-para-quarto-retro-alice-_JM?matt_tool=18983347&amp;matt_word=&amp;matt_source=google&amp;matt_campaign_id=14302215531&amp;matt_ad_group_id=155854918005&amp;matt_match_type=&amp;matt_network=g&amp;matt_device=c&amp;matt_creative=686778909993&amp;matt_keyword=&amp;matt_ad_position=&amp;matt_ad_type=pla&amp;matt_merchant_id=5082132220&amp;matt_product_id=MLB3102257106&amp;matt_product_partition_id=1963044459753&amp;matt_target_id=aud-2009166904988:pla-1963044459753&amp;cq_src=google_ads&amp;cq_cmp=14302215531&amp;cq_net=g&amp;cq_plt=gp&amp;cq_med=pla&amp;gad_source=1&amp;gclid=EAIaIQobChMIy92QsN7biQMVp2FIAB1i9jxHEAQYCCABEgJON_D_BwE" TargetMode="External"/><Relationship Id="rId16" Type="http://schemas.openxmlformats.org/officeDocument/2006/relationships/hyperlink" Target="https://www.amazon.com.br/Projetor-Lumens-PFL-5210-Intelbras/dp/B0CNH5K3JM/ref=asc_df_B0CNH5K3JM/?tag=googleshopp00-20&amp;linkCode=df0&amp;hvadid=709964502890&amp;hvpos=&amp;hvnetw=g&amp;hvrand=17960110704650655243&amp;hvpone=&amp;hvptwo=&amp;hvqmt=&amp;hvdev=c&amp;hvdvcmdl=&amp;hvlocint=&amp;hvlocphy=9101555&amp;hvtargid=pla-2311524453804&amp;psc=1&amp;mcid=b48e344d7e003d37aa2ab723c8eba6f3&amp;gad_source=1" TargetMode="External"/><Relationship Id="rId20" Type="http://schemas.openxmlformats.org/officeDocument/2006/relationships/hyperlink" Target="https://www.amazon.com.br/Pe%C3%A7as-Garfo-Colher-Buffet-Restaurante/dp/B0CD6D4GX4/ref=asc_df_B0CD6D4GX4/?tag=googleshopp00-20&amp;linkCode=df0&amp;hvadid=709964506220&amp;hvpos=&amp;hvnetw=g&amp;hvrand=13128620473185654699&amp;hvpone=&amp;hvptwo=&amp;hvqmt=&amp;hvdev=c&amp;hvdvcmdl=&amp;hvlocint=&amp;hvlocphy=9101555&amp;hvtargid=pla-2203097789675&amp;psc=1&amp;mcid=62c7cb3925483537a493d694da1a5d33&amp;gad_source=1" TargetMode="External"/><Relationship Id="rId29" Type="http://schemas.openxmlformats.org/officeDocument/2006/relationships/hyperlink" Target="https://www.amazon.com.br/Ergometrica-Ergom%C3%A9trica-Bicicletas-Ergom%C3%A9tricas-Silenciosa/dp/B0DJ7C21YV/ref=asc_df_B0DJ7C21YV/?tag=googleshopp00-20&amp;linkCode=df0&amp;hvadid=709857069984&amp;hvpos=&amp;hvnetw=g&amp;hvrand=11031128221219538495&amp;hvpone=&amp;hvptwo=&amp;hvqmt=&amp;hvdev=c&amp;hvdvcmdl=&amp;hvlocint=&amp;hvlocphy=9101555&amp;hvtargid=pla-2372454745808&amp;psc=1&amp;mcid=121f7e00f2103b46a0a8bd329ee7119b&amp;gad_source=1" TargetMode="External"/><Relationship Id="rId1" Type="http://schemas.openxmlformats.org/officeDocument/2006/relationships/hyperlink" Target="https://www.magazineluiza.com.br/cama-box-solteiro-reconflex-conjugada-fenix-55x88x188cm/p/237083000/co/cjso/?&amp;seller_id=magazineluiza&amp;utm_source=google&amp;utm_medium=cpc&amp;utm_term=73837&amp;utm_campaign=google_eco_per_ven_pla_mo_apo_1p_moveis&amp;utm_content=&amp;partner_id=73837&amp;gclsrc=aw.ds&amp;gclid=EAIaIQobChMIz66vod7biQMVuBBECB3vPigMEAQYASABEgIKlvD_BwE" TargetMode="External"/><Relationship Id="rId6" Type="http://schemas.openxmlformats.org/officeDocument/2006/relationships/hyperlink" Target="https://www.magazineluiza.com.br/prateleira-aco-inox-parede-decoracao-57x21-inox-laurindos/p/fccaaghfej/de/prha/?seller_id=redepinhal&amp;srsltid=AfmBOoruNCZ5-JmVdUAu06FV988LzwvyzjLorqneW_Nr2UJVBDitIbb4W6I" TargetMode="External"/><Relationship Id="rId11" Type="http://schemas.openxmlformats.org/officeDocument/2006/relationships/hyperlink" Target="https://www.amazon.com.br/TCL-LED-SMART-S5400A-ANDROID/dp/B0CC73MY9D/ref=asc_df_B0CC73MY9D/?tag=googleshopp00-20&amp;linkCode=df0&amp;hvadid=709964502896&amp;hvpos=&amp;hvnetw=g&amp;hvrand=6785519557594998482&amp;hvpone=&amp;hvptwo=&amp;hvqmt=&amp;hvdev=c&amp;hvdvcmdl=&amp;hvlocint=&amp;hvlocphy=9101555&amp;hvtargid=pla-2260808535249&amp;psc=1&amp;mcid=e2969ca9e1a331f591d3bb4b6c781143&amp;gad_source=1" TargetMode="External"/><Relationship Id="rId24" Type="http://schemas.openxmlformats.org/officeDocument/2006/relationships/hyperlink" Target="https://produto.mercadolivre.com.br/MLB-4540511064-mesa-dobravel-122-ajusta-de-altura-suporta-150-kg-_JM?matt_tool=47780295&amp;matt_word=&amp;matt_source=google&amp;matt_campaign_id=14302215540&amp;matt_ad_group_id=157843787695&amp;matt_match_type=&amp;matt_network=g&amp;matt_device=c&amp;matt_creative=686778909996&amp;matt_keyword=&amp;matt_ad_position=&amp;matt_ad_type=pla&amp;matt_merchant_id=105657373&amp;matt_product_id=MLB4540511064&amp;matt_product_partition_id=1961862651521&amp;matt_target_id=aud-2009166904988:pla-1961862651521&amp;cq_src=google_ads&amp;cq_cmp=14302215540&amp;cq_net=g&amp;cq_plt=gp&amp;cq_med=pla&amp;gad_source=1&amp;gclid=EAIaIQobChMIwoTZkOPbiQMVuVVIAB1shwC9EAQYAiABEgK_NPD_BwE" TargetMode="External"/><Relationship Id="rId32" Type="http://schemas.openxmlformats.org/officeDocument/2006/relationships/hyperlink" Target="https://sin.seinfra.ce.gov.br/site-seinfra/siproce/onerada/html/C2936.html?a=1698149822411" TargetMode="External"/><Relationship Id="rId5" Type="http://schemas.openxmlformats.org/officeDocument/2006/relationships/hyperlink" Target="https://produto.mercadolivre.com.br/MLB-2975393334-estante-aco-5-prateleiras-cromada-aramada-170-cm-desmontavel-_JM?matt_tool=63065976&amp;matt_word=&amp;matt_source=google&amp;matt_campaign_id=14302215534&amp;matt_ad_group_id=154967597988&amp;matt_match_type=&amp;matt_network=g&amp;matt_device=c&amp;matt_creative=649487315899&amp;matt_keyword=&amp;matt_ad_position=&amp;matt_ad_type=pla&amp;matt_merchant_id=700812106&amp;matt_product_id=MLB2975393334&amp;matt_product_partition_id=1960832236233&amp;matt_target_id=aud-2009166904988:pla-1960832236233&amp;cq_src=google_ads&amp;cq_cmp=14302215534&amp;cq_net=g&amp;cq_plt=gp&amp;cq_med=pla&amp;gad_source=1&amp;gclid=EAIaIQobChMIlu_g697biQMV-TtECB1HpikBEAQYBCABEgLTl_D_BwE" TargetMode="External"/><Relationship Id="rId15" Type="http://schemas.openxmlformats.org/officeDocument/2006/relationships/hyperlink" Target="https://www.amazon.com.br/Forno-Micro-ondas-Preto-Midea-MRAS22/dp/B0931ZRJ66/ref=asc_df_B0931ZRJ66/?tag=googleshopp00-20&amp;linkCode=df0&amp;hvadid=709886750320&amp;hvpos=&amp;hvnetw=g&amp;hvrand=13962439182616537260&amp;hvpone=&amp;hvptwo=&amp;hvqmt=&amp;hvdev=c&amp;hvdvcmdl=&amp;hvlocint=&amp;hvlocphy=9101555&amp;hvtargid=pla-1395669744615&amp;psc=1&amp;mcid=794d8c196632344cb432af5f31c6bbd3&amp;gad_source=1" TargetMode="External"/><Relationship Id="rId23" Type="http://schemas.openxmlformats.org/officeDocument/2006/relationships/hyperlink" Target="https://produto.mercadolivre.com.br/MLB-4394801500-mesa-passadeira-de-roupa-grande-jumbo-142-com-suporte-ferro-_JM?matt_tool=68506710&amp;matt_word=&amp;matt_source=google&amp;matt_campaign_id=14302215504&amp;matt_ad_group_id=154967597028&amp;matt_match_type=&amp;matt_network=g&amp;matt_device=c&amp;matt_creative=649487315881&amp;matt_keyword=&amp;matt_ad_position=&amp;matt_ad_type=pla&amp;matt_merchant_id=411380408&amp;matt_product_id=MLB4394801500&amp;matt_product_partition_id=2014536770767&amp;matt_target_id=aud-2009166904988:pla-2014536770767&amp;cq_src=google_ads&amp;cq_cmp=14302215504&amp;cq_net=g&amp;cq_plt=gp&amp;cq_med=pla&amp;gad_source=1&amp;gclid=EAIaIQobChMIw57R-eLbiQMV3iBECB3A0wgXEAQYAiABEgLfhfD_BwE" TargetMode="External"/><Relationship Id="rId28" Type="http://schemas.openxmlformats.org/officeDocument/2006/relationships/hyperlink" Target="https://www.amazon.com.br/Banco-Supino-Muscula%C3%A7%C3%A3o-Academia-90x30x42cm/dp/B0D51HC7CN/ref=asc_df_B0D51HC7CN/?tag=googleshopp00-20&amp;linkCode=df0&amp;hvadid=709857070023&amp;hvpos=&amp;hvnetw=g&amp;hvrand=9739932977692915275&amp;hvpone=&amp;hvptwo=&amp;hvqmt=&amp;hvdev=c&amp;hvdvcmdl=&amp;hvlocint=&amp;hvlocphy=9101555&amp;hvtargid=pla-2314628788070&amp;psc=1&amp;mcid=599d07ee8ed632609b2cf1c0a0a1e25a&amp;gad_source=1" TargetMode="External"/><Relationship Id="rId10" Type="http://schemas.openxmlformats.org/officeDocument/2006/relationships/hyperlink" Target="https://www.madeiramadeira.com.br/conjunto-mesa-para-refeitorio-6-lugares-com-bancos-separados-945285169.html?origem=pla-945285169&amp;utm_source=google&amp;utm_medium=cpc&amp;utm_content=mesas-para-sala-de-jantar-5168&amp;utm_term=&amp;utm_id=17456093492&amp;gad_source=1&amp;gclid=EAIaIQobChMIlbGO3t_biQMVjFhIAB1wWwDDEAQYAyABEgL9ZvD_BwE" TargetMode="External"/><Relationship Id="rId19" Type="http://schemas.openxmlformats.org/officeDocument/2006/relationships/hyperlink" Target="https://produto.mercadolivre.com.br/MLB-5004944758-jogo-mesa-plastica-restaurante-hotel-quadrada-rattan-marrom-_JM?matt_tool=38467324&amp;matt_word=&amp;matt_source=google&amp;matt_campaign_id=14302215510&amp;matt_ad_group_id=157102242403&amp;matt_match_type=&amp;matt_network=g&amp;matt_device=c&amp;matt_creative=686778909984&amp;matt_keyword=&amp;matt_ad_position=&amp;matt_ad_type=pla&amp;matt_merchant_id=556898629&amp;matt_product_id=MLB5004944758&amp;matt_product_partition_id=1961825176466&amp;matt_target_id=aud-2009166904988:pla-1961825176466&amp;cq_src=google_ads&amp;cq_cmp=14302215510&amp;cq_net=g&amp;cq_plt=gp&amp;cq_med=pla&amp;gad_source=1&amp;gclid=EAIaIQobChMIzKLYueHbiQMVo0JIAB2cOQWsEAQYDyABEgIi4_D_BwE" TargetMode="External"/><Relationship Id="rId31" Type="http://schemas.openxmlformats.org/officeDocument/2006/relationships/hyperlink" Target="https://www.amazon.com.br/Piscina-Bolinhas-500un-Escorrega-Gangorra/dp/B0CHCT33RF/ref=asc_df_B0CHCT33RF/?tag=googleshopp00-20&amp;linkCode=df0&amp;hvadid=709857019626&amp;hvpos=&amp;hvnetw=g&amp;hvrand=13778785945494152306&amp;hvpone=&amp;hvptwo=&amp;hvqmt=&amp;hvdev=c&amp;hvdvcmdl=&amp;hvlocint=&amp;hvlocphy=9101555&amp;hvtargid=pla-2212933292846&amp;psc=1&amp;mcid=bc924582653c36a3a35043696837ffef&amp;gad_source=1" TargetMode="External"/><Relationship Id="rId4" Type="http://schemas.openxmlformats.org/officeDocument/2006/relationships/hyperlink" Target="https://www.amazon.com.br/Painel-Polegadas-Nicho-Not%C3%A1vel-M%C3%B3veis/dp/B08WLZZTBJ/ref=asc_df_B08WLZZTBJ/?tag=googleshopp00-20&amp;linkCode=df0&amp;hvadid=709968341269&amp;hvpos=&amp;hvnetw=g&amp;hvrand=11829679873824661718&amp;hvpone=&amp;hvptwo=&amp;hvqmt=&amp;hvdev=c&amp;hvdvcmdl=&amp;hvlocint=&amp;hvlocphy=9101555&amp;hvtargid=pla-1412287651358&amp;psc=1&amp;mcid=5e9e077825333cc89c38a4105460d7fa&amp;gad_source=1" TargetMode="External"/><Relationship Id="rId9" Type="http://schemas.openxmlformats.org/officeDocument/2006/relationships/hyperlink" Target="https://produto.mercadolivre.com.br/MLB-4478143044-cadeira-de-escritorio-secretaria-fixa-palito-j-serrano-preta-_JM?matt_tool=18983347&amp;matt_word=&amp;matt_source=google&amp;matt_campaign_id=14302215531&amp;matt_ad_group_id=155854918005&amp;matt_match_type=&amp;matt_network=g&amp;matt_device=c&amp;matt_creative=686778909993&amp;matt_keyword=&amp;matt_ad_position=&amp;matt_ad_type=pla&amp;matt_merchant_id=5326759621&amp;matt_product_id=MLB4478143044&amp;matt_product_partition_id=1963044459753&amp;matt_target_id=aud-2009166904988:pla-1963044459753&amp;cq_src=google_ads&amp;cq_cmp=14302215531&amp;cq_net=g&amp;cq_plt=gp&amp;cq_med=pla&amp;gad_source=1&amp;gclid=EAIaIQobChMIuJXxpt_biQMV_w9ECB0-USfiEAQYAiABEgI_-_D_BwE" TargetMode="External"/><Relationship Id="rId14" Type="http://schemas.openxmlformats.org/officeDocument/2006/relationships/hyperlink" Target="https://www.amazon.com.br/Lavadora-Electrolux-LFE11-Front-Premium/dp/B084RNYPPZ/ref=asc_df_B084RNYPPZ/?tag=googleshopp00-20&amp;linkCode=df0&amp;hvadid=709884460999&amp;hvpos=&amp;hvnetw=g&amp;hvrand=9953422435084978048&amp;hvpone=&amp;hvptwo=&amp;hvqmt=&amp;hvdev=c&amp;hvdvcmdl=&amp;hvlocint=&amp;hvlocphy=9101555&amp;hvtargid=pla-1410547872629&amp;psc=1&amp;mcid=fd6d98078a07319f9c2029f954150072&amp;gad_source=1" TargetMode="External"/><Relationship Id="rId22" Type="http://schemas.openxmlformats.org/officeDocument/2006/relationships/hyperlink" Target="https://produto.mercadolivre.com.br/MLB-1787337670-kit-cacarola-grande-restaurante-5-pecas-_JM?matt_tool=63065976&amp;matt_word=&amp;matt_source=google&amp;matt_campaign_id=14302215534&amp;matt_ad_group_id=154967597988&amp;matt_match_type=&amp;matt_network=g&amp;matt_device=c&amp;matt_creative=649487315899&amp;matt_keyword=&amp;matt_ad_position=&amp;matt_ad_type=pla&amp;matt_merchant_id=216526590&amp;matt_product_id=MLB1787337670&amp;matt_product_partition_id=1960832236233&amp;matt_target_id=aud-2009166904988:pla-1960832236233&amp;cq_src=google_ads&amp;cq_cmp=14302215534&amp;cq_net=g&amp;cq_plt=gp&amp;cq_med=pla&amp;gad_source=1&amp;gclid=EAIaIQobChMIn9Xj3eLbiQMVWSVECB1ygh5QEAQYAyABEgJ2IPD_BwE" TargetMode="External"/><Relationship Id="rId27" Type="http://schemas.openxmlformats.org/officeDocument/2006/relationships/hyperlink" Target="https://www.amazon.com.br/Esteira-ergom%C3%A9trica-Dr2110-Dream-Fitness/dp/B07XG2SF77/ref=asc_df_B07XG2SF77/?tag=googleshopp00-20&amp;linkCode=df0&amp;hvadid=709857069984&amp;hvpos=&amp;hvnetw=g&amp;hvrand=14836885530846891182&amp;hvpone=&amp;hvptwo=&amp;hvqmt=&amp;hvdev=c&amp;hvdvcmdl=&amp;hvlocint=&amp;hvlocphy=9101555&amp;hvtargid=pla-916570325914&amp;psc=1&amp;mcid=931090319c903015b63b4be384364a8f&amp;gad_source=1" TargetMode="External"/><Relationship Id="rId30" Type="http://schemas.openxmlformats.org/officeDocument/2006/relationships/hyperlink" Target="https://produto.mercadolivre.com.br/MLB-3226402377-kit-halteres-de-1-a-10kg-emborrachados-10-pares-suporte-_JM?matt_tool=65726776&amp;matt_word=&amp;matt_source=google&amp;matt_campaign_id=21817993345&amp;matt_ad_group_id=168458186866&amp;matt_match_type=&amp;matt_network=g&amp;matt_device=c&amp;matt_creative=717401467184&amp;matt_keyword=&amp;matt_ad_position=&amp;matt_ad_type=pla&amp;matt_merchant_id=134385982&amp;matt_product_id=MLB3226402377&amp;matt_product_partition_id=613677686816&amp;matt_target_id=aud-2009166904988:pla-613677686816&amp;cq_src=google_ads&amp;cq_cmp=21817993345&amp;cq_net=g&amp;cq_plt=gp&amp;cq_med=pla&amp;gad_source=1&amp;gclid=EAIaIQobChMIx7TpkOTbiQMVlyJECB3ZSigYEAQYAyABEgIuh_D_BwE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ericanas.com.br/produto/7476923806/ar-condicionado-split-hi-wall-inverter-electrolux-color-adapt-wi-fi-9000-btu-h-frio-yi09f-220-volts?offerId=6628e89c17c6b5c0e18ae758&amp;opn=YSMESP&amp;epar=bp_pl_px_go_pmax_clima_3p_split_pb_2_curvatestexpo&amp;gclsrc=aw.ds&amp;gad_source=1&amp;gclid=EAIaIQobChMInoPBguPWiQMVyCRECB0yfgUxEAQYAiABEgIJPfD_BwE&amp;voltagem=220%20Volts&amp;condition=NEW" TargetMode="External"/><Relationship Id="rId13" Type="http://schemas.openxmlformats.org/officeDocument/2006/relationships/hyperlink" Target="https://sei.pi.gov.br/sei/controlador.php?acao=procedimento_trabalhar&amp;acao_origem=procedimento_controlar&amp;acao_retorno=procedimento_controlar&amp;id_procedimento=12092050&amp;infra_sistema=100000100&amp;infra_unidade_atual=110007347&amp;infra_hash=3aacf72bf70daeea4b7fc5d3831f6741e55ef505749be48082c9684d2a1de40f" TargetMode="External"/><Relationship Id="rId3" Type="http://schemas.openxmlformats.org/officeDocument/2006/relationships/hyperlink" Target="https://sin.seinfra.ce.gov.br/site-seinfra/siproce/onerada/html/C4850.html?a=1698150040505" TargetMode="External"/><Relationship Id="rId7" Type="http://schemas.openxmlformats.org/officeDocument/2006/relationships/hyperlink" Target="https://produto.mercadolivre.com.br/MLB-3347392928-filtro-motobomba-piscina-completo-aspirador-peneira-escova-_JM?matt_tool=47780295&amp;matt_word=&amp;matt_source=google&amp;matt_campaign_id=14302215540&amp;matt_ad_group_id=157843787695&amp;matt_match_type=&amp;matt_network=g&amp;matt_device=c&amp;matt_creative=686778909996&amp;matt_keyword=&amp;matt_ad_position=&amp;matt_ad_type=pla&amp;matt_merchant_id=143601751&amp;matt_product_id=MLB3347392928&amp;matt_product_partition_id=1961862651521&amp;matt_target_id=aud-2009166904988:pla-1961862651521&amp;cq_src=google_ads&amp;cq_cmp=14302215540&amp;cq_net=g&amp;cq_plt=gp&amp;cq_med=pla&amp;gad_source=1&amp;gclid=EAIaIQobChMIpOCM_N_WiQMVEiFECB3B4xIBEAQYBCABEgLQ4fD_BwE" TargetMode="External"/><Relationship Id="rId12" Type="http://schemas.openxmlformats.org/officeDocument/2006/relationships/hyperlink" Target="https://sin.seinfra.ce.gov.br/site-seinfra/siproce/onerada/html/C3513.html?a=1698149944607" TargetMode="External"/><Relationship Id="rId2" Type="http://schemas.openxmlformats.org/officeDocument/2006/relationships/hyperlink" Target="https://sin.seinfra.ce.gov.br/site-seinfra/siproce/onerada/html/C4649.html?a=1698150040505" TargetMode="External"/><Relationship Id="rId1" Type="http://schemas.openxmlformats.org/officeDocument/2006/relationships/hyperlink" Target="https://sin.seinfra.ce.gov.br/site-seinfra/siproce/onerada/html/C4649.html?a=1698150040505" TargetMode="External"/><Relationship Id="rId6" Type="http://schemas.openxmlformats.org/officeDocument/2006/relationships/hyperlink" Target="https://sin.seinfra.ce.gov.br/site-seinfra/siproce/onerada/html/C4850.html?a=1698150040505" TargetMode="External"/><Relationship Id="rId11" Type="http://schemas.openxmlformats.org/officeDocument/2006/relationships/hyperlink" Target="https://www.frigelar.com.br/ar-condicionado-split-inverter-cassete-36000-btus-philco-eco-quente-frio-pac36000icqfm16-220v/p/kit10232?gad_source=1&amp;gclid=EAIaIQobChMIuue31ePWiQMV1SpECB2IqzaiEAQYASABEgJxlPD_BwE" TargetMode="External"/><Relationship Id="rId5" Type="http://schemas.openxmlformats.org/officeDocument/2006/relationships/hyperlink" Target="https://sin.seinfra.ce.gov.br/site-seinfra/siproce/onerada/html/C4850.html?a=1698150040505" TargetMode="External"/><Relationship Id="rId10" Type="http://schemas.openxmlformats.org/officeDocument/2006/relationships/hyperlink" Target="https://www.carajas.com.br/ar-condicionado-18-000btu-h-inverter-liv-top-lcst18-02i-agratto-530295792/p?idsku=49356&amp;catchall&amp;gad_source=1&amp;gclid=EAIaIQobChMIsqnmxOPWiQMVJZXuAR1LbB6WEAQYAyABEgI-YvD_BwE" TargetMode="External"/><Relationship Id="rId4" Type="http://schemas.openxmlformats.org/officeDocument/2006/relationships/hyperlink" Target="https://sin.seinfra.ce.gov.br/site-seinfra/siproce/onerada/html/C4850.html?a=1698150040505" TargetMode="External"/><Relationship Id="rId9" Type="http://schemas.openxmlformats.org/officeDocument/2006/relationships/hyperlink" Target="https://www.magazineluiza.com.br/ar-condicionado-split-hi-wall-springer-midea-airvolution-12-000-btus-frio-220v-r-32/p/be68f0c1g5/ar/arsp/?seller_id=climario&amp;region_id=123472&amp;utm_source=google&amp;utm_medium=cpc&amp;utm_term=76909&amp;utm_campaign=google_eco_per_ven_pla_arp_sor_3p_ar-a&amp;utm_content=&amp;partner_id=76909&amp;gclsrc=aw.ds&amp;gclid=EAIaIQobChMIwqqOt-PWiQMVGy5ECB3gEweYEAQYAiABEgKjQfD_BwE" TargetMode="External"/><Relationship Id="rId14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sin.seinfra.ce.gov.br/site-seinfra/siproce/onerada/html/C4649.html?a=1698150040505" TargetMode="External"/><Relationship Id="rId2" Type="http://schemas.openxmlformats.org/officeDocument/2006/relationships/hyperlink" Target="https://sin.seinfra.ce.gov.br/site-seinfra/siproce/onerada/html/C4850.html?a=1698150040505" TargetMode="External"/><Relationship Id="rId1" Type="http://schemas.openxmlformats.org/officeDocument/2006/relationships/hyperlink" Target="https://sin.seinfra.ce.gov.br/site-seinfra/siproce/onerada/html/C4850.html?a=1698150040505" TargetMode="External"/><Relationship Id="rId4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sin.seinfra.ce.gov.br/site-seinfra/siproce/onerada/html/C4850.html?a=1698150040505" TargetMode="External"/><Relationship Id="rId2" Type="http://schemas.openxmlformats.org/officeDocument/2006/relationships/hyperlink" Target="https://sin.seinfra.ce.gov.br/site-seinfra/siproce/onerada/html/C4850.html?a=1698150040505" TargetMode="External"/><Relationship Id="rId1" Type="http://schemas.openxmlformats.org/officeDocument/2006/relationships/hyperlink" Target="https://sin.seinfra.ce.gov.br/site-seinfra/siproce/onerada/html/C4649.html?a=1698150040505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H6"/>
  <sheetViews>
    <sheetView workbookViewId="0">
      <selection activeCell="B5" sqref="B5"/>
    </sheetView>
  </sheetViews>
  <sheetFormatPr defaultColWidth="9.140625" defaultRowHeight="16.5"/>
  <cols>
    <col min="1" max="1" width="20" style="1" bestFit="1" customWidth="1"/>
    <col min="2" max="2" width="10.85546875" style="3" bestFit="1" customWidth="1"/>
    <col min="3" max="3" width="10.140625" style="1" bestFit="1" customWidth="1"/>
    <col min="4" max="6" width="9.140625" style="1"/>
    <col min="7" max="7" width="12" style="1" bestFit="1" customWidth="1"/>
    <col min="8" max="16384" width="9.140625" style="1"/>
  </cols>
  <sheetData>
    <row r="1" spans="1:8">
      <c r="A1" s="1" t="s">
        <v>0</v>
      </c>
      <c r="B1" s="251" t="s">
        <v>1</v>
      </c>
    </row>
    <row r="2" spans="1:8">
      <c r="A2" s="1" t="s">
        <v>2</v>
      </c>
      <c r="B2" s="35" t="s">
        <v>3</v>
      </c>
    </row>
    <row r="3" spans="1:8">
      <c r="A3" s="1" t="s">
        <v>4</v>
      </c>
      <c r="B3" s="251">
        <v>1175</v>
      </c>
      <c r="C3" s="256"/>
      <c r="D3" s="256"/>
      <c r="E3" s="256"/>
      <c r="F3" s="256"/>
      <c r="G3" s="256"/>
      <c r="H3" s="256"/>
    </row>
    <row r="4" spans="1:8">
      <c r="A4" s="1" t="s">
        <v>5</v>
      </c>
      <c r="B4" s="251">
        <v>4851</v>
      </c>
      <c r="D4" s="149"/>
      <c r="E4" s="251"/>
      <c r="F4" s="251"/>
      <c r="G4" s="251"/>
      <c r="H4" s="251"/>
    </row>
    <row r="5" spans="1:8">
      <c r="A5" s="1" t="s">
        <v>6</v>
      </c>
      <c r="B5" s="251">
        <f>'Quadro Áreas'!B4</f>
        <v>2500</v>
      </c>
      <c r="D5" s="22"/>
      <c r="E5" s="251"/>
      <c r="F5" s="251"/>
      <c r="G5" s="251"/>
      <c r="H5" s="251"/>
    </row>
    <row r="6" spans="1:8">
      <c r="A6" s="1" t="s">
        <v>7</v>
      </c>
      <c r="B6" s="251">
        <v>281.43</v>
      </c>
    </row>
  </sheetData>
  <sheetProtection password="C655" sheet="1" objects="1" scenarios="1"/>
  <mergeCells count="1">
    <mergeCell ref="C3:H3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/>
  <dimension ref="A1:Z21"/>
  <sheetViews>
    <sheetView workbookViewId="0">
      <selection activeCell="E13" sqref="E13"/>
    </sheetView>
  </sheetViews>
  <sheetFormatPr defaultRowHeight="15"/>
  <cols>
    <col min="1" max="1" width="6.5703125" bestFit="1" customWidth="1"/>
    <col min="2" max="2" width="30.28515625" style="61" bestFit="1" customWidth="1"/>
    <col min="3" max="3" width="14.140625" style="205" bestFit="1" customWidth="1"/>
    <col min="4" max="4" width="13.140625" style="205" customWidth="1"/>
    <col min="5" max="5" width="13.7109375" style="205" customWidth="1"/>
    <col min="6" max="7" width="13.28515625" style="205" bestFit="1" customWidth="1"/>
    <col min="8" max="26" width="15" style="205" bestFit="1" customWidth="1"/>
  </cols>
  <sheetData>
    <row r="1" spans="1:26" ht="17.25">
      <c r="A1" s="198" t="str">
        <f>CAPEX!C6</f>
        <v>ITEM</v>
      </c>
      <c r="B1" s="199" t="str">
        <f>CAPEX!D6</f>
        <v>DESCRIÇÃO DOS SERVIÇOS</v>
      </c>
      <c r="C1" s="201" t="s">
        <v>1137</v>
      </c>
      <c r="D1" s="201" t="s">
        <v>1138</v>
      </c>
      <c r="E1" s="201" t="s">
        <v>1139</v>
      </c>
      <c r="F1" s="201" t="s">
        <v>1140</v>
      </c>
      <c r="G1" s="201" t="s">
        <v>1141</v>
      </c>
      <c r="H1" s="201" t="s">
        <v>1142</v>
      </c>
      <c r="I1" s="201" t="s">
        <v>1143</v>
      </c>
      <c r="J1" s="201" t="s">
        <v>1144</v>
      </c>
      <c r="K1" s="201" t="s">
        <v>1145</v>
      </c>
      <c r="L1" s="201" t="s">
        <v>1146</v>
      </c>
      <c r="M1" s="201" t="s">
        <v>1147</v>
      </c>
      <c r="N1" s="201" t="s">
        <v>1148</v>
      </c>
      <c r="O1" s="201" t="s">
        <v>1149</v>
      </c>
      <c r="P1" s="201" t="s">
        <v>1150</v>
      </c>
      <c r="Q1" s="201" t="s">
        <v>1151</v>
      </c>
      <c r="R1" s="201" t="s">
        <v>1152</v>
      </c>
      <c r="S1" s="201" t="s">
        <v>1153</v>
      </c>
      <c r="T1" s="201" t="s">
        <v>1154</v>
      </c>
      <c r="U1" s="201" t="s">
        <v>1155</v>
      </c>
      <c r="V1" s="201" t="s">
        <v>1156</v>
      </c>
      <c r="W1" s="201" t="s">
        <v>1157</v>
      </c>
      <c r="X1" s="201" t="s">
        <v>1158</v>
      </c>
      <c r="Y1" s="201" t="s">
        <v>1159</v>
      </c>
      <c r="Z1" s="201" t="s">
        <v>1160</v>
      </c>
    </row>
    <row r="2" spans="1:26" ht="16.5">
      <c r="A2" s="11">
        <f>CAPEX!C7</f>
        <v>1</v>
      </c>
      <c r="B2" s="200" t="str">
        <f>CAPEX!D7</f>
        <v>SERVIÇOS INICIAIS</v>
      </c>
      <c r="C2" s="202">
        <f>TRUNC((CAPEX!$H$7/3)*1.25,2)</f>
        <v>75163.72</v>
      </c>
      <c r="D2" s="202">
        <f>TRUNC((CAPEX!$H$7/3)*1.25,2)</f>
        <v>75163.72</v>
      </c>
      <c r="E2" s="202">
        <f>TRUNC((CAPEX!$H$7/3)*1.25,2)</f>
        <v>75163.72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</row>
    <row r="3" spans="1:26" ht="16.5">
      <c r="A3" s="11">
        <f>CAPEX!C12</f>
        <v>2</v>
      </c>
      <c r="B3" s="200" t="str">
        <f>CAPEX!D12</f>
        <v>SERVIÇOS PRELIMINARES</v>
      </c>
      <c r="C3" s="204"/>
      <c r="D3" s="204"/>
      <c r="E3" s="204"/>
      <c r="F3" s="202">
        <f>TRUNC((CAPEX!$H$12/2)*1.25,2)</f>
        <v>260527.9</v>
      </c>
      <c r="G3" s="202">
        <f>TRUNC((CAPEX!$H$12/2)*1.25,2)</f>
        <v>260527.9</v>
      </c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</row>
    <row r="4" spans="1:26" ht="16.5">
      <c r="A4" s="11">
        <f>CAPEX!C20</f>
        <v>3</v>
      </c>
      <c r="B4" s="200" t="str">
        <f>CAPEX!D20</f>
        <v>INFRAESTRUTURA</v>
      </c>
      <c r="C4" s="204"/>
      <c r="D4" s="204"/>
      <c r="E4" s="204"/>
      <c r="F4" s="203"/>
      <c r="G4" s="203"/>
      <c r="H4" s="202">
        <f>TRUNC((CAPEX!$H$20/2)*1.25,2)</f>
        <v>425772.71</v>
      </c>
      <c r="I4" s="202">
        <f>TRUNC((CAPEX!$H$20/2)*1.25,2)</f>
        <v>425772.71</v>
      </c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</row>
    <row r="5" spans="1:26" ht="16.5">
      <c r="A5" s="11">
        <f>CAPEX!C32</f>
        <v>4</v>
      </c>
      <c r="B5" s="200" t="str">
        <f>CAPEX!D32</f>
        <v>SUPERESTRUTURA</v>
      </c>
      <c r="C5" s="204"/>
      <c r="D5" s="204"/>
      <c r="E5" s="204"/>
      <c r="F5" s="203"/>
      <c r="G5" s="203"/>
      <c r="H5" s="203"/>
      <c r="I5" s="203"/>
      <c r="J5" s="202">
        <f>TRUNC((CAPEX!$H$32/3)*1.25,2)</f>
        <v>128306.25</v>
      </c>
      <c r="K5" s="202">
        <f>TRUNC((CAPEX!$H$32/3)*1.25,2)</f>
        <v>128306.25</v>
      </c>
      <c r="L5" s="202">
        <f>TRUNC((CAPEX!$H$32/3)*1.25,2)</f>
        <v>128306.25</v>
      </c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</row>
    <row r="6" spans="1:26" ht="16.5">
      <c r="A6" s="11">
        <f>CAPEX!C40</f>
        <v>5</v>
      </c>
      <c r="B6" s="200" t="str">
        <f>CAPEX!D40</f>
        <v>PAREDES E PAINEIS</v>
      </c>
      <c r="C6" s="204"/>
      <c r="D6" s="204"/>
      <c r="E6" s="204"/>
      <c r="F6" s="203"/>
      <c r="G6" s="203"/>
      <c r="H6" s="203"/>
      <c r="I6" s="203"/>
      <c r="J6" s="203"/>
      <c r="K6" s="203"/>
      <c r="L6" s="203"/>
      <c r="M6" s="202">
        <f>TRUNC((CAPEX!$H$40/3)*1.25,2)</f>
        <v>331521.69</v>
      </c>
      <c r="N6" s="202">
        <f>TRUNC((CAPEX!$H$40/3)*1.25,2)</f>
        <v>331521.69</v>
      </c>
      <c r="O6" s="202">
        <f>TRUNC((CAPEX!$H$40/3)*1.25,2)</f>
        <v>331521.69</v>
      </c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</row>
    <row r="7" spans="1:26" ht="16.5">
      <c r="A7" s="11">
        <f>CAPEX!C43</f>
        <v>6</v>
      </c>
      <c r="B7" s="200" t="str">
        <f>CAPEX!D43</f>
        <v>COBERTURA</v>
      </c>
      <c r="C7" s="204"/>
      <c r="D7" s="204"/>
      <c r="E7" s="204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2">
        <f>TRUNC((CAPEX!$H$43/2)*1.25,2)</f>
        <v>92612.160000000003</v>
      </c>
      <c r="Q7" s="202">
        <f>TRUNC((CAPEX!$H$43/2)*1.25,2)</f>
        <v>92612.160000000003</v>
      </c>
      <c r="R7" s="203"/>
      <c r="S7" s="203"/>
      <c r="T7" s="203"/>
      <c r="U7" s="203"/>
      <c r="V7" s="203"/>
      <c r="W7" s="203"/>
      <c r="X7" s="203"/>
      <c r="Y7" s="203"/>
      <c r="Z7" s="203"/>
    </row>
    <row r="8" spans="1:26" ht="16.5">
      <c r="A8" s="11">
        <f>CAPEX!C47</f>
        <v>7</v>
      </c>
      <c r="B8" s="200" t="str">
        <f>CAPEX!D47</f>
        <v>INSTALAÇÕES</v>
      </c>
      <c r="C8" s="204"/>
      <c r="D8" s="204"/>
      <c r="E8" s="204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2">
        <f>TRUNC((CAPEX!$H$47/2)*1.25,2)</f>
        <v>418312.44</v>
      </c>
      <c r="R8" s="202">
        <f>TRUNC((CAPEX!$H$47/2)*1.25,2)</f>
        <v>418312.44</v>
      </c>
      <c r="S8" s="203"/>
      <c r="T8" s="203"/>
      <c r="U8" s="203"/>
      <c r="V8" s="203"/>
      <c r="W8" s="203"/>
      <c r="X8" s="203"/>
      <c r="Y8" s="203"/>
      <c r="Z8" s="203"/>
    </row>
    <row r="9" spans="1:26" ht="16.5">
      <c r="A9" s="11">
        <f>CAPEX!C169</f>
        <v>8</v>
      </c>
      <c r="B9" s="200" t="str">
        <f>CAPEX!D169</f>
        <v>PISO CIVIL</v>
      </c>
      <c r="C9" s="204"/>
      <c r="D9" s="204"/>
      <c r="E9" s="204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2">
        <f>TRUNC((CAPEX!$H$178/2)*1.25,2)</f>
        <v>269528.40999999997</v>
      </c>
      <c r="S9" s="202">
        <f>TRUNC((CAPEX!$H$178/2)*1.25,2)</f>
        <v>269528.40999999997</v>
      </c>
      <c r="T9" s="203"/>
      <c r="U9" s="203"/>
      <c r="V9" s="203"/>
      <c r="W9" s="203"/>
      <c r="X9" s="203"/>
      <c r="Y9" s="203"/>
      <c r="Z9" s="203"/>
    </row>
    <row r="10" spans="1:26" ht="16.5">
      <c r="A10" s="11">
        <f>CAPEX!C178</f>
        <v>9</v>
      </c>
      <c r="B10" s="200" t="str">
        <f>CAPEX!D178</f>
        <v>REVESTIMENTO CIVIL</v>
      </c>
      <c r="C10" s="204"/>
      <c r="D10" s="204"/>
      <c r="E10" s="204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2">
        <f>TRUNC((CAPEX!$H$186/2)*1.25,2)</f>
        <v>272736.81</v>
      </c>
      <c r="S10" s="202">
        <f>TRUNC((CAPEX!$H$186/2)*1.25,2)</f>
        <v>272736.81</v>
      </c>
      <c r="T10" s="203"/>
      <c r="U10" s="203"/>
      <c r="V10" s="203"/>
      <c r="W10" s="203"/>
      <c r="X10" s="203"/>
      <c r="Y10" s="203"/>
      <c r="Z10" s="203"/>
    </row>
    <row r="11" spans="1:26" ht="16.5">
      <c r="A11" s="11">
        <f>CAPEX!C181</f>
        <v>10</v>
      </c>
      <c r="B11" s="200" t="str">
        <f>CAPEX!D181</f>
        <v>DIVERSOS</v>
      </c>
      <c r="C11" s="204"/>
      <c r="D11" s="204"/>
      <c r="E11" s="204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2">
        <f>TRUNC((CAPEX!$H$181/2)*1.25,2)</f>
        <v>94365.13</v>
      </c>
      <c r="T11" s="202">
        <f>TRUNC((CAPEX!$H$181/2)*1.25,2)</f>
        <v>94365.13</v>
      </c>
      <c r="U11" s="203"/>
      <c r="V11" s="203"/>
      <c r="W11" s="203"/>
      <c r="X11" s="203"/>
      <c r="Y11" s="203"/>
      <c r="Z11" s="203"/>
    </row>
    <row r="12" spans="1:26" ht="16.5">
      <c r="A12" s="11">
        <f>CAPEX!C186</f>
        <v>11</v>
      </c>
      <c r="B12" s="200" t="str">
        <f>CAPEX!D186</f>
        <v xml:space="preserve">REVESTIMENTOS </v>
      </c>
      <c r="C12" s="204"/>
      <c r="D12" s="204"/>
      <c r="E12" s="204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2">
        <f>TRUNC((CAPEX!$H$186/3)*1.25,2)</f>
        <v>181824.54</v>
      </c>
      <c r="U12" s="202">
        <f>TRUNC((CAPEX!$H$186/3)*1.25,2)</f>
        <v>181824.54</v>
      </c>
      <c r="V12" s="202">
        <f>TRUNC((CAPEX!$H$186/3)*1.25,2)</f>
        <v>181824.54</v>
      </c>
      <c r="W12" s="203"/>
      <c r="X12" s="203"/>
      <c r="Y12" s="203"/>
      <c r="Z12" s="203"/>
    </row>
    <row r="13" spans="1:26" ht="16.5">
      <c r="A13" s="11">
        <f>CAPEX!C190</f>
        <v>12</v>
      </c>
      <c r="B13" s="200" t="str">
        <f>CAPEX!D190</f>
        <v>ESQUADRIAS</v>
      </c>
      <c r="C13" s="204"/>
      <c r="D13" s="204"/>
      <c r="E13" s="204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2">
        <f>TRUNC(CAPEX!H190,2)</f>
        <v>245997.4</v>
      </c>
      <c r="W13" s="203"/>
      <c r="X13" s="203"/>
      <c r="Y13" s="203"/>
      <c r="Z13" s="203"/>
    </row>
    <row r="14" spans="1:26" ht="16.5">
      <c r="A14" s="11">
        <f>CAPEX!C201</f>
        <v>13</v>
      </c>
      <c r="B14" s="200" t="str">
        <f>CAPEX!D201</f>
        <v>PINTURA</v>
      </c>
      <c r="C14" s="204"/>
      <c r="D14" s="204"/>
      <c r="E14" s="204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2">
        <f>TRUNC((CAPEX!$H$201/2)*1.25,2)</f>
        <v>144116.32</v>
      </c>
      <c r="W14" s="202">
        <f>TRUNC((CAPEX!$H$201/2)*1.25,2)</f>
        <v>144116.32</v>
      </c>
      <c r="X14" s="203"/>
      <c r="Y14" s="203"/>
      <c r="Z14" s="203"/>
    </row>
    <row r="15" spans="1:26" ht="16.5">
      <c r="A15" s="11">
        <f>CAPEX!C210</f>
        <v>14</v>
      </c>
      <c r="B15" s="200" t="str">
        <f>CAPEX!D210</f>
        <v>ACABAMENTOS FINAIS</v>
      </c>
      <c r="C15" s="204"/>
      <c r="D15" s="204"/>
      <c r="E15" s="204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2">
        <f>TRUNC(CAPEX!H210,2)</f>
        <v>73703.070000000007</v>
      </c>
      <c r="X15" s="203"/>
      <c r="Y15" s="203"/>
      <c r="Z15" s="203"/>
    </row>
    <row r="16" spans="1:26" ht="16.5">
      <c r="A16" s="11">
        <f>CAPEX!C219</f>
        <v>15</v>
      </c>
      <c r="B16" s="200" t="str">
        <f>CAPEX!D219</f>
        <v>MÓVEIS</v>
      </c>
      <c r="C16" s="204"/>
      <c r="D16" s="204"/>
      <c r="E16" s="204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2">
        <f>TRUNC((CAPEX!$H$219/3)*1.25,2)</f>
        <v>151047.04999999999</v>
      </c>
      <c r="Y16" s="202">
        <f>TRUNC((CAPEX!$H$219/3)*1.25,2)</f>
        <v>151047.04999999999</v>
      </c>
      <c r="Z16" s="202">
        <f>TRUNC((CAPEX!$H$219/3)*1.25,2)</f>
        <v>151047.04999999999</v>
      </c>
    </row>
    <row r="17" spans="1:26" ht="16.5">
      <c r="A17" s="11">
        <f>CAPEX!C221</f>
        <v>16</v>
      </c>
      <c r="B17" s="200" t="str">
        <f>CAPEX!D221</f>
        <v>SERVIÇOS FINAIS</v>
      </c>
      <c r="C17" s="204"/>
      <c r="D17" s="204"/>
      <c r="E17" s="204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2">
        <f>TRUNC(CAPEX!H221,2)</f>
        <v>11688.1</v>
      </c>
    </row>
    <row r="19" spans="1:26" ht="16.5">
      <c r="C19" s="201" t="s">
        <v>1137</v>
      </c>
      <c r="D19" s="201" t="s">
        <v>1138</v>
      </c>
      <c r="E19" s="201" t="s">
        <v>1139</v>
      </c>
      <c r="F19" s="201" t="s">
        <v>1140</v>
      </c>
      <c r="G19" s="201" t="s">
        <v>1141</v>
      </c>
      <c r="H19" s="201" t="s">
        <v>1142</v>
      </c>
      <c r="I19" s="201" t="s">
        <v>1143</v>
      </c>
      <c r="J19" s="201" t="s">
        <v>1144</v>
      </c>
      <c r="K19" s="201" t="s">
        <v>1145</v>
      </c>
      <c r="L19" s="201" t="s">
        <v>1146</v>
      </c>
      <c r="M19" s="201" t="s">
        <v>1147</v>
      </c>
      <c r="N19" s="201" t="s">
        <v>1148</v>
      </c>
      <c r="O19" s="201" t="s">
        <v>1149</v>
      </c>
      <c r="P19" s="201" t="s">
        <v>1150</v>
      </c>
      <c r="Q19" s="201" t="s">
        <v>1151</v>
      </c>
      <c r="R19" s="201" t="s">
        <v>1152</v>
      </c>
      <c r="S19" s="201" t="s">
        <v>1153</v>
      </c>
      <c r="T19" s="201" t="s">
        <v>1154</v>
      </c>
      <c r="U19" s="201" t="s">
        <v>1155</v>
      </c>
      <c r="V19" s="201" t="s">
        <v>1156</v>
      </c>
      <c r="W19" s="201" t="s">
        <v>1157</v>
      </c>
      <c r="X19" s="201" t="s">
        <v>1158</v>
      </c>
      <c r="Y19" s="201" t="s">
        <v>1159</v>
      </c>
      <c r="Z19" s="201" t="s">
        <v>1160</v>
      </c>
    </row>
    <row r="20" spans="1:26" ht="16.5">
      <c r="B20" s="200" t="s">
        <v>1161</v>
      </c>
      <c r="C20" s="204">
        <f>SUM(C2:C17)</f>
        <v>75163.72</v>
      </c>
      <c r="D20" s="204">
        <f t="shared" ref="D20:Z20" si="0">SUM(D2:D17)</f>
        <v>75163.72</v>
      </c>
      <c r="E20" s="204">
        <f t="shared" si="0"/>
        <v>75163.72</v>
      </c>
      <c r="F20" s="204">
        <f t="shared" si="0"/>
        <v>260527.9</v>
      </c>
      <c r="G20" s="204">
        <f t="shared" si="0"/>
        <v>260527.9</v>
      </c>
      <c r="H20" s="204">
        <f t="shared" si="0"/>
        <v>425772.71</v>
      </c>
      <c r="I20" s="204">
        <f t="shared" si="0"/>
        <v>425772.71</v>
      </c>
      <c r="J20" s="204">
        <f t="shared" si="0"/>
        <v>128306.25</v>
      </c>
      <c r="K20" s="204">
        <f t="shared" si="0"/>
        <v>128306.25</v>
      </c>
      <c r="L20" s="204">
        <f t="shared" si="0"/>
        <v>128306.25</v>
      </c>
      <c r="M20" s="204">
        <f t="shared" si="0"/>
        <v>331521.69</v>
      </c>
      <c r="N20" s="204">
        <f t="shared" si="0"/>
        <v>331521.69</v>
      </c>
      <c r="O20" s="204">
        <f t="shared" si="0"/>
        <v>331521.69</v>
      </c>
      <c r="P20" s="204">
        <f t="shared" si="0"/>
        <v>92612.160000000003</v>
      </c>
      <c r="Q20" s="204">
        <f t="shared" si="0"/>
        <v>510924.6</v>
      </c>
      <c r="R20" s="204">
        <f t="shared" si="0"/>
        <v>960577.65999999992</v>
      </c>
      <c r="S20" s="204">
        <f t="shared" si="0"/>
        <v>636630.35</v>
      </c>
      <c r="T20" s="204">
        <f t="shared" si="0"/>
        <v>276189.67000000004</v>
      </c>
      <c r="U20" s="204">
        <f t="shared" si="0"/>
        <v>181824.54</v>
      </c>
      <c r="V20" s="204">
        <f t="shared" si="0"/>
        <v>571938.26</v>
      </c>
      <c r="W20" s="204">
        <f t="shared" si="0"/>
        <v>217819.39</v>
      </c>
      <c r="X20" s="204">
        <f t="shared" si="0"/>
        <v>151047.04999999999</v>
      </c>
      <c r="Y20" s="204">
        <f t="shared" si="0"/>
        <v>151047.04999999999</v>
      </c>
      <c r="Z20" s="204">
        <f t="shared" si="0"/>
        <v>162735.15</v>
      </c>
    </row>
    <row r="21" spans="1:26" ht="16.5">
      <c r="B21" s="200" t="s">
        <v>1162</v>
      </c>
      <c r="C21" s="204">
        <f>C20</f>
        <v>75163.72</v>
      </c>
      <c r="D21" s="204">
        <f>D20+C21</f>
        <v>150327.44</v>
      </c>
      <c r="E21" s="204">
        <f t="shared" ref="E21:Z21" si="1">E20+D21</f>
        <v>225491.16</v>
      </c>
      <c r="F21" s="204">
        <f t="shared" si="1"/>
        <v>486019.06</v>
      </c>
      <c r="G21" s="204">
        <f t="shared" si="1"/>
        <v>746546.96</v>
      </c>
      <c r="H21" s="204">
        <f t="shared" si="1"/>
        <v>1172319.67</v>
      </c>
      <c r="I21" s="204">
        <f t="shared" si="1"/>
        <v>1598092.38</v>
      </c>
      <c r="J21" s="204">
        <f t="shared" si="1"/>
        <v>1726398.63</v>
      </c>
      <c r="K21" s="204">
        <f t="shared" si="1"/>
        <v>1854704.88</v>
      </c>
      <c r="L21" s="204">
        <f t="shared" si="1"/>
        <v>1983011.13</v>
      </c>
      <c r="M21" s="204">
        <f t="shared" si="1"/>
        <v>2314532.8199999998</v>
      </c>
      <c r="N21" s="204">
        <f t="shared" si="1"/>
        <v>2646054.5099999998</v>
      </c>
      <c r="O21" s="204">
        <f t="shared" si="1"/>
        <v>2977576.1999999997</v>
      </c>
      <c r="P21" s="204">
        <f t="shared" si="1"/>
        <v>3070188.36</v>
      </c>
      <c r="Q21" s="204">
        <f t="shared" si="1"/>
        <v>3581112.96</v>
      </c>
      <c r="R21" s="204">
        <f t="shared" si="1"/>
        <v>4541690.62</v>
      </c>
      <c r="S21" s="204">
        <f t="shared" si="1"/>
        <v>5178320.97</v>
      </c>
      <c r="T21" s="204">
        <f t="shared" si="1"/>
        <v>5454510.6399999997</v>
      </c>
      <c r="U21" s="204">
        <f t="shared" si="1"/>
        <v>5636335.1799999997</v>
      </c>
      <c r="V21" s="204">
        <f t="shared" si="1"/>
        <v>6208273.4399999995</v>
      </c>
      <c r="W21" s="204">
        <f t="shared" si="1"/>
        <v>6426092.8299999991</v>
      </c>
      <c r="X21" s="204">
        <f t="shared" si="1"/>
        <v>6577139.879999999</v>
      </c>
      <c r="Y21" s="204">
        <f t="shared" si="1"/>
        <v>6728186.9299999988</v>
      </c>
      <c r="Z21" s="204">
        <f t="shared" si="1"/>
        <v>6890922.0799999991</v>
      </c>
    </row>
  </sheetData>
  <sheetProtection password="C655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/>
  <dimension ref="A1:E20"/>
  <sheetViews>
    <sheetView workbookViewId="0">
      <selection activeCell="D11" sqref="D11"/>
    </sheetView>
  </sheetViews>
  <sheetFormatPr defaultRowHeight="15"/>
  <cols>
    <col min="1" max="1" width="9.140625" style="130"/>
    <col min="2" max="2" width="36.5703125" style="130" bestFit="1" customWidth="1"/>
    <col min="3" max="3" width="9.140625" style="128"/>
    <col min="5" max="5" width="12" bestFit="1" customWidth="1"/>
  </cols>
  <sheetData>
    <row r="1" spans="1:5" ht="30">
      <c r="A1" s="233" t="s">
        <v>1163</v>
      </c>
      <c r="B1" s="234" t="s">
        <v>1164</v>
      </c>
      <c r="C1" s="235" t="s">
        <v>1165</v>
      </c>
      <c r="D1" s="236" t="s">
        <v>1166</v>
      </c>
      <c r="E1" s="237" t="s">
        <v>1167</v>
      </c>
    </row>
    <row r="2" spans="1:5">
      <c r="A2" s="219">
        <v>45444</v>
      </c>
      <c r="B2" s="220">
        <v>0.71</v>
      </c>
      <c r="C2" s="221">
        <f>1+B2%</f>
        <v>1.0071000000000001</v>
      </c>
      <c r="D2" s="222">
        <f>C2</f>
        <v>1.0071000000000001</v>
      </c>
      <c r="E2" s="223">
        <f>D2-1</f>
        <v>7.1000000000001062E-3</v>
      </c>
    </row>
    <row r="3" spans="1:5">
      <c r="A3" s="224">
        <v>45474</v>
      </c>
      <c r="B3" s="210">
        <v>0.72</v>
      </c>
      <c r="C3" s="225">
        <f t="shared" ref="C3:C13" si="0">1+B3%</f>
        <v>1.0072000000000001</v>
      </c>
      <c r="D3" s="226">
        <f>D2*C3</f>
        <v>1.0143511200000002</v>
      </c>
      <c r="E3" s="227">
        <f t="shared" ref="E3:E13" si="1">D3-1</f>
        <v>1.4351120000000162E-2</v>
      </c>
    </row>
    <row r="4" spans="1:5">
      <c r="A4" s="224">
        <v>45505</v>
      </c>
      <c r="B4" s="210">
        <v>0.7</v>
      </c>
      <c r="C4" s="225">
        <f t="shared" si="0"/>
        <v>1.0069999999999999</v>
      </c>
      <c r="D4" s="226">
        <f>D3*C4</f>
        <v>1.02145157784</v>
      </c>
      <c r="E4" s="227">
        <f t="shared" si="1"/>
        <v>2.1451577839999958E-2</v>
      </c>
    </row>
    <row r="5" spans="1:5">
      <c r="A5" s="224">
        <v>45536</v>
      </c>
      <c r="B5" s="210">
        <v>0.57999999999999996</v>
      </c>
      <c r="C5" s="225">
        <f t="shared" si="0"/>
        <v>1.0058</v>
      </c>
      <c r="D5" s="226">
        <f t="shared" ref="D5:D13" si="2">D4*C5</f>
        <v>1.027375996991472</v>
      </c>
      <c r="E5" s="227">
        <f t="shared" si="1"/>
        <v>2.7375996991471974E-2</v>
      </c>
    </row>
    <row r="6" spans="1:5">
      <c r="A6" s="224">
        <v>45566</v>
      </c>
      <c r="B6" s="210">
        <v>0.68</v>
      </c>
      <c r="C6" s="225">
        <f t="shared" si="0"/>
        <v>1.0067999999999999</v>
      </c>
      <c r="D6" s="226">
        <f t="shared" si="2"/>
        <v>1.0343621537710139</v>
      </c>
      <c r="E6" s="227">
        <f t="shared" si="1"/>
        <v>3.4362153771013926E-2</v>
      </c>
    </row>
    <row r="7" spans="1:5">
      <c r="A7" s="224">
        <v>45597</v>
      </c>
      <c r="B7" s="210">
        <v>0.4</v>
      </c>
      <c r="C7" s="225">
        <f t="shared" si="0"/>
        <v>1.004</v>
      </c>
      <c r="D7" s="226">
        <f t="shared" si="2"/>
        <v>1.038499602386098</v>
      </c>
      <c r="E7" s="227">
        <f t="shared" si="1"/>
        <v>3.8499602386097953E-2</v>
      </c>
    </row>
    <row r="8" spans="1:5">
      <c r="A8" s="224">
        <v>45627</v>
      </c>
      <c r="B8" s="210">
        <v>0.5</v>
      </c>
      <c r="C8" s="225">
        <f t="shared" si="0"/>
        <v>1.0049999999999999</v>
      </c>
      <c r="D8" s="226">
        <f t="shared" si="2"/>
        <v>1.0436921003980284</v>
      </c>
      <c r="E8" s="227">
        <f t="shared" si="1"/>
        <v>4.36921003980284E-2</v>
      </c>
    </row>
    <row r="9" spans="1:5">
      <c r="A9" s="224">
        <v>45658</v>
      </c>
      <c r="B9" s="210">
        <v>0.83</v>
      </c>
      <c r="C9" s="225">
        <f t="shared" si="0"/>
        <v>1.0083</v>
      </c>
      <c r="D9" s="226">
        <f t="shared" si="2"/>
        <v>1.052354744831332</v>
      </c>
      <c r="E9" s="227">
        <f t="shared" si="1"/>
        <v>5.2354744831331956E-2</v>
      </c>
    </row>
    <row r="10" spans="1:5">
      <c r="A10" s="224">
        <v>45689</v>
      </c>
      <c r="B10" s="210">
        <v>0.4</v>
      </c>
      <c r="C10" s="225">
        <f t="shared" si="0"/>
        <v>1.004</v>
      </c>
      <c r="D10" s="226">
        <f t="shared" si="2"/>
        <v>1.0565641638106573</v>
      </c>
      <c r="E10" s="227">
        <f t="shared" si="1"/>
        <v>5.656416381065732E-2</v>
      </c>
    </row>
    <row r="11" spans="1:5">
      <c r="A11" s="224">
        <v>45717</v>
      </c>
      <c r="B11" s="210">
        <v>0.39</v>
      </c>
      <c r="C11" s="225">
        <f t="shared" si="0"/>
        <v>1.0039</v>
      </c>
      <c r="D11" s="226">
        <f t="shared" si="2"/>
        <v>1.0606847640495189</v>
      </c>
      <c r="E11" s="227">
        <f t="shared" si="1"/>
        <v>6.0684764049518947E-2</v>
      </c>
    </row>
    <row r="12" spans="1:5">
      <c r="A12" s="224">
        <v>45748</v>
      </c>
      <c r="B12" s="210">
        <v>0.52</v>
      </c>
      <c r="C12" s="225">
        <f t="shared" si="0"/>
        <v>1.0052000000000001</v>
      </c>
      <c r="D12" s="226">
        <f t="shared" si="2"/>
        <v>1.0662003248225767</v>
      </c>
      <c r="E12" s="227">
        <f t="shared" si="1"/>
        <v>6.6200324822576651E-2</v>
      </c>
    </row>
    <row r="13" spans="1:5">
      <c r="A13" s="224">
        <v>45778</v>
      </c>
      <c r="B13" s="210">
        <v>0.57999999999999996</v>
      </c>
      <c r="C13" s="225">
        <f t="shared" si="0"/>
        <v>1.0058</v>
      </c>
      <c r="D13" s="226">
        <f t="shared" si="2"/>
        <v>1.0723842867065476</v>
      </c>
      <c r="E13" s="227">
        <f t="shared" si="1"/>
        <v>7.2384286706547618E-2</v>
      </c>
    </row>
    <row r="14" spans="1:5">
      <c r="A14" s="228" t="s">
        <v>1168</v>
      </c>
      <c r="B14" s="229" t="s">
        <v>1169</v>
      </c>
      <c r="C14" s="230"/>
      <c r="D14" s="231"/>
      <c r="E14" s="232"/>
    </row>
    <row r="15" spans="1:5">
      <c r="C15" s="209"/>
      <c r="D15" s="208"/>
    </row>
    <row r="16" spans="1:5">
      <c r="A16" s="212" t="s">
        <v>1170</v>
      </c>
      <c r="B16" t="s">
        <v>1171</v>
      </c>
      <c r="C16" s="209"/>
      <c r="D16" s="208"/>
    </row>
    <row r="17" spans="1:4">
      <c r="A17" s="212" t="s">
        <v>1172</v>
      </c>
      <c r="B17" s="71" t="s">
        <v>1173</v>
      </c>
      <c r="C17" s="209"/>
      <c r="D17" s="208"/>
    </row>
    <row r="18" spans="1:4">
      <c r="C18" s="209"/>
      <c r="D18" s="208"/>
    </row>
    <row r="19" spans="1:4">
      <c r="C19" s="209"/>
      <c r="D19" s="208"/>
    </row>
    <row r="20" spans="1:4">
      <c r="C20" s="209"/>
      <c r="D20" s="208"/>
    </row>
  </sheetData>
  <sheetProtection password="C655" sheet="1" objects="1" scenarios="1"/>
  <hyperlinks>
    <hyperlink ref="B17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/>
  <dimension ref="A1:J19"/>
  <sheetViews>
    <sheetView tabSelected="1" workbookViewId="0">
      <selection activeCell="E13" sqref="E13"/>
    </sheetView>
  </sheetViews>
  <sheetFormatPr defaultColWidth="9.140625" defaultRowHeight="15"/>
  <cols>
    <col min="1" max="1" width="22.140625" bestFit="1" customWidth="1"/>
    <col min="2" max="2" width="18.42578125" style="128" bestFit="1" customWidth="1"/>
    <col min="3" max="3" width="16.140625" bestFit="1" customWidth="1"/>
    <col min="7" max="7" width="18.5703125" bestFit="1" customWidth="1"/>
    <col min="8" max="8" width="19.5703125" bestFit="1" customWidth="1"/>
    <col min="9" max="9" width="15" bestFit="1" customWidth="1"/>
  </cols>
  <sheetData>
    <row r="1" spans="1:10">
      <c r="A1" s="212" t="s">
        <v>1174</v>
      </c>
      <c r="B1" s="207">
        <v>45505</v>
      </c>
    </row>
    <row r="2" spans="1:10">
      <c r="A2" s="212" t="s">
        <v>1175</v>
      </c>
      <c r="B2" s="128" t="s">
        <v>1176</v>
      </c>
      <c r="H2" s="250" t="s">
        <v>1177</v>
      </c>
      <c r="I2" s="250" t="s">
        <v>1178</v>
      </c>
      <c r="J2" s="249" t="s">
        <v>1179</v>
      </c>
    </row>
    <row r="3" spans="1:10">
      <c r="A3" s="212" t="s">
        <v>1180</v>
      </c>
      <c r="B3" s="128" t="s">
        <v>1181</v>
      </c>
      <c r="G3" s="238" t="s">
        <v>1182</v>
      </c>
      <c r="H3" s="240">
        <v>225491.18</v>
      </c>
      <c r="I3" s="243">
        <f>H3*$C$9</f>
        <v>240108.42838140967</v>
      </c>
      <c r="J3" s="245">
        <f t="shared" ref="J3:J19" si="0">I3/$I$19</f>
        <v>3.217909832554814E-2</v>
      </c>
    </row>
    <row r="4" spans="1:10">
      <c r="A4" s="212" t="s">
        <v>1183</v>
      </c>
      <c r="B4" s="211">
        <f>CAPEX!H231</f>
        <v>7007380.2699999996</v>
      </c>
      <c r="G4" s="239" t="s">
        <v>1184</v>
      </c>
      <c r="H4" s="240">
        <v>521055.81</v>
      </c>
      <c r="I4" s="243">
        <f t="shared" ref="I4:I18" si="1">H4*$C$9</f>
        <v>554832.7506118085</v>
      </c>
      <c r="J4" s="245">
        <f t="shared" si="0"/>
        <v>7.4358146261366553E-2</v>
      </c>
    </row>
    <row r="5" spans="1:10">
      <c r="G5" s="239" t="s">
        <v>1185</v>
      </c>
      <c r="H5" s="240">
        <v>851545.44</v>
      </c>
      <c r="I5" s="243">
        <f t="shared" si="1"/>
        <v>906746.05230127403</v>
      </c>
      <c r="J5" s="245">
        <f t="shared" si="0"/>
        <v>0.12152122509817083</v>
      </c>
    </row>
    <row r="6" spans="1:10" s="130" customFormat="1">
      <c r="A6" s="214" t="s">
        <v>1163</v>
      </c>
      <c r="B6" s="214" t="s">
        <v>9</v>
      </c>
      <c r="C6" s="215" t="s">
        <v>1165</v>
      </c>
      <c r="G6" s="239" t="s">
        <v>1186</v>
      </c>
      <c r="H6" s="240">
        <v>384918.76</v>
      </c>
      <c r="I6" s="243">
        <f t="shared" si="1"/>
        <v>409870.74757478776</v>
      </c>
      <c r="J6" s="245">
        <f t="shared" si="0"/>
        <v>5.4930479433333346E-2</v>
      </c>
    </row>
    <row r="7" spans="1:10">
      <c r="A7" s="213">
        <v>45444</v>
      </c>
      <c r="B7" s="216" t="s">
        <v>1187</v>
      </c>
      <c r="C7" s="130">
        <f>VLOOKUP(A7,'Série Hist. INCC'!A1:E13,4,0)</f>
        <v>1.0071000000000001</v>
      </c>
      <c r="G7" s="239" t="s">
        <v>1188</v>
      </c>
      <c r="H7" s="240">
        <v>994565.08</v>
      </c>
      <c r="I7" s="243">
        <f t="shared" si="1"/>
        <v>1059036.8026005761</v>
      </c>
      <c r="J7" s="245">
        <f t="shared" si="0"/>
        <v>0.14193108351500333</v>
      </c>
    </row>
    <row r="8" spans="1:10">
      <c r="A8" s="213">
        <v>45778</v>
      </c>
      <c r="B8" s="216" t="s">
        <v>1189</v>
      </c>
      <c r="C8" s="130">
        <f>VLOOKUP(A8,'Série Hist. INCC'!A3:E15,4,0)</f>
        <v>1.0723842867065476</v>
      </c>
      <c r="G8" s="239" t="s">
        <v>234</v>
      </c>
      <c r="H8" s="240">
        <v>185224.33</v>
      </c>
      <c r="I8" s="243">
        <f t="shared" si="1"/>
        <v>197231.31864536606</v>
      </c>
      <c r="J8" s="245">
        <f t="shared" si="0"/>
        <v>2.6432749730405315E-2</v>
      </c>
    </row>
    <row r="9" spans="1:10">
      <c r="A9" s="217"/>
      <c r="B9" s="218" t="s">
        <v>1190</v>
      </c>
      <c r="C9" s="217">
        <f>(VLOOKUP(A8,'Série Hist. INCC'!A3:E15,4,0))/(VLOOKUP(A7,'Série Hist. INCC'!A1:E13,4,0))</f>
        <v>1.0648240360505883</v>
      </c>
      <c r="D9" s="130"/>
      <c r="G9" s="239" t="s">
        <v>1191</v>
      </c>
      <c r="H9" s="240">
        <v>836624.89</v>
      </c>
      <c r="I9" s="243">
        <f t="shared" si="1"/>
        <v>890858.29203017952</v>
      </c>
      <c r="J9" s="245">
        <f t="shared" si="0"/>
        <v>0.11939196290032675</v>
      </c>
    </row>
    <row r="10" spans="1:10">
      <c r="A10" s="287" t="s">
        <v>1192</v>
      </c>
      <c r="B10" s="287"/>
      <c r="C10" s="244">
        <f>B4*C9</f>
        <v>7461626.9412426604</v>
      </c>
      <c r="D10" s="130"/>
      <c r="G10" s="239" t="s">
        <v>1193</v>
      </c>
      <c r="H10" s="240">
        <v>579084.55000000005</v>
      </c>
      <c r="I10" s="243">
        <f t="shared" si="1"/>
        <v>616623.14774553874</v>
      </c>
      <c r="J10" s="245">
        <f t="shared" si="0"/>
        <v>8.2639235260801774E-2</v>
      </c>
    </row>
    <row r="11" spans="1:10">
      <c r="G11" s="239" t="s">
        <v>1194</v>
      </c>
      <c r="H11" s="240">
        <v>539056.82999999996</v>
      </c>
      <c r="I11" s="243">
        <f t="shared" si="1"/>
        <v>574000.66938123584</v>
      </c>
      <c r="J11" s="245">
        <f t="shared" si="0"/>
        <v>7.6927012114745646E-2</v>
      </c>
    </row>
    <row r="12" spans="1:10">
      <c r="G12" s="239" t="s">
        <v>1195</v>
      </c>
      <c r="H12" s="240">
        <v>188730.26</v>
      </c>
      <c r="I12" s="243">
        <f t="shared" si="1"/>
        <v>200964.5171780769</v>
      </c>
      <c r="J12" s="245">
        <f t="shared" si="0"/>
        <v>2.693306937125552E-2</v>
      </c>
    </row>
    <row r="13" spans="1:10">
      <c r="G13" s="239" t="s">
        <v>1196</v>
      </c>
      <c r="H13" s="240">
        <v>545473.63</v>
      </c>
      <c r="I13" s="243">
        <f t="shared" si="1"/>
        <v>580833.43225576531</v>
      </c>
      <c r="J13" s="245">
        <f t="shared" si="0"/>
        <v>7.7842732357707597E-2</v>
      </c>
    </row>
    <row r="14" spans="1:10">
      <c r="G14" s="239" t="s">
        <v>1197</v>
      </c>
      <c r="H14" s="240">
        <v>307496.75</v>
      </c>
      <c r="I14" s="243">
        <f t="shared" si="1"/>
        <v>327429.93040743872</v>
      </c>
      <c r="J14" s="245">
        <f t="shared" si="0"/>
        <v>4.3881841201223459E-2</v>
      </c>
    </row>
    <row r="15" spans="1:10">
      <c r="G15" s="239" t="s">
        <v>1198</v>
      </c>
      <c r="H15" s="240">
        <v>288232.65000000002</v>
      </c>
      <c r="I15" s="243">
        <f t="shared" si="1"/>
        <v>306917.05369455664</v>
      </c>
      <c r="J15" s="245">
        <f t="shared" si="0"/>
        <v>4.1132725390781603E-2</v>
      </c>
    </row>
    <row r="16" spans="1:10">
      <c r="G16" s="239" t="s">
        <v>1199</v>
      </c>
      <c r="H16" s="240">
        <v>92128.84</v>
      </c>
      <c r="I16" s="243">
        <f t="shared" si="1"/>
        <v>98101.00324545888</v>
      </c>
      <c r="J16" s="245">
        <f t="shared" si="0"/>
        <v>1.3147401157680282E-2</v>
      </c>
    </row>
    <row r="17" spans="7:10">
      <c r="G17" s="239" t="s">
        <v>1200</v>
      </c>
      <c r="H17" s="240">
        <v>453141.18</v>
      </c>
      <c r="I17" s="243">
        <f t="shared" si="1"/>
        <v>482515.62018832611</v>
      </c>
      <c r="J17" s="245">
        <f t="shared" si="0"/>
        <v>6.4666274692317935E-2</v>
      </c>
    </row>
    <row r="18" spans="7:10">
      <c r="G18" s="241" t="s">
        <v>1201</v>
      </c>
      <c r="H18" s="246">
        <v>14610.13</v>
      </c>
      <c r="I18" s="247">
        <f t="shared" si="1"/>
        <v>15557.21759382378</v>
      </c>
      <c r="J18" s="248">
        <f t="shared" si="0"/>
        <v>2.0849631893320201E-3</v>
      </c>
    </row>
    <row r="19" spans="7:10">
      <c r="G19" t="s">
        <v>158</v>
      </c>
      <c r="H19" s="242">
        <f>SUM(H3:H18)</f>
        <v>7007380.3099999996</v>
      </c>
      <c r="I19" s="242">
        <f>SUM(I3:I18)</f>
        <v>7461626.9838356217</v>
      </c>
      <c r="J19" s="245">
        <f t="shared" si="0"/>
        <v>1</v>
      </c>
    </row>
  </sheetData>
  <sheetProtection password="C655" sheet="1" objects="1" scenarios="1"/>
  <mergeCells count="1"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M37"/>
  <sheetViews>
    <sheetView workbookViewId="0">
      <selection activeCell="A15" sqref="A15"/>
    </sheetView>
  </sheetViews>
  <sheetFormatPr defaultRowHeight="15"/>
  <cols>
    <col min="1" max="1" width="41.42578125" style="132" customWidth="1"/>
    <col min="2" max="2" width="12.42578125" style="130" customWidth="1"/>
  </cols>
  <sheetData>
    <row r="1" spans="1:13" ht="16.5">
      <c r="A1" s="261" t="s">
        <v>8</v>
      </c>
      <c r="B1" s="262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6.5">
      <c r="A2" s="148" t="s">
        <v>9</v>
      </c>
      <c r="B2" s="137" t="s">
        <v>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6.5">
      <c r="A3" s="133" t="s">
        <v>10</v>
      </c>
      <c r="B3" s="141">
        <v>4850.6499999999996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16.5">
      <c r="A4" s="135" t="s">
        <v>11</v>
      </c>
      <c r="B4" s="136">
        <v>2500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ht="16.5">
      <c r="A5" s="142" t="s">
        <v>12</v>
      </c>
      <c r="B5" s="143">
        <v>34.68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16.5">
      <c r="A6" s="144" t="s">
        <v>13</v>
      </c>
      <c r="B6" s="145">
        <v>103.97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16.5">
      <c r="A7" s="144" t="s">
        <v>14</v>
      </c>
      <c r="B7" s="145">
        <v>14.03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3" ht="16.5">
      <c r="A8" s="144" t="s">
        <v>15</v>
      </c>
      <c r="B8" s="145">
        <v>25.48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13" ht="16.5">
      <c r="A9" s="144" t="s">
        <v>16</v>
      </c>
      <c r="B9" s="145">
        <v>81.599999999999994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3" ht="16.5">
      <c r="A10" s="144" t="s">
        <v>17</v>
      </c>
      <c r="B10" s="145">
        <v>20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3" ht="16.5">
      <c r="A11" s="144" t="s">
        <v>18</v>
      </c>
      <c r="B11" s="145">
        <v>20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</row>
    <row r="12" spans="1:13" ht="16.5">
      <c r="A12" s="144" t="s">
        <v>19</v>
      </c>
      <c r="B12" s="145">
        <v>11.2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</row>
    <row r="13" spans="1:13" ht="16.5">
      <c r="A13" s="144" t="s">
        <v>20</v>
      </c>
      <c r="B13" s="145">
        <v>13.2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1:13" ht="16.5">
      <c r="A14" s="144" t="s">
        <v>21</v>
      </c>
      <c r="B14" s="145">
        <v>408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</row>
    <row r="15" spans="1:13" ht="16.5">
      <c r="A15" s="144" t="s">
        <v>22</v>
      </c>
      <c r="B15" s="145">
        <v>945.68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</row>
    <row r="16" spans="1:13" ht="16.5">
      <c r="A16" s="144" t="s">
        <v>23</v>
      </c>
      <c r="B16" s="145">
        <v>3.9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1:13" ht="16.5">
      <c r="A17" s="144" t="s">
        <v>24</v>
      </c>
      <c r="B17" s="145">
        <v>36.54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spans="1:13" ht="16.5">
      <c r="A18" s="144" t="s">
        <v>25</v>
      </c>
      <c r="B18" s="145">
        <v>22.44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1:13" ht="16.5">
      <c r="A19" s="144" t="s">
        <v>26</v>
      </c>
      <c r="B19" s="145">
        <v>229.58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3" ht="16.5">
      <c r="A20" s="144" t="s">
        <v>27</v>
      </c>
      <c r="B20" s="145">
        <v>20.09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3" ht="16.5">
      <c r="A21" s="144" t="s">
        <v>28</v>
      </c>
      <c r="B21" s="145">
        <v>13.18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3" ht="16.5">
      <c r="A22" s="144" t="s">
        <v>21</v>
      </c>
      <c r="B22" s="145">
        <v>13.33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6.5">
      <c r="A23" s="144" t="s">
        <v>29</v>
      </c>
      <c r="B23" s="145">
        <v>20.25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3" ht="16.5">
      <c r="A24" s="144" t="s">
        <v>30</v>
      </c>
      <c r="B24" s="145">
        <v>68.06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</row>
    <row r="25" spans="1:13" ht="16.5">
      <c r="A25" s="144" t="s">
        <v>31</v>
      </c>
      <c r="B25" s="145">
        <v>21.09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3" ht="16.5">
      <c r="A26" s="144" t="s">
        <v>32</v>
      </c>
      <c r="B26" s="145">
        <v>15.84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3" ht="16.5">
      <c r="A27" s="144" t="s">
        <v>33</v>
      </c>
      <c r="B27" s="145">
        <v>59.7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13" ht="16.5">
      <c r="A28" s="146" t="s">
        <v>34</v>
      </c>
      <c r="B28" s="147">
        <v>298.19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3" ht="16.5">
      <c r="A29" s="133" t="s">
        <v>35</v>
      </c>
      <c r="B29" s="134">
        <f>B4/B3</f>
        <v>0.51539484398998081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ht="16.5">
      <c r="A30" s="135" t="s">
        <v>36</v>
      </c>
      <c r="B30" s="136">
        <f>ROUND(B4/B3,2)</f>
        <v>0.52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1" spans="1:13" ht="33" customHeight="1">
      <c r="A31" s="257" t="s">
        <v>37</v>
      </c>
      <c r="B31" s="137">
        <v>1562.18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</row>
    <row r="32" spans="1:13" ht="16.5">
      <c r="A32" s="258"/>
      <c r="B32" s="138">
        <f>B31/B3</f>
        <v>0.32205580695370728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3" ht="15" customHeight="1">
      <c r="A33" s="259" t="s">
        <v>38</v>
      </c>
      <c r="B33" s="139">
        <v>3288.47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</row>
    <row r="34" spans="1:13" ht="16.5">
      <c r="A34" s="260"/>
      <c r="B34" s="140">
        <f>B33/B3</f>
        <v>0.67794419304629272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1:13" ht="15" customHeight="1">
      <c r="A35" s="131"/>
      <c r="B35" s="129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</row>
    <row r="36" spans="1:13" ht="16.5">
      <c r="A36" s="131"/>
      <c r="B36" s="129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</row>
    <row r="37" spans="1:13" ht="16.5">
      <c r="A37" s="131"/>
      <c r="B37" s="129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</row>
  </sheetData>
  <sheetProtection password="C655" sheet="1" objects="1" scenarios="1"/>
  <mergeCells count="3">
    <mergeCell ref="A31:A32"/>
    <mergeCell ref="A33:A34"/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L66"/>
  <sheetViews>
    <sheetView workbookViewId="0">
      <selection activeCell="B1" sqref="B1"/>
    </sheetView>
  </sheetViews>
  <sheetFormatPr defaultColWidth="9.140625" defaultRowHeight="16.5"/>
  <cols>
    <col min="1" max="1" width="39.85546875" style="7" bestFit="1" customWidth="1"/>
    <col min="2" max="8" width="9.140625" style="4"/>
    <col min="9" max="9" width="32.28515625" style="4" bestFit="1" customWidth="1"/>
    <col min="10" max="16384" width="9.140625" style="4"/>
  </cols>
  <sheetData>
    <row r="1" spans="1:3">
      <c r="A1" s="41" t="s">
        <v>39</v>
      </c>
      <c r="B1" s="43">
        <f>Dados!B4</f>
        <v>4851</v>
      </c>
    </row>
    <row r="2" spans="1:3">
      <c r="A2" s="41" t="s">
        <v>40</v>
      </c>
      <c r="B2" s="44">
        <f>B3/B1</f>
        <v>0.36665635951350239</v>
      </c>
    </row>
    <row r="3" spans="1:3">
      <c r="A3" s="41" t="s">
        <v>41</v>
      </c>
      <c r="B3" s="43">
        <v>1778.65</v>
      </c>
    </row>
    <row r="6" spans="1:3">
      <c r="A6" s="41" t="s">
        <v>42</v>
      </c>
    </row>
    <row r="7" spans="1:3" ht="33">
      <c r="A7" s="58" t="s">
        <v>43</v>
      </c>
    </row>
    <row r="9" spans="1:3">
      <c r="A9" s="41" t="s">
        <v>44</v>
      </c>
      <c r="B9" s="42">
        <v>1778.65</v>
      </c>
    </row>
    <row r="10" spans="1:3">
      <c r="A10" s="7" t="s">
        <v>45</v>
      </c>
      <c r="B10" s="4">
        <f>B9</f>
        <v>1778.65</v>
      </c>
    </row>
    <row r="11" spans="1:3">
      <c r="A11" s="7" t="s">
        <v>46</v>
      </c>
      <c r="B11" s="4">
        <f>B9</f>
        <v>1778.65</v>
      </c>
    </row>
    <row r="13" spans="1:3">
      <c r="A13" s="41" t="s">
        <v>47</v>
      </c>
    </row>
    <row r="14" spans="1:3">
      <c r="A14" s="7" t="s">
        <v>48</v>
      </c>
      <c r="B14" s="4">
        <f>B3*1.8*0.7</f>
        <v>2241.0990000000002</v>
      </c>
      <c r="C14" s="7" t="s">
        <v>49</v>
      </c>
    </row>
    <row r="16" spans="1:3">
      <c r="A16" s="41" t="s">
        <v>50</v>
      </c>
    </row>
    <row r="17" spans="1:3">
      <c r="A17" s="7" t="s">
        <v>51</v>
      </c>
      <c r="B17" s="4">
        <f>B3*1.11*0.6</f>
        <v>1184.5809000000002</v>
      </c>
      <c r="C17" s="7" t="s">
        <v>52</v>
      </c>
    </row>
    <row r="19" spans="1:3">
      <c r="A19" s="41" t="s">
        <v>53</v>
      </c>
      <c r="B19" s="4">
        <f>(B17+B14)*1.3</f>
        <v>4453.3838700000006</v>
      </c>
    </row>
    <row r="21" spans="1:3">
      <c r="A21" s="41" t="s">
        <v>54</v>
      </c>
    </row>
    <row r="22" spans="1:3">
      <c r="A22" s="7" t="s">
        <v>55</v>
      </c>
      <c r="B22" s="7" t="s">
        <v>56</v>
      </c>
    </row>
    <row r="23" spans="1:3">
      <c r="A23" s="7" t="s">
        <v>57</v>
      </c>
      <c r="B23" s="7" t="s">
        <v>58</v>
      </c>
    </row>
    <row r="24" spans="1:3">
      <c r="A24" s="7" t="s">
        <v>59</v>
      </c>
      <c r="B24" s="4" t="s">
        <v>60</v>
      </c>
    </row>
    <row r="25" spans="1:3">
      <c r="A25" s="7" t="s">
        <v>61</v>
      </c>
      <c r="B25" s="4" t="s">
        <v>62</v>
      </c>
    </row>
    <row r="26" spans="1:3">
      <c r="A26" s="7" t="s">
        <v>63</v>
      </c>
      <c r="B26" s="4" t="s">
        <v>64</v>
      </c>
      <c r="C26" s="7" t="s">
        <v>65</v>
      </c>
    </row>
    <row r="27" spans="1:3">
      <c r="A27" s="7" t="s">
        <v>66</v>
      </c>
      <c r="B27" s="4" t="s">
        <v>67</v>
      </c>
    </row>
    <row r="28" spans="1:3">
      <c r="A28" s="7" t="s">
        <v>68</v>
      </c>
      <c r="B28" s="4" t="s">
        <v>69</v>
      </c>
    </row>
    <row r="29" spans="1:3">
      <c r="A29" s="7" t="s">
        <v>70</v>
      </c>
    </row>
    <row r="30" spans="1:3">
      <c r="A30" s="7" t="s">
        <v>71</v>
      </c>
    </row>
    <row r="32" spans="1:3">
      <c r="A32" s="41" t="s">
        <v>72</v>
      </c>
    </row>
    <row r="33" spans="1:2">
      <c r="A33" s="7" t="s">
        <v>73</v>
      </c>
    </row>
    <row r="34" spans="1:2">
      <c r="A34" s="7" t="s">
        <v>74</v>
      </c>
    </row>
    <row r="36" spans="1:2">
      <c r="A36" s="41" t="s">
        <v>75</v>
      </c>
    </row>
    <row r="37" spans="1:2" ht="33">
      <c r="A37" s="58" t="s">
        <v>76</v>
      </c>
    </row>
    <row r="38" spans="1:2" ht="66">
      <c r="A38" s="58" t="s">
        <v>77</v>
      </c>
    </row>
    <row r="39" spans="1:2" ht="33">
      <c r="A39" s="58" t="s">
        <v>78</v>
      </c>
    </row>
    <row r="40" spans="1:2" ht="33">
      <c r="A40" s="58" t="s">
        <v>79</v>
      </c>
    </row>
    <row r="41" spans="1:2" ht="33">
      <c r="A41" s="58" t="s">
        <v>80</v>
      </c>
    </row>
    <row r="43" spans="1:2">
      <c r="A43" s="41" t="s">
        <v>81</v>
      </c>
    </row>
    <row r="44" spans="1:2">
      <c r="A44" s="58" t="s">
        <v>82</v>
      </c>
    </row>
    <row r="45" spans="1:2">
      <c r="A45" s="58" t="s">
        <v>83</v>
      </c>
      <c r="B45" s="4">
        <v>120</v>
      </c>
    </row>
    <row r="46" spans="1:2">
      <c r="A46" s="58" t="s">
        <v>84</v>
      </c>
      <c r="B46" s="4">
        <v>150</v>
      </c>
    </row>
    <row r="48" spans="1:2">
      <c r="A48" s="41" t="s">
        <v>85</v>
      </c>
    </row>
    <row r="49" spans="1:12">
      <c r="A49" s="7" t="s">
        <v>86</v>
      </c>
    </row>
    <row r="50" spans="1:12" ht="33">
      <c r="A50" s="58" t="s">
        <v>87</v>
      </c>
    </row>
    <row r="51" spans="1:12" ht="20.25">
      <c r="A51" s="58" t="s">
        <v>88</v>
      </c>
      <c r="F51" s="263" t="s">
        <v>89</v>
      </c>
      <c r="G51" s="264"/>
      <c r="H51" s="264"/>
      <c r="I51" s="264"/>
      <c r="J51" s="264"/>
      <c r="K51" s="265"/>
    </row>
    <row r="52" spans="1:12">
      <c r="J52" s="5" t="s">
        <v>90</v>
      </c>
      <c r="K52" s="5" t="s">
        <v>91</v>
      </c>
    </row>
    <row r="53" spans="1:12">
      <c r="A53" s="41" t="s">
        <v>44</v>
      </c>
      <c r="F53" s="16" t="s">
        <v>92</v>
      </c>
      <c r="G53" s="16">
        <v>92568</v>
      </c>
      <c r="H53" s="15" t="s">
        <v>93</v>
      </c>
      <c r="I53" s="14" t="s">
        <v>94</v>
      </c>
      <c r="J53" s="20" t="s">
        <v>95</v>
      </c>
      <c r="K53" s="18">
        <v>123.54</v>
      </c>
      <c r="L53" s="61" t="s">
        <v>96</v>
      </c>
    </row>
    <row r="54" spans="1:12" ht="49.5">
      <c r="A54" s="58" t="s">
        <v>97</v>
      </c>
      <c r="F54" s="16" t="s">
        <v>92</v>
      </c>
      <c r="G54" s="16">
        <v>94216</v>
      </c>
      <c r="H54" s="15" t="s">
        <v>98</v>
      </c>
      <c r="I54" s="14" t="s">
        <v>99</v>
      </c>
      <c r="J54" s="20" t="s">
        <v>95</v>
      </c>
      <c r="K54" s="18">
        <v>181.24</v>
      </c>
      <c r="L54" s="61" t="s">
        <v>100</v>
      </c>
    </row>
    <row r="55" spans="1:12">
      <c r="A55" s="58" t="s">
        <v>101</v>
      </c>
      <c r="F55" s="16" t="s">
        <v>92</v>
      </c>
      <c r="G55" s="16">
        <v>101979</v>
      </c>
      <c r="H55" s="15" t="s">
        <v>102</v>
      </c>
      <c r="I55" s="14" t="s">
        <v>103</v>
      </c>
      <c r="J55" s="20" t="s">
        <v>104</v>
      </c>
      <c r="K55" s="18">
        <v>43.7</v>
      </c>
      <c r="L55" s="61" t="s">
        <v>105</v>
      </c>
    </row>
    <row r="56" spans="1:12" ht="33">
      <c r="A56" s="58" t="s">
        <v>106</v>
      </c>
      <c r="F56" s="16" t="s">
        <v>92</v>
      </c>
      <c r="G56" s="16">
        <v>101979</v>
      </c>
      <c r="H56" s="15" t="s">
        <v>107</v>
      </c>
      <c r="I56" s="14" t="s">
        <v>108</v>
      </c>
      <c r="J56" s="20" t="s">
        <v>104</v>
      </c>
      <c r="K56" s="18">
        <v>43.7</v>
      </c>
      <c r="L56" s="61" t="s">
        <v>105</v>
      </c>
    </row>
    <row r="57" spans="1:12">
      <c r="F57" s="16" t="s">
        <v>92</v>
      </c>
      <c r="G57" s="16">
        <v>94228</v>
      </c>
      <c r="H57" s="15" t="s">
        <v>109</v>
      </c>
      <c r="I57" s="14" t="s">
        <v>110</v>
      </c>
      <c r="J57" s="20" t="s">
        <v>104</v>
      </c>
      <c r="K57" s="18">
        <v>83.08</v>
      </c>
      <c r="L57" s="61" t="s">
        <v>111</v>
      </c>
    </row>
    <row r="58" spans="1:12">
      <c r="F58" s="16" t="s">
        <v>92</v>
      </c>
      <c r="G58" s="16">
        <v>98546</v>
      </c>
      <c r="H58" s="15" t="s">
        <v>112</v>
      </c>
      <c r="I58" s="14" t="s">
        <v>113</v>
      </c>
      <c r="J58" s="20" t="s">
        <v>95</v>
      </c>
      <c r="K58" s="18">
        <v>168.64</v>
      </c>
      <c r="L58" s="61" t="s">
        <v>114</v>
      </c>
    </row>
    <row r="60" spans="1:12">
      <c r="A60" s="41" t="s">
        <v>115</v>
      </c>
      <c r="B60" s="42" t="s">
        <v>104</v>
      </c>
      <c r="C60" s="42" t="s">
        <v>116</v>
      </c>
      <c r="D60" s="42" t="s">
        <v>117</v>
      </c>
    </row>
    <row r="61" spans="1:12">
      <c r="A61" s="7" t="s">
        <v>118</v>
      </c>
      <c r="B61" s="4">
        <f>(1/0.15)*2</f>
        <v>13.333333333333334</v>
      </c>
      <c r="C61" s="4">
        <v>0.11</v>
      </c>
      <c r="D61" s="4">
        <f>C61*B61</f>
        <v>1.4666666666666668</v>
      </c>
    </row>
    <row r="62" spans="1:12">
      <c r="A62" s="7" t="s">
        <v>119</v>
      </c>
    </row>
    <row r="64" spans="1:12">
      <c r="A64" s="41" t="s">
        <v>120</v>
      </c>
    </row>
    <row r="65" spans="1:1" ht="49.5">
      <c r="A65" s="58" t="s">
        <v>121</v>
      </c>
    </row>
    <row r="66" spans="1:1" ht="33">
      <c r="A66" s="58" t="s">
        <v>122</v>
      </c>
    </row>
  </sheetData>
  <sheetProtection password="C655" sheet="1" objects="1" scenarios="1"/>
  <mergeCells count="1">
    <mergeCell ref="F51:K5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N16"/>
  <sheetViews>
    <sheetView workbookViewId="0">
      <selection activeCell="G10" sqref="G10"/>
    </sheetView>
  </sheetViews>
  <sheetFormatPr defaultColWidth="9.140625" defaultRowHeight="16.5"/>
  <cols>
    <col min="1" max="1" width="8.85546875" style="3" bestFit="1" customWidth="1"/>
    <col min="2" max="2" width="9.85546875" style="3" bestFit="1" customWidth="1"/>
    <col min="3" max="3" width="9.140625" style="3"/>
    <col min="4" max="4" width="23.42578125" style="1" customWidth="1"/>
    <col min="5" max="5" width="9.7109375" style="3" bestFit="1" customWidth="1"/>
    <col min="6" max="6" width="5" style="8" bestFit="1" customWidth="1"/>
    <col min="7" max="7" width="12.7109375" style="8" bestFit="1" customWidth="1"/>
    <col min="8" max="8" width="14" style="9" bestFit="1" customWidth="1"/>
    <col min="9" max="9" width="15" style="9" bestFit="1" customWidth="1"/>
    <col min="10" max="16384" width="9.140625" style="1"/>
  </cols>
  <sheetData>
    <row r="1" spans="1:14" s="5" customFormat="1" ht="17.25" thickBot="1">
      <c r="A1" s="10" t="s">
        <v>123</v>
      </c>
      <c r="B1" s="10" t="s">
        <v>124</v>
      </c>
      <c r="C1" s="10" t="s">
        <v>125</v>
      </c>
      <c r="D1" s="10" t="s">
        <v>126</v>
      </c>
      <c r="E1" s="11" t="s">
        <v>90</v>
      </c>
      <c r="F1" s="12" t="s">
        <v>127</v>
      </c>
      <c r="G1" s="12" t="s">
        <v>128</v>
      </c>
      <c r="H1" s="13" t="s">
        <v>129</v>
      </c>
      <c r="I1" s="13" t="s">
        <v>130</v>
      </c>
    </row>
    <row r="2" spans="1:14">
      <c r="A2" s="15" t="s">
        <v>92</v>
      </c>
      <c r="B2" s="26">
        <v>40814</v>
      </c>
      <c r="C2" s="26">
        <v>1</v>
      </c>
      <c r="D2" s="27" t="s">
        <v>131</v>
      </c>
      <c r="E2" s="26" t="s">
        <v>132</v>
      </c>
      <c r="F2" s="28">
        <v>1</v>
      </c>
      <c r="G2" s="28">
        <v>1.5</v>
      </c>
      <c r="H2" s="29">
        <v>24298.83</v>
      </c>
      <c r="I2" s="29">
        <f>ROUND(F2*G2*H2,2)</f>
        <v>36448.25</v>
      </c>
      <c r="J2" s="30"/>
      <c r="L2" s="34" t="s">
        <v>133</v>
      </c>
    </row>
    <row r="3" spans="1:14">
      <c r="A3" s="15" t="s">
        <v>92</v>
      </c>
      <c r="B3" s="26">
        <v>40811</v>
      </c>
      <c r="C3" s="26">
        <v>2</v>
      </c>
      <c r="D3" s="27" t="s">
        <v>134</v>
      </c>
      <c r="E3" s="26" t="s">
        <v>132</v>
      </c>
      <c r="F3" s="28">
        <v>2</v>
      </c>
      <c r="G3" s="28">
        <v>1.5</v>
      </c>
      <c r="H3" s="29">
        <v>20596.11</v>
      </c>
      <c r="I3" s="29">
        <f t="shared" ref="I3:I8" si="0">ROUND(F3*H3,2)</f>
        <v>41192.22</v>
      </c>
      <c r="J3" s="30"/>
      <c r="L3" s="34" t="s">
        <v>135</v>
      </c>
    </row>
    <row r="4" spans="1:14">
      <c r="A4" s="15" t="s">
        <v>92</v>
      </c>
      <c r="B4" s="26">
        <v>40817</v>
      </c>
      <c r="C4" s="26">
        <v>3</v>
      </c>
      <c r="D4" s="27" t="s">
        <v>136</v>
      </c>
      <c r="E4" s="26" t="s">
        <v>132</v>
      </c>
      <c r="F4" s="28">
        <v>1</v>
      </c>
      <c r="G4" s="28">
        <v>1.5</v>
      </c>
      <c r="H4" s="29">
        <v>22444.99</v>
      </c>
      <c r="I4" s="29">
        <f t="shared" si="0"/>
        <v>22444.99</v>
      </c>
      <c r="J4" s="30"/>
      <c r="L4" s="34" t="s">
        <v>137</v>
      </c>
    </row>
    <row r="5" spans="1:14">
      <c r="A5" s="15" t="s">
        <v>92</v>
      </c>
      <c r="B5" s="26">
        <v>40815</v>
      </c>
      <c r="C5" s="26">
        <v>4</v>
      </c>
      <c r="D5" s="27" t="s">
        <v>138</v>
      </c>
      <c r="E5" s="26" t="s">
        <v>132</v>
      </c>
      <c r="F5" s="28">
        <v>2</v>
      </c>
      <c r="G5" s="28">
        <v>1.5</v>
      </c>
      <c r="H5" s="29">
        <v>20215.439999999999</v>
      </c>
      <c r="I5" s="29">
        <f t="shared" si="0"/>
        <v>40430.879999999997</v>
      </c>
      <c r="J5" s="30"/>
      <c r="L5" s="34" t="s">
        <v>139</v>
      </c>
    </row>
    <row r="6" spans="1:14">
      <c r="A6" s="15" t="s">
        <v>92</v>
      </c>
      <c r="B6" s="26">
        <v>40820</v>
      </c>
      <c r="C6" s="26">
        <v>5</v>
      </c>
      <c r="D6" s="27" t="s">
        <v>140</v>
      </c>
      <c r="E6" s="26" t="s">
        <v>132</v>
      </c>
      <c r="F6" s="28">
        <v>1</v>
      </c>
      <c r="G6" s="28">
        <v>1</v>
      </c>
      <c r="H6" s="29">
        <v>6007.04</v>
      </c>
      <c r="I6" s="29">
        <f t="shared" si="0"/>
        <v>6007.04</v>
      </c>
      <c r="J6" s="30"/>
      <c r="L6" s="34" t="s">
        <v>141</v>
      </c>
    </row>
    <row r="7" spans="1:14">
      <c r="A7" s="15" t="s">
        <v>92</v>
      </c>
      <c r="B7" s="26">
        <v>41093</v>
      </c>
      <c r="C7" s="26">
        <v>6</v>
      </c>
      <c r="D7" s="27" t="s">
        <v>142</v>
      </c>
      <c r="E7" s="26" t="s">
        <v>132</v>
      </c>
      <c r="F7" s="28">
        <v>1</v>
      </c>
      <c r="G7" s="28">
        <v>1</v>
      </c>
      <c r="H7" s="29">
        <v>2703.34</v>
      </c>
      <c r="I7" s="29">
        <f t="shared" si="0"/>
        <v>2703.34</v>
      </c>
      <c r="J7" s="30"/>
      <c r="L7" s="34" t="s">
        <v>143</v>
      </c>
    </row>
    <row r="8" spans="1:14">
      <c r="A8" s="15" t="s">
        <v>92</v>
      </c>
      <c r="B8" s="26">
        <v>40807</v>
      </c>
      <c r="C8" s="26">
        <v>7</v>
      </c>
      <c r="D8" s="27" t="s">
        <v>144</v>
      </c>
      <c r="E8" s="26" t="s">
        <v>132</v>
      </c>
      <c r="F8" s="28">
        <v>4</v>
      </c>
      <c r="G8" s="28">
        <v>1.5</v>
      </c>
      <c r="H8" s="29">
        <v>4357.12</v>
      </c>
      <c r="I8" s="29">
        <f t="shared" si="0"/>
        <v>17428.48</v>
      </c>
      <c r="J8" s="30"/>
      <c r="L8" s="34" t="s">
        <v>145</v>
      </c>
    </row>
    <row r="9" spans="1:14">
      <c r="A9" s="15" t="s">
        <v>92</v>
      </c>
      <c r="B9" s="26">
        <v>40812</v>
      </c>
      <c r="C9" s="26">
        <v>8</v>
      </c>
      <c r="D9" s="27" t="s">
        <v>146</v>
      </c>
      <c r="E9" s="26" t="s">
        <v>132</v>
      </c>
      <c r="F9" s="28">
        <v>2</v>
      </c>
      <c r="G9" s="28">
        <v>1.5</v>
      </c>
      <c r="H9" s="29">
        <v>3152.69</v>
      </c>
      <c r="I9" s="29">
        <f>ROUND(F9*H9,2)</f>
        <v>6305.38</v>
      </c>
      <c r="J9" s="30"/>
      <c r="L9" s="34" t="s">
        <v>147</v>
      </c>
    </row>
    <row r="10" spans="1:14">
      <c r="A10" s="15" t="s">
        <v>148</v>
      </c>
      <c r="B10" s="26" t="s">
        <v>149</v>
      </c>
      <c r="C10" s="26">
        <v>9</v>
      </c>
      <c r="D10" s="27" t="s">
        <v>150</v>
      </c>
      <c r="E10" s="26" t="s">
        <v>151</v>
      </c>
      <c r="F10" s="28">
        <f>1+1+1+1</f>
        <v>4</v>
      </c>
      <c r="G10" s="28">
        <v>1</v>
      </c>
      <c r="H10" s="29">
        <v>262.55</v>
      </c>
      <c r="I10" s="29">
        <f t="shared" ref="I10:I11" si="1">ROUND(F10*H10,2)</f>
        <v>1050.2</v>
      </c>
      <c r="J10" s="30"/>
      <c r="L10" s="34" t="s">
        <v>152</v>
      </c>
    </row>
    <row r="11" spans="1:14">
      <c r="A11" s="15" t="s">
        <v>153</v>
      </c>
      <c r="B11" s="26" t="s">
        <v>149</v>
      </c>
      <c r="C11" s="26">
        <v>11</v>
      </c>
      <c r="D11" s="27" t="s">
        <v>152</v>
      </c>
      <c r="E11" s="26" t="s">
        <v>151</v>
      </c>
      <c r="F11" s="28">
        <v>1</v>
      </c>
      <c r="G11" s="28">
        <v>1</v>
      </c>
      <c r="H11" s="29">
        <v>119.61</v>
      </c>
      <c r="I11" s="29">
        <f t="shared" si="1"/>
        <v>119.61</v>
      </c>
      <c r="J11" s="30"/>
      <c r="L11" s="34" t="s">
        <v>150</v>
      </c>
    </row>
    <row r="12" spans="1:14">
      <c r="A12" s="23" t="s">
        <v>154</v>
      </c>
      <c r="B12" s="31" t="s">
        <v>149</v>
      </c>
      <c r="C12" s="31">
        <v>9</v>
      </c>
      <c r="D12" s="32" t="s">
        <v>155</v>
      </c>
      <c r="E12" s="31" t="s">
        <v>156</v>
      </c>
      <c r="F12" s="33">
        <v>1</v>
      </c>
      <c r="G12" s="24">
        <v>1.5</v>
      </c>
      <c r="H12" s="29">
        <v>2000</v>
      </c>
      <c r="I12" s="29">
        <f>ROUND(F12*H12,2)</f>
        <v>2000</v>
      </c>
      <c r="J12" s="30"/>
      <c r="L12" s="34" t="s">
        <v>157</v>
      </c>
    </row>
    <row r="13" spans="1:14" ht="17.25" thickBot="1">
      <c r="A13" s="251"/>
      <c r="B13" s="251"/>
      <c r="C13" s="251"/>
      <c r="E13" s="251"/>
      <c r="H13" s="25" t="s">
        <v>158</v>
      </c>
      <c r="I13" s="25">
        <f>SUM(I2:I12)</f>
        <v>176130.39</v>
      </c>
    </row>
    <row r="14" spans="1:14">
      <c r="A14" s="251"/>
      <c r="B14" s="251"/>
      <c r="C14" s="251"/>
      <c r="E14" s="251"/>
      <c r="L14" s="1" t="s">
        <v>159</v>
      </c>
    </row>
    <row r="15" spans="1:14">
      <c r="A15" s="251"/>
      <c r="B15" s="251"/>
      <c r="C15" s="251"/>
      <c r="E15" s="251"/>
      <c r="L15" s="1" t="s">
        <v>160</v>
      </c>
      <c r="M15" s="1">
        <v>262.55</v>
      </c>
      <c r="N15" s="1" t="s">
        <v>161</v>
      </c>
    </row>
    <row r="16" spans="1:14">
      <c r="A16" s="251"/>
      <c r="B16" s="251"/>
      <c r="C16" s="251"/>
      <c r="E16" s="251"/>
      <c r="L16" s="1" t="s">
        <v>162</v>
      </c>
      <c r="M16" s="1">
        <v>262.55</v>
      </c>
    </row>
  </sheetData>
  <sheetProtection password="C655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T559"/>
  <sheetViews>
    <sheetView topLeftCell="B495" workbookViewId="0">
      <selection activeCell="J495" sqref="J495"/>
    </sheetView>
  </sheetViews>
  <sheetFormatPr defaultRowHeight="15"/>
  <cols>
    <col min="1" max="1" width="60" bestFit="1" customWidth="1"/>
    <col min="2" max="2" width="12.85546875" bestFit="1" customWidth="1"/>
    <col min="3" max="3" width="19.5703125" bestFit="1" customWidth="1"/>
    <col min="4" max="4" width="14.28515625" bestFit="1" customWidth="1"/>
    <col min="5" max="5" width="14.28515625" customWidth="1"/>
    <col min="6" max="6" width="14.42578125" customWidth="1"/>
    <col min="7" max="7" width="28.5703125" bestFit="1" customWidth="1"/>
    <col min="8" max="8" width="13.28515625" customWidth="1"/>
    <col min="9" max="9" width="13" customWidth="1"/>
    <col min="10" max="10" width="12.85546875" customWidth="1"/>
    <col min="11" max="11" width="14.5703125" bestFit="1" customWidth="1"/>
    <col min="12" max="12" width="11.28515625" customWidth="1"/>
    <col min="13" max="13" width="31.28515625" bestFit="1" customWidth="1"/>
    <col min="14" max="14" width="12.28515625" bestFit="1" customWidth="1"/>
    <col min="15" max="15" width="13.140625" bestFit="1" customWidth="1"/>
    <col min="16" max="16" width="16" customWidth="1"/>
    <col min="17" max="17" width="16.7109375" customWidth="1"/>
    <col min="18" max="18" width="10.85546875" customWidth="1"/>
  </cols>
  <sheetData>
    <row r="1" spans="1:5" ht="16.5">
      <c r="A1" s="194" t="s">
        <v>163</v>
      </c>
    </row>
    <row r="2" spans="1:5" ht="16.5">
      <c r="A2" s="195" t="s">
        <v>164</v>
      </c>
    </row>
    <row r="3" spans="1:5" ht="16.5">
      <c r="A3" s="195" t="s">
        <v>33</v>
      </c>
    </row>
    <row r="4" spans="1:5" ht="16.5">
      <c r="A4" s="195" t="s">
        <v>165</v>
      </c>
    </row>
    <row r="5" spans="1:5" ht="16.5">
      <c r="A5" s="195" t="s">
        <v>166</v>
      </c>
    </row>
    <row r="6" spans="1:5" ht="16.5">
      <c r="A6" s="195" t="s">
        <v>167</v>
      </c>
    </row>
    <row r="7" spans="1:5" ht="16.5">
      <c r="A7" s="195" t="s">
        <v>168</v>
      </c>
    </row>
    <row r="8" spans="1:5" ht="16.5">
      <c r="A8" s="195" t="s">
        <v>169</v>
      </c>
    </row>
    <row r="10" spans="1:5" ht="16.5">
      <c r="A10" s="252" t="s">
        <v>170</v>
      </c>
      <c r="B10" s="252" t="s">
        <v>5</v>
      </c>
      <c r="C10" s="252" t="s">
        <v>171</v>
      </c>
      <c r="D10" s="252" t="s">
        <v>172</v>
      </c>
      <c r="E10" s="252" t="s">
        <v>173</v>
      </c>
    </row>
    <row r="11" spans="1:5" ht="16.5">
      <c r="A11" s="37" t="s">
        <v>174</v>
      </c>
      <c r="B11" s="46">
        <v>20</v>
      </c>
      <c r="C11" s="46">
        <v>372.84</v>
      </c>
      <c r="D11" s="46">
        <f>TRUNC(B11*C11,2)</f>
        <v>7456.8</v>
      </c>
      <c r="E11" s="39" t="s">
        <v>175</v>
      </c>
    </row>
    <row r="12" spans="1:5" ht="16.5">
      <c r="A12" s="37" t="s">
        <v>176</v>
      </c>
      <c r="B12" s="46">
        <v>10</v>
      </c>
      <c r="C12" s="46">
        <v>283.60000000000002</v>
      </c>
      <c r="D12" s="46">
        <f t="shared" ref="D12:D13" si="0">TRUNC(B12*C12,2)</f>
        <v>2836</v>
      </c>
      <c r="E12" s="39" t="s">
        <v>177</v>
      </c>
    </row>
    <row r="13" spans="1:5" ht="16.5">
      <c r="A13" s="37" t="s">
        <v>178</v>
      </c>
      <c r="B13" s="46">
        <v>15</v>
      </c>
      <c r="C13" s="46">
        <v>250</v>
      </c>
      <c r="D13" s="46">
        <f t="shared" si="0"/>
        <v>3750</v>
      </c>
      <c r="E13" s="39"/>
    </row>
    <row r="14" spans="1:5" ht="16.5">
      <c r="A14" s="37"/>
      <c r="B14" s="46">
        <f>SUM(B11:B13)</f>
        <v>45</v>
      </c>
      <c r="C14" s="46"/>
      <c r="D14" s="46">
        <f>SUM(D11:D13)</f>
        <v>14042.8</v>
      </c>
      <c r="E14" s="39"/>
    </row>
    <row r="15" spans="1:5" ht="16.5">
      <c r="B15" s="46"/>
      <c r="C15" s="46"/>
      <c r="D15" s="46">
        <f>D14/B14</f>
        <v>312.0622222222222</v>
      </c>
      <c r="E15" s="39" t="s">
        <v>179</v>
      </c>
    </row>
    <row r="16" spans="1:5" ht="16.5">
      <c r="B16" s="46"/>
      <c r="C16" s="46"/>
      <c r="D16" s="46"/>
      <c r="E16" s="39"/>
    </row>
    <row r="20" spans="1:8" ht="16.5">
      <c r="A20" s="252" t="s">
        <v>180</v>
      </c>
      <c r="B20" s="252" t="s">
        <v>181</v>
      </c>
      <c r="C20" s="252" t="s">
        <v>182</v>
      </c>
      <c r="D20" s="252" t="s">
        <v>183</v>
      </c>
      <c r="E20" s="252" t="s">
        <v>184</v>
      </c>
      <c r="F20" s="252" t="s">
        <v>185</v>
      </c>
      <c r="G20" s="38"/>
    </row>
    <row r="21" spans="1:8" ht="16.5">
      <c r="A21" s="37" t="s">
        <v>186</v>
      </c>
      <c r="B21" s="46">
        <v>0.75</v>
      </c>
      <c r="C21" s="46">
        <v>0.75</v>
      </c>
      <c r="D21" s="46">
        <v>0.4</v>
      </c>
      <c r="E21" s="46">
        <f>SUM(B22:B27)</f>
        <v>382</v>
      </c>
      <c r="F21" s="46">
        <v>0</v>
      </c>
      <c r="G21" s="37" t="s">
        <v>187</v>
      </c>
    </row>
    <row r="22" spans="1:8" ht="16.5">
      <c r="A22" s="37" t="s">
        <v>164</v>
      </c>
      <c r="B22" s="46">
        <f>27+48+48+45</f>
        <v>168</v>
      </c>
      <c r="C22" s="46"/>
      <c r="D22" s="46"/>
      <c r="E22" s="46"/>
      <c r="F22" s="46"/>
      <c r="G22" s="40"/>
    </row>
    <row r="23" spans="1:8" ht="16.5">
      <c r="A23" s="37" t="s">
        <v>33</v>
      </c>
      <c r="B23" s="46">
        <v>9</v>
      </c>
      <c r="C23" s="40"/>
      <c r="D23" s="40"/>
      <c r="E23" s="45"/>
      <c r="F23" s="40"/>
    </row>
    <row r="24" spans="1:8" ht="16.5">
      <c r="A24" s="37" t="s">
        <v>165</v>
      </c>
      <c r="B24" s="46">
        <v>10</v>
      </c>
      <c r="C24" s="40"/>
      <c r="D24" s="40"/>
      <c r="E24" s="45"/>
      <c r="F24" s="40"/>
    </row>
    <row r="25" spans="1:8" ht="16.5">
      <c r="A25" s="37" t="s">
        <v>166</v>
      </c>
      <c r="B25" s="46">
        <v>105</v>
      </c>
      <c r="C25" s="40"/>
      <c r="D25" s="40"/>
      <c r="E25" s="45"/>
      <c r="F25" s="40"/>
    </row>
    <row r="26" spans="1:8" ht="16.5">
      <c r="A26" s="37" t="s">
        <v>167</v>
      </c>
      <c r="B26" s="46">
        <v>4</v>
      </c>
      <c r="C26" s="40"/>
      <c r="D26" s="40"/>
      <c r="E26" s="45"/>
      <c r="F26" s="40"/>
    </row>
    <row r="27" spans="1:8" ht="16.5">
      <c r="A27" s="37" t="s">
        <v>168</v>
      </c>
      <c r="B27" s="46">
        <v>86</v>
      </c>
      <c r="C27" s="40"/>
      <c r="D27" s="40"/>
      <c r="E27" s="45"/>
      <c r="F27" s="40"/>
    </row>
    <row r="28" spans="1:8" ht="16.5">
      <c r="A28" s="37" t="s">
        <v>158</v>
      </c>
      <c r="B28" s="46">
        <f>SUM(B22:B27)</f>
        <v>382</v>
      </c>
      <c r="C28" s="40"/>
      <c r="D28" s="40"/>
      <c r="E28" s="45"/>
      <c r="F28" s="40"/>
    </row>
    <row r="29" spans="1:8" ht="16.5">
      <c r="A29" s="37"/>
      <c r="B29" s="39"/>
      <c r="C29" s="40"/>
      <c r="D29" s="40"/>
      <c r="E29" s="45"/>
      <c r="F29" s="40"/>
    </row>
    <row r="30" spans="1:8" ht="16.5">
      <c r="A30" s="252" t="s">
        <v>188</v>
      </c>
      <c r="B30" s="252" t="s">
        <v>181</v>
      </c>
      <c r="C30" s="252" t="s">
        <v>182</v>
      </c>
      <c r="D30" s="252" t="s">
        <v>183</v>
      </c>
      <c r="E30" s="252" t="s">
        <v>189</v>
      </c>
      <c r="F30" s="252" t="s">
        <v>185</v>
      </c>
      <c r="H30" s="37" t="s">
        <v>190</v>
      </c>
    </row>
    <row r="31" spans="1:8" ht="16.5">
      <c r="A31" s="37" t="s">
        <v>164</v>
      </c>
      <c r="B31" s="39">
        <v>942.94</v>
      </c>
      <c r="C31" s="39">
        <v>0.4</v>
      </c>
      <c r="D31" s="39">
        <v>1.1000000000000001</v>
      </c>
      <c r="E31" s="53">
        <v>0.05</v>
      </c>
      <c r="F31" s="39">
        <f>ROUND((B31*C31*D31)-(B31*C31*D31*E31),2)</f>
        <v>394.15</v>
      </c>
    </row>
    <row r="32" spans="1:8" ht="16.5">
      <c r="A32" s="37" t="s">
        <v>33</v>
      </c>
      <c r="B32" s="39">
        <v>51.3</v>
      </c>
      <c r="C32" s="39">
        <v>0.4</v>
      </c>
      <c r="D32" s="39">
        <v>1.1000000000000001</v>
      </c>
      <c r="E32" s="53">
        <v>0.05</v>
      </c>
      <c r="F32" s="39">
        <f t="shared" ref="F32:F36" si="1">ROUND((B32*C32*D32)-(B32*C32*D32*E32),2)</f>
        <v>21.44</v>
      </c>
    </row>
    <row r="33" spans="1:8" ht="16.5">
      <c r="A33" s="37" t="s">
        <v>165</v>
      </c>
      <c r="B33" s="39">
        <v>31.26</v>
      </c>
      <c r="C33" s="39">
        <v>0.4</v>
      </c>
      <c r="D33" s="39">
        <v>1.1000000000000001</v>
      </c>
      <c r="E33" s="53">
        <v>0.05</v>
      </c>
      <c r="F33" s="39">
        <f t="shared" si="1"/>
        <v>13.07</v>
      </c>
    </row>
    <row r="34" spans="1:8" ht="16.5">
      <c r="A34" s="37" t="s">
        <v>166</v>
      </c>
      <c r="B34" s="39">
        <v>362.12</v>
      </c>
      <c r="C34" s="39">
        <v>0.4</v>
      </c>
      <c r="D34" s="39">
        <v>1.1000000000000001</v>
      </c>
      <c r="E34" s="53">
        <v>0.05</v>
      </c>
      <c r="F34" s="39">
        <f t="shared" si="1"/>
        <v>151.37</v>
      </c>
    </row>
    <row r="35" spans="1:8" ht="16.5">
      <c r="A35" s="37" t="s">
        <v>167</v>
      </c>
      <c r="B35" s="39">
        <v>4.93</v>
      </c>
      <c r="C35" s="39">
        <v>0.4</v>
      </c>
      <c r="D35" s="39">
        <v>1.1000000000000001</v>
      </c>
      <c r="E35" s="53">
        <v>0.05</v>
      </c>
      <c r="F35" s="39">
        <f t="shared" si="1"/>
        <v>2.06</v>
      </c>
    </row>
    <row r="36" spans="1:8" ht="16.5">
      <c r="A36" s="37" t="s">
        <v>168</v>
      </c>
      <c r="B36" s="39">
        <v>229.31</v>
      </c>
      <c r="C36" s="39">
        <v>0.4</v>
      </c>
      <c r="D36" s="39">
        <v>1.1000000000000001</v>
      </c>
      <c r="E36" s="53">
        <v>0.05</v>
      </c>
      <c r="F36" s="39">
        <f t="shared" si="1"/>
        <v>95.85</v>
      </c>
    </row>
    <row r="37" spans="1:8" ht="16.5">
      <c r="A37" s="37"/>
      <c r="B37" s="39"/>
      <c r="C37" s="40"/>
      <c r="D37" s="40"/>
      <c r="E37" s="47" t="s">
        <v>158</v>
      </c>
      <c r="F37" s="48">
        <f>SUM(F31:F36)</f>
        <v>677.93999999999994</v>
      </c>
    </row>
    <row r="38" spans="1:8" ht="16.5">
      <c r="A38" s="37"/>
      <c r="B38" s="39"/>
      <c r="C38" s="40"/>
      <c r="D38" s="40"/>
      <c r="E38" s="47"/>
      <c r="F38" s="48"/>
    </row>
    <row r="39" spans="1:8" ht="16.5">
      <c r="A39" s="252" t="s">
        <v>191</v>
      </c>
      <c r="B39" s="252" t="s">
        <v>181</v>
      </c>
      <c r="C39" s="252" t="s">
        <v>182</v>
      </c>
      <c r="D39" s="252" t="s">
        <v>183</v>
      </c>
      <c r="E39" s="252" t="s">
        <v>189</v>
      </c>
      <c r="F39" s="252" t="s">
        <v>185</v>
      </c>
      <c r="G39" s="37" t="s">
        <v>192</v>
      </c>
      <c r="H39" s="39">
        <f>(1.5+0.5)/2</f>
        <v>1</v>
      </c>
    </row>
    <row r="40" spans="1:8" ht="16.5">
      <c r="A40" s="37" t="s">
        <v>169</v>
      </c>
      <c r="B40" s="39">
        <v>13.5</v>
      </c>
      <c r="C40" s="39">
        <v>3.5</v>
      </c>
      <c r="D40" s="39">
        <f>H39</f>
        <v>1</v>
      </c>
      <c r="E40" s="53">
        <v>0</v>
      </c>
      <c r="F40" s="39">
        <f>ROUND((B40*C40*D40)-(B40*C40*D40*E40),2)</f>
        <v>47.25</v>
      </c>
    </row>
    <row r="41" spans="1:8" ht="16.5">
      <c r="A41" s="37"/>
      <c r="B41" s="39"/>
      <c r="C41" s="40"/>
      <c r="D41" s="40"/>
      <c r="E41" s="47" t="s">
        <v>158</v>
      </c>
      <c r="F41" s="48">
        <f>SUM(F40:F40)</f>
        <v>47.25</v>
      </c>
    </row>
    <row r="42" spans="1:8" ht="16.5">
      <c r="A42" s="37"/>
      <c r="B42" s="39"/>
      <c r="C42" s="40"/>
      <c r="D42" s="40"/>
      <c r="E42" s="47"/>
      <c r="F42" s="48"/>
    </row>
    <row r="43" spans="1:8" ht="16.5">
      <c r="A43" s="49" t="s">
        <v>193</v>
      </c>
      <c r="B43" s="252" t="s">
        <v>181</v>
      </c>
      <c r="C43" s="252" t="s">
        <v>182</v>
      </c>
      <c r="D43" s="252" t="s">
        <v>183</v>
      </c>
      <c r="E43" s="252" t="s">
        <v>189</v>
      </c>
      <c r="F43" s="252" t="s">
        <v>185</v>
      </c>
    </row>
    <row r="44" spans="1:8" ht="16.5">
      <c r="A44" s="37" t="s">
        <v>164</v>
      </c>
      <c r="B44" s="39">
        <v>942.94</v>
      </c>
      <c r="C44" s="39">
        <v>0.4</v>
      </c>
      <c r="D44" s="39">
        <v>1</v>
      </c>
      <c r="E44" s="53">
        <v>0.05</v>
      </c>
      <c r="F44" s="39">
        <f>ROUND((B44*C44*D44)-(B44*C44*D44*E44),2)</f>
        <v>358.32</v>
      </c>
    </row>
    <row r="45" spans="1:8" ht="16.5">
      <c r="A45" s="37" t="s">
        <v>33</v>
      </c>
      <c r="B45" s="39">
        <v>51.3</v>
      </c>
      <c r="C45" s="39">
        <v>0.4</v>
      </c>
      <c r="D45" s="39">
        <v>1</v>
      </c>
      <c r="E45" s="53">
        <v>0.05</v>
      </c>
      <c r="F45" s="39">
        <f t="shared" ref="F45:F50" si="2">ROUND((B45*C45*D45)-(B45*C45*D45*E45),2)</f>
        <v>19.489999999999998</v>
      </c>
    </row>
    <row r="46" spans="1:8" ht="16.5">
      <c r="A46" s="37" t="s">
        <v>165</v>
      </c>
      <c r="B46" s="39">
        <v>31.26</v>
      </c>
      <c r="C46" s="39">
        <v>0.4</v>
      </c>
      <c r="D46" s="39">
        <v>1</v>
      </c>
      <c r="E46" s="53">
        <v>0.05</v>
      </c>
      <c r="F46" s="39">
        <f t="shared" si="2"/>
        <v>11.88</v>
      </c>
    </row>
    <row r="47" spans="1:8" ht="16.5">
      <c r="A47" s="37" t="s">
        <v>166</v>
      </c>
      <c r="B47" s="39">
        <v>362.12</v>
      </c>
      <c r="C47" s="39">
        <v>0.4</v>
      </c>
      <c r="D47" s="39">
        <v>1</v>
      </c>
      <c r="E47" s="53">
        <v>0.05</v>
      </c>
      <c r="F47" s="39">
        <f t="shared" si="2"/>
        <v>137.61000000000001</v>
      </c>
    </row>
    <row r="48" spans="1:8" ht="16.5">
      <c r="A48" s="37" t="s">
        <v>167</v>
      </c>
      <c r="B48" s="39">
        <v>4.93</v>
      </c>
      <c r="C48" s="39">
        <v>0.4</v>
      </c>
      <c r="D48" s="39">
        <v>1</v>
      </c>
      <c r="E48" s="53">
        <v>0.05</v>
      </c>
      <c r="F48" s="39">
        <f t="shared" si="2"/>
        <v>1.87</v>
      </c>
    </row>
    <row r="49" spans="1:6" ht="16.5">
      <c r="A49" s="37" t="s">
        <v>168</v>
      </c>
      <c r="B49" s="39">
        <v>229.31</v>
      </c>
      <c r="C49" s="39">
        <v>0.4</v>
      </c>
      <c r="D49" s="39">
        <v>1</v>
      </c>
      <c r="E49" s="53">
        <v>0.05</v>
      </c>
      <c r="F49" s="39">
        <f t="shared" si="2"/>
        <v>87.14</v>
      </c>
    </row>
    <row r="50" spans="1:6" ht="16.5">
      <c r="A50" s="37" t="s">
        <v>169</v>
      </c>
      <c r="B50" s="39">
        <v>13.5</v>
      </c>
      <c r="C50" s="39">
        <v>3.5</v>
      </c>
      <c r="D50" s="39">
        <v>1</v>
      </c>
      <c r="E50" s="53">
        <v>0</v>
      </c>
      <c r="F50" s="39">
        <f t="shared" si="2"/>
        <v>47.25</v>
      </c>
    </row>
    <row r="51" spans="1:6" ht="16.5">
      <c r="A51" s="37"/>
      <c r="B51" s="39"/>
      <c r="C51" s="40"/>
      <c r="D51" s="40"/>
      <c r="E51" s="47" t="s">
        <v>158</v>
      </c>
      <c r="F51" s="48">
        <f>SUM(F44:F50)</f>
        <v>663.56</v>
      </c>
    </row>
    <row r="52" spans="1:6" ht="16.5">
      <c r="A52" s="37"/>
      <c r="B52" s="39"/>
      <c r="C52" s="40"/>
      <c r="D52" s="40"/>
      <c r="E52" s="47"/>
      <c r="F52" s="48"/>
    </row>
    <row r="53" spans="1:6" ht="16.5">
      <c r="A53" s="49" t="s">
        <v>194</v>
      </c>
      <c r="B53" s="252" t="s">
        <v>181</v>
      </c>
      <c r="C53" s="252" t="s">
        <v>182</v>
      </c>
      <c r="D53" s="252" t="s">
        <v>183</v>
      </c>
      <c r="E53" s="252" t="s">
        <v>189</v>
      </c>
      <c r="F53" s="252" t="s">
        <v>185</v>
      </c>
    </row>
    <row r="54" spans="1:6" ht="16.5">
      <c r="A54" s="37" t="s">
        <v>164</v>
      </c>
      <c r="B54" s="39">
        <v>942.94</v>
      </c>
      <c r="C54" s="39">
        <v>0.4</v>
      </c>
      <c r="D54" s="39">
        <v>0.05</v>
      </c>
      <c r="E54" s="53">
        <v>0.05</v>
      </c>
      <c r="F54" s="39">
        <f>ROUND((B54*C54*D54)-(B54*C54*D54*E54),2)</f>
        <v>17.920000000000002</v>
      </c>
    </row>
    <row r="55" spans="1:6" ht="16.5">
      <c r="A55" s="37" t="s">
        <v>33</v>
      </c>
      <c r="B55" s="39">
        <v>51.3</v>
      </c>
      <c r="C55" s="39">
        <v>0.4</v>
      </c>
      <c r="D55" s="39">
        <v>0.05</v>
      </c>
      <c r="E55" s="53">
        <v>0.05</v>
      </c>
      <c r="F55" s="39">
        <f t="shared" ref="F55:F60" si="3">ROUND((B55*C55*D55)-(B55*C55*D55*E55),2)</f>
        <v>0.97</v>
      </c>
    </row>
    <row r="56" spans="1:6" ht="16.5">
      <c r="A56" s="37" t="s">
        <v>165</v>
      </c>
      <c r="B56" s="39">
        <v>31.26</v>
      </c>
      <c r="C56" s="39">
        <v>0.4</v>
      </c>
      <c r="D56" s="39">
        <v>0.05</v>
      </c>
      <c r="E56" s="53">
        <v>0.05</v>
      </c>
      <c r="F56" s="39">
        <f t="shared" si="3"/>
        <v>0.59</v>
      </c>
    </row>
    <row r="57" spans="1:6" ht="16.5">
      <c r="A57" s="37" t="s">
        <v>166</v>
      </c>
      <c r="B57" s="39">
        <v>362.12</v>
      </c>
      <c r="C57" s="39">
        <v>0.4</v>
      </c>
      <c r="D57" s="39">
        <v>0.05</v>
      </c>
      <c r="E57" s="53">
        <v>0.05</v>
      </c>
      <c r="F57" s="39">
        <f t="shared" si="3"/>
        <v>6.88</v>
      </c>
    </row>
    <row r="58" spans="1:6" ht="16.5">
      <c r="A58" s="37" t="s">
        <v>167</v>
      </c>
      <c r="B58" s="39">
        <v>4.93</v>
      </c>
      <c r="C58" s="39">
        <v>0.4</v>
      </c>
      <c r="D58" s="39">
        <v>0.05</v>
      </c>
      <c r="E58" s="53">
        <v>0.05</v>
      </c>
      <c r="F58" s="39">
        <f t="shared" si="3"/>
        <v>0.09</v>
      </c>
    </row>
    <row r="59" spans="1:6" ht="16.5">
      <c r="A59" s="37" t="s">
        <v>168</v>
      </c>
      <c r="B59" s="39">
        <v>229.31</v>
      </c>
      <c r="C59" s="39">
        <v>0.4</v>
      </c>
      <c r="D59" s="39">
        <v>0.05</v>
      </c>
      <c r="E59" s="53">
        <v>0.05</v>
      </c>
      <c r="F59" s="39">
        <f t="shared" si="3"/>
        <v>4.3600000000000003</v>
      </c>
    </row>
    <row r="60" spans="1:6" ht="16.5">
      <c r="A60" s="37" t="s">
        <v>169</v>
      </c>
      <c r="B60" s="39">
        <v>13.5</v>
      </c>
      <c r="C60" s="39">
        <v>3.5</v>
      </c>
      <c r="D60" s="39">
        <v>0.05</v>
      </c>
      <c r="E60" s="53">
        <v>0.05</v>
      </c>
      <c r="F60" s="39">
        <f t="shared" si="3"/>
        <v>2.2400000000000002</v>
      </c>
    </row>
    <row r="61" spans="1:6" ht="16.5">
      <c r="A61" s="37"/>
      <c r="B61" s="39"/>
      <c r="C61" s="40"/>
      <c r="D61" s="40"/>
      <c r="E61" s="47" t="s">
        <v>158</v>
      </c>
      <c r="F61" s="48">
        <f>SUM(F54:F60)</f>
        <v>33.049999999999997</v>
      </c>
    </row>
    <row r="62" spans="1:6" ht="16.5">
      <c r="A62" s="37"/>
      <c r="B62" s="39"/>
      <c r="C62" s="40"/>
      <c r="D62" s="40"/>
      <c r="E62" s="47"/>
      <c r="F62" s="48"/>
    </row>
    <row r="63" spans="1:6" ht="16.5">
      <c r="A63" s="49" t="s">
        <v>195</v>
      </c>
      <c r="B63" s="252" t="s">
        <v>181</v>
      </c>
      <c r="C63" s="252" t="s">
        <v>182</v>
      </c>
      <c r="D63" s="252" t="s">
        <v>183</v>
      </c>
      <c r="E63" s="252" t="s">
        <v>189</v>
      </c>
      <c r="F63" s="252" t="s">
        <v>185</v>
      </c>
    </row>
    <row r="64" spans="1:6" ht="16.5">
      <c r="A64" s="37" t="s">
        <v>164</v>
      </c>
      <c r="B64" s="39">
        <v>942.94</v>
      </c>
      <c r="C64" s="39">
        <v>0.4</v>
      </c>
      <c r="D64" s="39">
        <v>0.4</v>
      </c>
      <c r="E64" s="53">
        <v>0.05</v>
      </c>
      <c r="F64" s="39">
        <f>ROUND((B64*C64*D64)-(B64*C64*D64*E64),2)</f>
        <v>143.33000000000001</v>
      </c>
    </row>
    <row r="65" spans="1:7" ht="16.5">
      <c r="A65" s="37" t="s">
        <v>33</v>
      </c>
      <c r="B65" s="39">
        <v>51.3</v>
      </c>
      <c r="C65" s="39">
        <v>0.4</v>
      </c>
      <c r="D65" s="39">
        <v>0.05</v>
      </c>
      <c r="E65" s="53">
        <v>0.05</v>
      </c>
      <c r="F65" s="39">
        <f t="shared" ref="F65:F69" si="4">ROUND((B65*C65*D65)-(B65*C65*D65*E65),2)</f>
        <v>0.97</v>
      </c>
    </row>
    <row r="66" spans="1:7" ht="16.5">
      <c r="A66" s="37" t="s">
        <v>165</v>
      </c>
      <c r="B66" s="39">
        <v>31.26</v>
      </c>
      <c r="C66" s="39">
        <v>0.4</v>
      </c>
      <c r="D66" s="39">
        <v>0.05</v>
      </c>
      <c r="E66" s="53">
        <v>0.05</v>
      </c>
      <c r="F66" s="39">
        <f t="shared" si="4"/>
        <v>0.59</v>
      </c>
    </row>
    <row r="67" spans="1:7" ht="16.5">
      <c r="A67" s="37" t="s">
        <v>166</v>
      </c>
      <c r="B67" s="39">
        <v>362.12</v>
      </c>
      <c r="C67" s="39">
        <v>0.4</v>
      </c>
      <c r="D67" s="39">
        <v>0.05</v>
      </c>
      <c r="E67" s="53">
        <v>0.05</v>
      </c>
      <c r="F67" s="39">
        <f t="shared" si="4"/>
        <v>6.88</v>
      </c>
    </row>
    <row r="68" spans="1:7" ht="16.5">
      <c r="A68" s="37" t="s">
        <v>167</v>
      </c>
      <c r="B68" s="39">
        <v>4.93</v>
      </c>
      <c r="C68" s="39">
        <v>0.4</v>
      </c>
      <c r="D68" s="39">
        <v>0.05</v>
      </c>
      <c r="E68" s="53">
        <v>0.05</v>
      </c>
      <c r="F68" s="39">
        <f t="shared" si="4"/>
        <v>0.09</v>
      </c>
    </row>
    <row r="69" spans="1:7" ht="16.5">
      <c r="A69" s="37" t="s">
        <v>168</v>
      </c>
      <c r="B69" s="39">
        <v>229.31</v>
      </c>
      <c r="C69" s="39">
        <v>0.4</v>
      </c>
      <c r="D69" s="39">
        <v>0.05</v>
      </c>
      <c r="E69" s="53">
        <v>0.05</v>
      </c>
      <c r="F69" s="39">
        <f t="shared" si="4"/>
        <v>4.3600000000000003</v>
      </c>
    </row>
    <row r="70" spans="1:7" ht="16.5">
      <c r="A70" s="37"/>
      <c r="B70" s="39"/>
      <c r="C70" s="40"/>
      <c r="D70" s="40"/>
      <c r="E70" s="47" t="s">
        <v>158</v>
      </c>
      <c r="F70" s="48">
        <f>SUM(F64:F69)</f>
        <v>156.22000000000003</v>
      </c>
    </row>
    <row r="71" spans="1:7" ht="16.5">
      <c r="A71" s="37"/>
      <c r="B71" s="39"/>
      <c r="C71" s="40"/>
      <c r="D71" s="40"/>
      <c r="E71" s="47"/>
      <c r="F71" s="48"/>
    </row>
    <row r="72" spans="1:7" ht="16.5">
      <c r="A72" s="49" t="s">
        <v>196</v>
      </c>
      <c r="B72" s="252" t="s">
        <v>181</v>
      </c>
      <c r="C72" s="252" t="s">
        <v>182</v>
      </c>
      <c r="D72" s="252" t="s">
        <v>183</v>
      </c>
      <c r="E72" s="252" t="s">
        <v>189</v>
      </c>
      <c r="F72" s="252" t="s">
        <v>197</v>
      </c>
      <c r="G72" s="37" t="s">
        <v>198</v>
      </c>
    </row>
    <row r="73" spans="1:7" ht="16.5">
      <c r="A73" s="37" t="s">
        <v>164</v>
      </c>
      <c r="B73" s="39">
        <v>942.94</v>
      </c>
      <c r="C73" s="39">
        <v>0.14000000000000001</v>
      </c>
      <c r="D73" s="39">
        <f>0.29*2</f>
        <v>0.57999999999999996</v>
      </c>
      <c r="E73" s="53">
        <v>0.05</v>
      </c>
      <c r="F73" s="39">
        <f>ROUND((B73*C73*D73)-(B73*C73*D73*E73),2)</f>
        <v>72.739999999999995</v>
      </c>
    </row>
    <row r="74" spans="1:7" ht="16.5">
      <c r="A74" s="37" t="s">
        <v>33</v>
      </c>
      <c r="B74" s="39">
        <v>51.3</v>
      </c>
      <c r="C74" s="39">
        <v>0.14000000000000001</v>
      </c>
      <c r="D74" s="39">
        <f t="shared" ref="D74:D78" si="5">0.29*2</f>
        <v>0.57999999999999996</v>
      </c>
      <c r="E74" s="53">
        <v>0.05</v>
      </c>
      <c r="F74" s="39">
        <f t="shared" ref="F74:F78" si="6">ROUND((B74*C74*D74)-(B74*C74*D74*E74),2)</f>
        <v>3.96</v>
      </c>
    </row>
    <row r="75" spans="1:7" ht="16.5">
      <c r="A75" s="37" t="s">
        <v>165</v>
      </c>
      <c r="B75" s="39">
        <v>31.26</v>
      </c>
      <c r="C75" s="39">
        <v>0.14000000000000001</v>
      </c>
      <c r="D75" s="39">
        <f t="shared" si="5"/>
        <v>0.57999999999999996</v>
      </c>
      <c r="E75" s="53">
        <v>0.05</v>
      </c>
      <c r="F75" s="39">
        <f t="shared" si="6"/>
        <v>2.41</v>
      </c>
    </row>
    <row r="76" spans="1:7" ht="16.5">
      <c r="A76" s="37" t="s">
        <v>166</v>
      </c>
      <c r="B76" s="39">
        <v>362.12</v>
      </c>
      <c r="C76" s="39">
        <v>0.14000000000000001</v>
      </c>
      <c r="D76" s="39">
        <f t="shared" si="5"/>
        <v>0.57999999999999996</v>
      </c>
      <c r="E76" s="53">
        <v>0.05</v>
      </c>
      <c r="F76" s="39">
        <f t="shared" si="6"/>
        <v>27.93</v>
      </c>
    </row>
    <row r="77" spans="1:7" ht="16.5">
      <c r="A77" s="37" t="s">
        <v>167</v>
      </c>
      <c r="B77" s="39">
        <v>4.93</v>
      </c>
      <c r="C77" s="39">
        <v>0.14000000000000001</v>
      </c>
      <c r="D77" s="39">
        <f t="shared" si="5"/>
        <v>0.57999999999999996</v>
      </c>
      <c r="E77" s="53">
        <v>0.05</v>
      </c>
      <c r="F77" s="39">
        <f t="shared" si="6"/>
        <v>0.38</v>
      </c>
    </row>
    <row r="78" spans="1:7" ht="16.5">
      <c r="A78" s="37" t="s">
        <v>168</v>
      </c>
      <c r="B78" s="39">
        <v>229.31</v>
      </c>
      <c r="C78" s="39">
        <v>0.14000000000000001</v>
      </c>
      <c r="D78" s="39">
        <f t="shared" si="5"/>
        <v>0.57999999999999996</v>
      </c>
      <c r="E78" s="53">
        <v>0.05</v>
      </c>
      <c r="F78" s="39">
        <f t="shared" si="6"/>
        <v>17.690000000000001</v>
      </c>
    </row>
    <row r="79" spans="1:7" ht="16.5">
      <c r="A79" s="37"/>
      <c r="B79" s="39"/>
      <c r="C79" s="40"/>
      <c r="D79" s="40"/>
      <c r="E79" s="47" t="s">
        <v>158</v>
      </c>
      <c r="F79" s="48">
        <f>SUM(F73:F78)</f>
        <v>125.10999999999999</v>
      </c>
    </row>
    <row r="80" spans="1:7" ht="16.5">
      <c r="A80" s="37"/>
      <c r="B80" s="39"/>
      <c r="C80" s="40"/>
      <c r="D80" s="40"/>
      <c r="E80" s="47"/>
      <c r="F80" s="48"/>
    </row>
    <row r="81" spans="1:7" ht="16.5">
      <c r="A81" s="252" t="s">
        <v>199</v>
      </c>
      <c r="B81" s="252" t="s">
        <v>181</v>
      </c>
      <c r="C81" s="252" t="s">
        <v>183</v>
      </c>
      <c r="D81" s="252" t="s">
        <v>200</v>
      </c>
      <c r="E81" s="252" t="s">
        <v>189</v>
      </c>
      <c r="F81" s="252" t="s">
        <v>201</v>
      </c>
      <c r="G81" s="38"/>
    </row>
    <row r="82" spans="1:7" ht="16.5">
      <c r="A82" s="37" t="s">
        <v>186</v>
      </c>
      <c r="B82" s="39">
        <f>0.75*4</f>
        <v>3</v>
      </c>
      <c r="C82" s="39">
        <v>0.4</v>
      </c>
      <c r="D82" s="46">
        <f>B28</f>
        <v>382</v>
      </c>
      <c r="E82" s="53">
        <v>0</v>
      </c>
      <c r="F82" s="46">
        <f>ROUND(B82*C82*D82,2)</f>
        <v>458.4</v>
      </c>
      <c r="G82" s="52" t="s">
        <v>202</v>
      </c>
    </row>
    <row r="83" spans="1:7" ht="16.5">
      <c r="A83" s="37" t="s">
        <v>66</v>
      </c>
      <c r="B83" s="39">
        <f>SUM(B54:B59)</f>
        <v>1621.86</v>
      </c>
      <c r="C83" s="39">
        <v>0.25</v>
      </c>
      <c r="D83" s="39">
        <v>2</v>
      </c>
      <c r="E83" s="53">
        <v>0.05</v>
      </c>
      <c r="F83" s="46">
        <f>ROUND((B83*C83*D83)-(B83*C83*D83*E83),2)</f>
        <v>770.38</v>
      </c>
      <c r="G83" s="52" t="s">
        <v>203</v>
      </c>
    </row>
    <row r="84" spans="1:7" ht="16.5">
      <c r="A84" s="37"/>
      <c r="B84" s="39"/>
      <c r="C84" s="40"/>
      <c r="E84" s="47" t="s">
        <v>158</v>
      </c>
      <c r="F84" s="48">
        <f>SUM(F82:F83)</f>
        <v>1228.78</v>
      </c>
      <c r="G84" s="48"/>
    </row>
    <row r="85" spans="1:7" ht="16.5">
      <c r="A85" s="37"/>
      <c r="B85" s="39"/>
      <c r="C85" s="40"/>
      <c r="D85" s="40"/>
      <c r="E85" s="51"/>
      <c r="F85" s="48"/>
    </row>
    <row r="86" spans="1:7" ht="16.5">
      <c r="A86" s="252" t="s">
        <v>204</v>
      </c>
      <c r="B86" s="252" t="s">
        <v>181</v>
      </c>
      <c r="C86" s="252" t="s">
        <v>200</v>
      </c>
      <c r="D86" s="252" t="s">
        <v>116</v>
      </c>
      <c r="E86" s="252" t="s">
        <v>205</v>
      </c>
      <c r="F86" s="252" t="s">
        <v>206</v>
      </c>
    </row>
    <row r="87" spans="1:7" ht="16.5">
      <c r="A87" s="37" t="s">
        <v>207</v>
      </c>
      <c r="B87" s="39">
        <f>(1/0.1)*2*1.2</f>
        <v>24</v>
      </c>
      <c r="C87" s="39">
        <f>B28</f>
        <v>382</v>
      </c>
      <c r="D87" s="39">
        <v>0.61199999999999999</v>
      </c>
      <c r="E87" s="50">
        <v>0.1</v>
      </c>
      <c r="F87" s="39">
        <f>ROUND((B87*C87*D87)+(B87*C87*D87*E87),2)</f>
        <v>6171.9</v>
      </c>
    </row>
    <row r="88" spans="1:7" ht="16.5">
      <c r="A88" s="37" t="s">
        <v>208</v>
      </c>
      <c r="B88" s="39">
        <f>SUM(B44:B49)</f>
        <v>1621.86</v>
      </c>
      <c r="C88" s="39">
        <v>4</v>
      </c>
      <c r="D88" s="39">
        <v>0.61199999999999999</v>
      </c>
      <c r="E88" s="50">
        <v>0.1</v>
      </c>
      <c r="F88" s="39">
        <f>ROUND((B88*C88*D88)+(B88*C88*D88*E88),2)</f>
        <v>4367.34</v>
      </c>
    </row>
    <row r="89" spans="1:7" ht="16.5">
      <c r="A89" s="37" t="s">
        <v>209</v>
      </c>
      <c r="B89" s="39">
        <v>0.85</v>
      </c>
      <c r="C89" s="39">
        <f>ROUND(B88/0.15,2)</f>
        <v>10812.4</v>
      </c>
      <c r="D89" s="39">
        <v>0.15</v>
      </c>
      <c r="E89" s="50">
        <v>0.1</v>
      </c>
      <c r="F89" s="39">
        <f>ROUND((B89*C89*D89)+(B89*C89*D89*E89),2)</f>
        <v>1516.44</v>
      </c>
    </row>
    <row r="90" spans="1:7" ht="16.5">
      <c r="A90" s="37"/>
      <c r="B90" s="39"/>
      <c r="C90" s="40"/>
      <c r="D90" s="40"/>
      <c r="E90" s="51" t="s">
        <v>210</v>
      </c>
      <c r="F90" s="48">
        <f>F87+F88</f>
        <v>10539.24</v>
      </c>
    </row>
    <row r="91" spans="1:7" ht="16.5">
      <c r="A91" s="37"/>
      <c r="B91" s="39"/>
      <c r="C91" s="40"/>
      <c r="D91" s="40"/>
      <c r="E91" s="51" t="s">
        <v>211</v>
      </c>
      <c r="F91" s="48">
        <f>F89</f>
        <v>1516.44</v>
      </c>
    </row>
    <row r="92" spans="1:7" ht="16.5">
      <c r="A92" s="37"/>
      <c r="B92" s="39"/>
      <c r="C92" s="40"/>
      <c r="D92" s="40"/>
      <c r="E92" s="47"/>
      <c r="F92" s="48"/>
    </row>
    <row r="93" spans="1:7" ht="16.5">
      <c r="A93" s="252" t="s">
        <v>212</v>
      </c>
      <c r="B93" s="252" t="s">
        <v>213</v>
      </c>
      <c r="C93" s="252" t="s">
        <v>214</v>
      </c>
      <c r="D93" s="252" t="s">
        <v>183</v>
      </c>
      <c r="E93" s="252" t="s">
        <v>200</v>
      </c>
      <c r="F93" s="252" t="s">
        <v>215</v>
      </c>
      <c r="G93" s="252" t="s">
        <v>201</v>
      </c>
    </row>
    <row r="94" spans="1:7" ht="16.5">
      <c r="A94" s="37" t="s">
        <v>186</v>
      </c>
      <c r="B94" s="39">
        <v>0.75</v>
      </c>
      <c r="C94" s="39">
        <v>0.75</v>
      </c>
      <c r="D94" s="46">
        <v>0.4</v>
      </c>
      <c r="E94" s="46">
        <f>B28</f>
        <v>382</v>
      </c>
      <c r="F94" s="53">
        <v>0</v>
      </c>
      <c r="G94" s="46">
        <f>ROUND(B94*C94*D94*E94,2)</f>
        <v>85.95</v>
      </c>
    </row>
    <row r="95" spans="1:7" ht="16.5">
      <c r="A95" s="37" t="s">
        <v>66</v>
      </c>
      <c r="B95" s="39">
        <v>0.15</v>
      </c>
      <c r="C95" s="39">
        <v>1646.71</v>
      </c>
      <c r="D95" s="39">
        <v>0.25</v>
      </c>
      <c r="E95" s="46">
        <v>1</v>
      </c>
      <c r="F95" s="53">
        <v>0.05</v>
      </c>
      <c r="G95" s="46">
        <f>ROUND((B95*C95*D95*E95)-(B95*C95*D95*E95*F95),2)</f>
        <v>58.66</v>
      </c>
    </row>
    <row r="96" spans="1:7" ht="16.5">
      <c r="A96" s="37"/>
      <c r="B96" s="39"/>
      <c r="C96" s="40"/>
      <c r="F96" s="47" t="s">
        <v>158</v>
      </c>
      <c r="G96" s="48">
        <f>SUM(G94:G95)</f>
        <v>144.61000000000001</v>
      </c>
    </row>
    <row r="97" spans="1:7" ht="16.5">
      <c r="A97" s="37"/>
      <c r="B97" s="39"/>
      <c r="C97" s="40"/>
      <c r="D97" s="40"/>
      <c r="E97" s="47"/>
      <c r="F97" s="48"/>
    </row>
    <row r="98" spans="1:7" ht="16.5">
      <c r="A98" s="252" t="s">
        <v>216</v>
      </c>
      <c r="B98" s="252" t="s">
        <v>213</v>
      </c>
      <c r="C98" s="252" t="s">
        <v>214</v>
      </c>
      <c r="D98" s="252" t="s">
        <v>183</v>
      </c>
      <c r="E98" s="252" t="s">
        <v>200</v>
      </c>
      <c r="F98" s="252" t="s">
        <v>215</v>
      </c>
      <c r="G98" s="252" t="s">
        <v>201</v>
      </c>
    </row>
    <row r="99" spans="1:7" ht="16.5">
      <c r="A99" s="37" t="s">
        <v>217</v>
      </c>
      <c r="B99" s="39">
        <v>0.15</v>
      </c>
      <c r="C99" s="39">
        <v>1646.71</v>
      </c>
      <c r="D99" s="39">
        <v>1</v>
      </c>
      <c r="E99" s="46">
        <v>1</v>
      </c>
      <c r="F99" s="53">
        <v>0.05</v>
      </c>
      <c r="G99" s="46">
        <f>ROUND((B99*C99*D99*E99)-(B99*C99*D99*E99*F99),2)</f>
        <v>234.66</v>
      </c>
    </row>
    <row r="100" spans="1:7" ht="16.5">
      <c r="A100" s="37" t="s">
        <v>218</v>
      </c>
      <c r="B100" s="39">
        <v>0.25</v>
      </c>
      <c r="C100" s="39">
        <v>1646.71</v>
      </c>
      <c r="D100" s="39">
        <v>1</v>
      </c>
      <c r="E100" s="46">
        <v>2</v>
      </c>
      <c r="F100" s="53">
        <v>0.05</v>
      </c>
      <c r="G100" s="46">
        <f>ROUND((B100*C100*D100*E100)-(B100*C100*D100*E100*F100),2)</f>
        <v>782.19</v>
      </c>
    </row>
    <row r="101" spans="1:7" ht="16.5">
      <c r="A101" s="37"/>
      <c r="B101" s="39"/>
      <c r="C101" s="40"/>
      <c r="F101" s="47" t="s">
        <v>158</v>
      </c>
      <c r="G101" s="48">
        <f>SUM(G99:G100)</f>
        <v>1016.85</v>
      </c>
    </row>
    <row r="103" spans="1:7" ht="16.5">
      <c r="A103" s="252" t="s">
        <v>199</v>
      </c>
      <c r="B103" s="252" t="s">
        <v>213</v>
      </c>
      <c r="C103" s="252" t="s">
        <v>214</v>
      </c>
      <c r="D103" s="252" t="s">
        <v>183</v>
      </c>
      <c r="E103" s="252" t="s">
        <v>200</v>
      </c>
      <c r="F103" s="252" t="s">
        <v>215</v>
      </c>
      <c r="G103" s="252" t="s">
        <v>201</v>
      </c>
    </row>
    <row r="104" spans="1:7" ht="16.5">
      <c r="A104" s="37" t="s">
        <v>219</v>
      </c>
      <c r="B104" s="39">
        <f>0.15*2</f>
        <v>0.3</v>
      </c>
      <c r="C104" s="39">
        <f>0.25*2</f>
        <v>0.5</v>
      </c>
      <c r="D104" s="39">
        <v>4</v>
      </c>
      <c r="E104" s="46">
        <f>B28</f>
        <v>382</v>
      </c>
      <c r="F104" s="53">
        <v>0</v>
      </c>
      <c r="G104" s="46">
        <f>ROUND((B104*C104*D104*E104)-(B104*C104*D104*E104*F104),2)</f>
        <v>229.2</v>
      </c>
    </row>
    <row r="105" spans="1:7" ht="16.5">
      <c r="A105" s="37" t="s">
        <v>220</v>
      </c>
      <c r="B105" s="39">
        <v>0.15</v>
      </c>
      <c r="C105" s="39">
        <v>1646.71</v>
      </c>
      <c r="D105" s="39">
        <v>0.25</v>
      </c>
      <c r="E105" s="46">
        <v>2</v>
      </c>
      <c r="F105" s="53">
        <v>0</v>
      </c>
      <c r="G105" s="46">
        <f>ROUND((B105*C105*D105*E105)-(B105*C105*D105*E105*F105),2)</f>
        <v>123.5</v>
      </c>
    </row>
    <row r="106" spans="1:7" ht="16.5">
      <c r="A106" s="37" t="s">
        <v>169</v>
      </c>
      <c r="B106" s="39">
        <f>(13.5*2+3.5*2)*1</f>
        <v>34</v>
      </c>
      <c r="C106" s="39"/>
      <c r="D106" s="39"/>
      <c r="E106" s="46"/>
      <c r="F106" s="53"/>
      <c r="G106" s="46">
        <f>B106</f>
        <v>34</v>
      </c>
    </row>
    <row r="107" spans="1:7" ht="16.5">
      <c r="A107" s="37"/>
      <c r="B107" s="39"/>
      <c r="C107" s="40"/>
      <c r="F107" s="47" t="s">
        <v>221</v>
      </c>
      <c r="G107" s="48">
        <f>SUM(G104:G105)</f>
        <v>352.7</v>
      </c>
    </row>
    <row r="108" spans="1:7" ht="16.5">
      <c r="A108" s="37"/>
      <c r="B108" s="39"/>
      <c r="C108" s="40"/>
      <c r="F108" s="47" t="s">
        <v>222</v>
      </c>
      <c r="G108" s="48">
        <f>G106</f>
        <v>34</v>
      </c>
    </row>
    <row r="109" spans="1:7" ht="16.5">
      <c r="A109" s="37"/>
      <c r="B109" s="39"/>
      <c r="C109" s="40"/>
      <c r="F109" s="47" t="s">
        <v>223</v>
      </c>
      <c r="G109" s="48">
        <f>G108</f>
        <v>34</v>
      </c>
    </row>
    <row r="111" spans="1:7" ht="16.5">
      <c r="A111" s="252" t="s">
        <v>204</v>
      </c>
      <c r="B111" s="252" t="s">
        <v>181</v>
      </c>
      <c r="C111" s="252" t="s">
        <v>200</v>
      </c>
      <c r="D111" s="252" t="s">
        <v>116</v>
      </c>
      <c r="E111" s="252" t="s">
        <v>205</v>
      </c>
      <c r="F111" s="252" t="s">
        <v>206</v>
      </c>
    </row>
    <row r="112" spans="1:7" ht="16.5">
      <c r="A112" s="37" t="s">
        <v>224</v>
      </c>
      <c r="B112" s="39">
        <f>4*4</f>
        <v>16</v>
      </c>
      <c r="C112" s="39">
        <v>382</v>
      </c>
      <c r="D112" s="39">
        <v>0.61199999999999999</v>
      </c>
      <c r="E112" s="50">
        <v>0.1</v>
      </c>
      <c r="F112" s="39">
        <f>ROUND((B112*C112*D112)+(B112*C112*D112*E112),2)</f>
        <v>4114.6000000000004</v>
      </c>
    </row>
    <row r="113" spans="1:7" ht="16.5">
      <c r="A113" s="37" t="s">
        <v>225</v>
      </c>
      <c r="B113" s="39">
        <v>0.85</v>
      </c>
      <c r="C113" s="39">
        <f>(4/0.1)*382</f>
        <v>15280</v>
      </c>
      <c r="D113" s="39">
        <v>0.15</v>
      </c>
      <c r="E113" s="50">
        <v>0.1</v>
      </c>
      <c r="F113" s="39">
        <f>ROUND((B113*C113*D113)+(B113*C113*D113*E113),2)</f>
        <v>2143.02</v>
      </c>
    </row>
    <row r="114" spans="1:7" ht="16.5">
      <c r="A114" s="37" t="s">
        <v>208</v>
      </c>
      <c r="B114" s="39">
        <v>1621.86</v>
      </c>
      <c r="C114" s="39">
        <v>4</v>
      </c>
      <c r="D114" s="39">
        <v>0.61199999999999999</v>
      </c>
      <c r="E114" s="50">
        <v>0.1</v>
      </c>
      <c r="F114" s="39">
        <f>ROUND((B114*C114*D114)+(B114*C114*D114*E114),2)</f>
        <v>4367.34</v>
      </c>
    </row>
    <row r="115" spans="1:7" ht="16.5">
      <c r="A115" s="37" t="s">
        <v>209</v>
      </c>
      <c r="B115" s="39">
        <v>0.85</v>
      </c>
      <c r="C115" s="39">
        <f>ROUND(B114/0.15,2)</f>
        <v>10812.4</v>
      </c>
      <c r="D115" s="39">
        <v>0.15</v>
      </c>
      <c r="E115" s="50">
        <v>0.1</v>
      </c>
      <c r="F115" s="39">
        <f>ROUND((B115*C115*D115)+(B115*C115*D115*E115),2)</f>
        <v>1516.44</v>
      </c>
    </row>
    <row r="116" spans="1:7" ht="16.5">
      <c r="A116" s="37" t="s">
        <v>169</v>
      </c>
      <c r="B116" s="39">
        <f>(1/0.1)*4</f>
        <v>40</v>
      </c>
      <c r="C116" s="39">
        <f>(3.5*13.5)+(13.5*2+3.5*2)*1</f>
        <v>81.25</v>
      </c>
      <c r="D116" s="39">
        <v>0.61199999999999999</v>
      </c>
      <c r="E116" s="50">
        <v>0.1</v>
      </c>
      <c r="F116" s="39">
        <f>ROUND((B116*C116*D116)+(B116*C116*D116*E116),2)</f>
        <v>2187.9</v>
      </c>
      <c r="G116" s="37" t="s">
        <v>226</v>
      </c>
    </row>
    <row r="117" spans="1:7" ht="16.5">
      <c r="A117" s="37"/>
      <c r="B117" s="39"/>
      <c r="C117" s="40"/>
      <c r="D117" s="40"/>
      <c r="E117" s="51" t="s">
        <v>210</v>
      </c>
      <c r="F117" s="48">
        <f>F112+F114+F116</f>
        <v>10669.84</v>
      </c>
    </row>
    <row r="118" spans="1:7" ht="16.5">
      <c r="A118" s="37"/>
      <c r="B118" s="39"/>
      <c r="C118" s="40"/>
      <c r="D118" s="40"/>
      <c r="E118" s="51" t="s">
        <v>211</v>
      </c>
      <c r="F118" s="48">
        <f>F115+F113</f>
        <v>3659.46</v>
      </c>
    </row>
    <row r="120" spans="1:7" ht="16.5">
      <c r="A120" s="252" t="s">
        <v>212</v>
      </c>
      <c r="B120" s="252" t="s">
        <v>213</v>
      </c>
      <c r="C120" s="252" t="s">
        <v>214</v>
      </c>
      <c r="D120" s="252" t="s">
        <v>183</v>
      </c>
      <c r="E120" s="252" t="s">
        <v>200</v>
      </c>
      <c r="F120" s="252" t="s">
        <v>215</v>
      </c>
      <c r="G120" s="252" t="s">
        <v>201</v>
      </c>
    </row>
    <row r="121" spans="1:7" ht="16.5">
      <c r="A121" s="37" t="s">
        <v>219</v>
      </c>
      <c r="B121" s="39">
        <v>0.15</v>
      </c>
      <c r="C121" s="39">
        <v>0.25</v>
      </c>
      <c r="D121" s="46">
        <v>4</v>
      </c>
      <c r="E121" s="46">
        <v>382</v>
      </c>
      <c r="F121" s="53">
        <v>0</v>
      </c>
      <c r="G121" s="46">
        <f>ROUND(B121*C121*D121*E121,2)</f>
        <v>57.3</v>
      </c>
    </row>
    <row r="122" spans="1:7" ht="16.5">
      <c r="A122" s="37" t="s">
        <v>66</v>
      </c>
      <c r="B122" s="39">
        <v>0.15</v>
      </c>
      <c r="C122" s="39">
        <v>1646.71</v>
      </c>
      <c r="D122" s="39">
        <v>0.25</v>
      </c>
      <c r="E122" s="46">
        <v>1</v>
      </c>
      <c r="F122" s="53">
        <v>0</v>
      </c>
      <c r="G122" s="46">
        <f>ROUND((B122*C122*D122*E122)-(B122*C122*D122*E122*F122),2)</f>
        <v>61.75</v>
      </c>
    </row>
    <row r="123" spans="1:7" ht="16.5">
      <c r="A123" s="37" t="s">
        <v>169</v>
      </c>
      <c r="B123" s="39">
        <f>((3.5*13.5)+(13.5*2+3.5*2)*1)*0.1</f>
        <v>8.125</v>
      </c>
      <c r="C123" s="39"/>
      <c r="D123" s="39"/>
      <c r="E123" s="46"/>
      <c r="F123" s="53">
        <v>0</v>
      </c>
      <c r="G123" s="46">
        <f>B123</f>
        <v>8.125</v>
      </c>
    </row>
    <row r="124" spans="1:7" ht="16.5">
      <c r="A124" s="37"/>
      <c r="B124" s="39"/>
      <c r="C124" s="40"/>
      <c r="F124" s="47" t="s">
        <v>158</v>
      </c>
      <c r="G124" s="48">
        <f>SUM(G121:G123)</f>
        <v>127.175</v>
      </c>
    </row>
    <row r="125" spans="1:7" ht="16.5">
      <c r="A125" s="37"/>
      <c r="B125" s="39"/>
      <c r="C125" s="40"/>
      <c r="D125" s="40"/>
      <c r="E125" s="47"/>
      <c r="F125" s="48"/>
    </row>
    <row r="126" spans="1:7" ht="16.5">
      <c r="A126" s="252" t="s">
        <v>227</v>
      </c>
      <c r="B126" s="252" t="s">
        <v>213</v>
      </c>
      <c r="C126" s="252" t="s">
        <v>214</v>
      </c>
      <c r="D126" s="252" t="s">
        <v>183</v>
      </c>
      <c r="E126" s="252" t="s">
        <v>200</v>
      </c>
      <c r="F126" s="252" t="s">
        <v>215</v>
      </c>
      <c r="G126" s="252" t="s">
        <v>201</v>
      </c>
    </row>
    <row r="127" spans="1:7" ht="16.5">
      <c r="A127" s="37" t="s">
        <v>169</v>
      </c>
      <c r="B127" s="39">
        <v>3.5</v>
      </c>
      <c r="C127" s="39">
        <v>13.5</v>
      </c>
      <c r="D127" s="39">
        <v>1</v>
      </c>
      <c r="E127" s="46">
        <v>1</v>
      </c>
      <c r="F127" s="53">
        <v>0</v>
      </c>
      <c r="G127" s="46">
        <f>ROUND(B127*C127*D127*E127,2)</f>
        <v>47.25</v>
      </c>
    </row>
    <row r="128" spans="1:7" ht="16.5">
      <c r="A128" s="37"/>
      <c r="B128" s="39">
        <v>3.5</v>
      </c>
      <c r="C128" s="39">
        <v>1</v>
      </c>
      <c r="D128" s="39">
        <v>1</v>
      </c>
      <c r="E128" s="46">
        <v>2</v>
      </c>
      <c r="F128" s="53">
        <v>0</v>
      </c>
      <c r="G128" s="46">
        <f>ROUND(B128*C128*D128*E128,2)</f>
        <v>7</v>
      </c>
    </row>
    <row r="129" spans="1:7" ht="16.5">
      <c r="A129" s="37"/>
      <c r="B129" s="39">
        <v>13.5</v>
      </c>
      <c r="C129" s="39">
        <v>1</v>
      </c>
      <c r="D129" s="39">
        <v>1</v>
      </c>
      <c r="E129" s="46">
        <v>2</v>
      </c>
      <c r="F129" s="53">
        <v>0</v>
      </c>
      <c r="G129" s="46">
        <f>ROUND(B129*C129*D129*E129,2)</f>
        <v>27</v>
      </c>
    </row>
    <row r="130" spans="1:7" ht="16.5">
      <c r="A130" s="37"/>
      <c r="B130" s="39"/>
      <c r="C130" s="40"/>
      <c r="F130" s="47" t="s">
        <v>158</v>
      </c>
      <c r="G130" s="48">
        <f>SUM(G127:G129)</f>
        <v>81.25</v>
      </c>
    </row>
    <row r="131" spans="1:7" ht="16.5">
      <c r="A131" s="37"/>
      <c r="B131" s="39"/>
      <c r="C131" s="40"/>
      <c r="D131" s="40"/>
      <c r="E131" s="47"/>
      <c r="F131" s="48"/>
    </row>
    <row r="132" spans="1:7" ht="16.5">
      <c r="A132" s="252" t="s">
        <v>228</v>
      </c>
      <c r="B132" s="252" t="s">
        <v>181</v>
      </c>
      <c r="C132" s="252" t="s">
        <v>183</v>
      </c>
      <c r="D132" s="252" t="s">
        <v>229</v>
      </c>
      <c r="E132" s="47"/>
      <c r="F132" s="48"/>
    </row>
    <row r="133" spans="1:7" ht="16.5">
      <c r="A133" s="37" t="s">
        <v>164</v>
      </c>
      <c r="B133" s="39">
        <v>942.94</v>
      </c>
      <c r="C133" s="39">
        <v>4</v>
      </c>
      <c r="D133" s="39">
        <f t="shared" ref="D133:D138" si="7">ROUND(B133*C133,2)</f>
        <v>3771.76</v>
      </c>
      <c r="E133" s="47"/>
      <c r="F133" s="48"/>
    </row>
    <row r="134" spans="1:7" ht="16.5">
      <c r="A134" s="37" t="s">
        <v>33</v>
      </c>
      <c r="B134" s="39">
        <v>51.3</v>
      </c>
      <c r="C134" s="39">
        <v>4</v>
      </c>
      <c r="D134" s="39">
        <f t="shared" si="7"/>
        <v>205.2</v>
      </c>
    </row>
    <row r="135" spans="1:7" ht="16.5">
      <c r="A135" s="37" t="s">
        <v>165</v>
      </c>
      <c r="B135" s="39">
        <v>31.26</v>
      </c>
      <c r="C135" s="39">
        <v>4</v>
      </c>
      <c r="D135" s="39">
        <f t="shared" si="7"/>
        <v>125.04</v>
      </c>
    </row>
    <row r="136" spans="1:7" ht="16.5">
      <c r="A136" s="37" t="s">
        <v>166</v>
      </c>
      <c r="B136" s="39">
        <v>362.12</v>
      </c>
      <c r="C136" s="39">
        <v>4</v>
      </c>
      <c r="D136" s="39">
        <f t="shared" si="7"/>
        <v>1448.48</v>
      </c>
    </row>
    <row r="137" spans="1:7" ht="16.5">
      <c r="A137" s="37" t="s">
        <v>167</v>
      </c>
      <c r="B137" s="39">
        <v>4.93</v>
      </c>
      <c r="C137" s="39">
        <v>4</v>
      </c>
      <c r="D137" s="39">
        <f t="shared" si="7"/>
        <v>19.72</v>
      </c>
    </row>
    <row r="138" spans="1:7" ht="16.5">
      <c r="A138" s="37" t="s">
        <v>168</v>
      </c>
      <c r="B138" s="39">
        <v>229.31</v>
      </c>
      <c r="C138" s="39">
        <v>4</v>
      </c>
      <c r="D138" s="39">
        <f t="shared" si="7"/>
        <v>917.24</v>
      </c>
    </row>
    <row r="139" spans="1:7" ht="16.5">
      <c r="A139" s="37"/>
      <c r="B139" s="37"/>
      <c r="C139" s="47" t="s">
        <v>158</v>
      </c>
      <c r="D139" s="38">
        <f>SUM(D133:D138)</f>
        <v>6487.44</v>
      </c>
    </row>
    <row r="141" spans="1:7" ht="16.5">
      <c r="A141" s="252" t="s">
        <v>230</v>
      </c>
      <c r="B141" s="252" t="s">
        <v>181</v>
      </c>
      <c r="C141" s="252" t="s">
        <v>183</v>
      </c>
      <c r="D141" s="252" t="s">
        <v>229</v>
      </c>
      <c r="E141" s="252" t="s">
        <v>231</v>
      </c>
      <c r="F141" s="252" t="s">
        <v>158</v>
      </c>
    </row>
    <row r="142" spans="1:7" ht="16.5">
      <c r="A142" s="37" t="s">
        <v>164</v>
      </c>
      <c r="B142" s="39">
        <v>942.94</v>
      </c>
      <c r="C142" s="39">
        <v>4</v>
      </c>
      <c r="D142" s="39">
        <f>ROUND(B142*C142,2)</f>
        <v>3771.76</v>
      </c>
      <c r="E142" s="39">
        <v>2</v>
      </c>
      <c r="F142" s="39">
        <f>ROUND(D142*E142,2)</f>
        <v>7543.52</v>
      </c>
    </row>
    <row r="143" spans="1:7" ht="16.5">
      <c r="A143" s="37" t="s">
        <v>33</v>
      </c>
      <c r="B143" s="39">
        <v>51.3</v>
      </c>
      <c r="C143" s="39">
        <v>4</v>
      </c>
      <c r="D143" s="39">
        <f t="shared" ref="D143:D147" si="8">ROUND(B143*C143,2)</f>
        <v>205.2</v>
      </c>
      <c r="E143" s="39">
        <v>2</v>
      </c>
      <c r="F143" s="39">
        <f t="shared" ref="F143:F147" si="9">ROUND(D143*E143,2)</f>
        <v>410.4</v>
      </c>
    </row>
    <row r="144" spans="1:7" ht="16.5">
      <c r="A144" s="37" t="s">
        <v>165</v>
      </c>
      <c r="B144" s="39">
        <v>31.26</v>
      </c>
      <c r="C144" s="39">
        <v>4</v>
      </c>
      <c r="D144" s="39">
        <f t="shared" si="8"/>
        <v>125.04</v>
      </c>
      <c r="E144" s="39">
        <v>2</v>
      </c>
      <c r="F144" s="39">
        <f t="shared" si="9"/>
        <v>250.08</v>
      </c>
    </row>
    <row r="145" spans="1:11" ht="16.5">
      <c r="A145" s="37" t="s">
        <v>166</v>
      </c>
      <c r="B145" s="39">
        <v>362.12</v>
      </c>
      <c r="C145" s="39">
        <v>4</v>
      </c>
      <c r="D145" s="39">
        <f t="shared" si="8"/>
        <v>1448.48</v>
      </c>
      <c r="E145" s="39">
        <v>2</v>
      </c>
      <c r="F145" s="39">
        <f t="shared" si="9"/>
        <v>2896.96</v>
      </c>
    </row>
    <row r="146" spans="1:11" ht="16.5">
      <c r="A146" s="37" t="s">
        <v>167</v>
      </c>
      <c r="B146" s="39">
        <v>4.93</v>
      </c>
      <c r="C146" s="39">
        <v>4</v>
      </c>
      <c r="D146" s="39">
        <f t="shared" si="8"/>
        <v>19.72</v>
      </c>
      <c r="E146" s="39">
        <v>2</v>
      </c>
      <c r="F146" s="39">
        <f t="shared" si="9"/>
        <v>39.44</v>
      </c>
    </row>
    <row r="147" spans="1:11" ht="16.5">
      <c r="A147" s="37" t="s">
        <v>168</v>
      </c>
      <c r="B147" s="39">
        <v>229.31</v>
      </c>
      <c r="C147" s="39">
        <v>4</v>
      </c>
      <c r="D147" s="39">
        <f t="shared" si="8"/>
        <v>917.24</v>
      </c>
      <c r="E147" s="39">
        <v>2</v>
      </c>
      <c r="F147" s="39">
        <f t="shared" si="9"/>
        <v>1834.48</v>
      </c>
    </row>
    <row r="148" spans="1:11" ht="16.5">
      <c r="B148" s="37">
        <f>SUM(B142:B147)</f>
        <v>1621.86</v>
      </c>
      <c r="C148" s="36"/>
      <c r="D148" s="38"/>
      <c r="E148" s="47" t="s">
        <v>158</v>
      </c>
      <c r="F148" s="38">
        <f>SUM(F142:F147)</f>
        <v>12974.88</v>
      </c>
    </row>
    <row r="150" spans="1:11" ht="16.5">
      <c r="A150" s="252" t="s">
        <v>232</v>
      </c>
      <c r="B150" s="252" t="s">
        <v>181</v>
      </c>
      <c r="C150" s="252" t="s">
        <v>183</v>
      </c>
      <c r="D150" s="252" t="s">
        <v>229</v>
      </c>
      <c r="E150" s="252" t="s">
        <v>231</v>
      </c>
      <c r="F150" s="252" t="s">
        <v>158</v>
      </c>
    </row>
    <row r="151" spans="1:11" ht="16.5">
      <c r="A151" s="37" t="s">
        <v>164</v>
      </c>
      <c r="B151" s="37">
        <v>942.94</v>
      </c>
      <c r="C151" s="39">
        <v>4</v>
      </c>
      <c r="D151" s="39">
        <f>ROUND(B151*C151,2)</f>
        <v>3771.76</v>
      </c>
      <c r="E151" s="39">
        <v>2</v>
      </c>
      <c r="F151" s="39">
        <f>ROUND(D151*E151,2)</f>
        <v>7543.52</v>
      </c>
    </row>
    <row r="152" spans="1:11" ht="16.5">
      <c r="A152" s="37" t="s">
        <v>33</v>
      </c>
      <c r="B152" s="37">
        <v>51.3</v>
      </c>
      <c r="C152" s="39">
        <v>4</v>
      </c>
      <c r="D152" s="39">
        <f t="shared" ref="D152:D156" si="10">ROUND(B152*C152,2)</f>
        <v>205.2</v>
      </c>
      <c r="E152" s="39">
        <v>2</v>
      </c>
      <c r="F152" s="39">
        <f t="shared" ref="F152:F156" si="11">ROUND(D152*E152,2)</f>
        <v>410.4</v>
      </c>
    </row>
    <row r="153" spans="1:11" ht="16.5">
      <c r="A153" s="37" t="s">
        <v>165</v>
      </c>
      <c r="B153" s="37">
        <v>31.26</v>
      </c>
      <c r="C153" s="39">
        <v>4</v>
      </c>
      <c r="D153" s="39">
        <f t="shared" si="10"/>
        <v>125.04</v>
      </c>
      <c r="E153" s="39">
        <v>2</v>
      </c>
      <c r="F153" s="39">
        <f t="shared" si="11"/>
        <v>250.08</v>
      </c>
    </row>
    <row r="154" spans="1:11" ht="16.5">
      <c r="A154" s="37" t="s">
        <v>166</v>
      </c>
      <c r="B154" s="37">
        <v>362.12</v>
      </c>
      <c r="C154" s="39">
        <v>4</v>
      </c>
      <c r="D154" s="39">
        <f t="shared" si="10"/>
        <v>1448.48</v>
      </c>
      <c r="E154" s="39">
        <v>2</v>
      </c>
      <c r="F154" s="39">
        <f t="shared" si="11"/>
        <v>2896.96</v>
      </c>
    </row>
    <row r="155" spans="1:11" ht="16.5">
      <c r="A155" s="37" t="s">
        <v>167</v>
      </c>
      <c r="B155" s="37">
        <v>4.93</v>
      </c>
      <c r="C155" s="39">
        <v>4</v>
      </c>
      <c r="D155" s="39">
        <f t="shared" si="10"/>
        <v>19.72</v>
      </c>
      <c r="E155" s="39">
        <v>2</v>
      </c>
      <c r="F155" s="39">
        <f t="shared" si="11"/>
        <v>39.44</v>
      </c>
    </row>
    <row r="156" spans="1:11" ht="16.5">
      <c r="A156" s="37" t="s">
        <v>168</v>
      </c>
      <c r="B156" s="37">
        <v>0</v>
      </c>
      <c r="C156" s="39">
        <v>4</v>
      </c>
      <c r="D156" s="39">
        <f t="shared" si="10"/>
        <v>0</v>
      </c>
      <c r="E156" s="39">
        <v>2</v>
      </c>
      <c r="F156" s="39">
        <f t="shared" si="11"/>
        <v>0</v>
      </c>
      <c r="G156" s="52" t="s">
        <v>233</v>
      </c>
    </row>
    <row r="157" spans="1:11" ht="16.5">
      <c r="B157" s="37"/>
      <c r="C157" s="36"/>
      <c r="D157" s="38"/>
      <c r="E157" s="47" t="s">
        <v>158</v>
      </c>
      <c r="F157" s="38">
        <f>SUM(F151:F156)</f>
        <v>11140.4</v>
      </c>
    </row>
    <row r="159" spans="1:11" ht="16.5">
      <c r="A159" s="252" t="s">
        <v>234</v>
      </c>
      <c r="B159" s="252" t="s">
        <v>235</v>
      </c>
      <c r="C159" s="252" t="s">
        <v>236</v>
      </c>
      <c r="D159" s="252" t="s">
        <v>237</v>
      </c>
      <c r="E159" s="252" t="s">
        <v>238</v>
      </c>
      <c r="F159" s="252" t="s">
        <v>239</v>
      </c>
      <c r="G159" s="252" t="s">
        <v>240</v>
      </c>
      <c r="H159" s="252" t="s">
        <v>241</v>
      </c>
    </row>
    <row r="160" spans="1:11" ht="16.5" customHeight="1">
      <c r="A160" s="37" t="s">
        <v>164</v>
      </c>
      <c r="B160" s="39">
        <f>(286.77+286.77+314.18+206.6)</f>
        <v>1094.32</v>
      </c>
      <c r="C160" s="39">
        <f>(341.22+341.22+366.53+241.1)</f>
        <v>1290.07</v>
      </c>
      <c r="D160" s="39">
        <v>1.097</v>
      </c>
      <c r="E160" s="39">
        <f>C160*D160</f>
        <v>1415.20679</v>
      </c>
      <c r="F160" s="39">
        <f>C160*D160</f>
        <v>1415.20679</v>
      </c>
      <c r="G160" s="39"/>
      <c r="H160" s="39"/>
      <c r="I160" s="52" t="s">
        <v>242</v>
      </c>
      <c r="J160" s="52"/>
      <c r="K160" s="52"/>
    </row>
    <row r="161" spans="1:18" ht="16.5">
      <c r="A161" s="37" t="s">
        <v>33</v>
      </c>
      <c r="B161" s="39">
        <v>66.98</v>
      </c>
      <c r="C161" s="39">
        <v>85.28</v>
      </c>
      <c r="D161" s="39">
        <v>1.097</v>
      </c>
      <c r="E161" s="39">
        <f t="shared" ref="E161:E165" si="12">C161*D161</f>
        <v>93.552160000000001</v>
      </c>
      <c r="F161" s="39">
        <f t="shared" ref="F161:F165" si="13">C161*D161</f>
        <v>93.552160000000001</v>
      </c>
      <c r="G161" s="39"/>
      <c r="H161" s="39"/>
    </row>
    <row r="162" spans="1:18" ht="16.5">
      <c r="A162" s="37" t="s">
        <v>165</v>
      </c>
      <c r="B162" s="39">
        <v>25.54</v>
      </c>
      <c r="C162" s="39">
        <v>38.24</v>
      </c>
      <c r="D162" s="39">
        <v>1.097</v>
      </c>
      <c r="E162" s="39">
        <f t="shared" si="12"/>
        <v>41.949280000000002</v>
      </c>
      <c r="F162" s="39">
        <f t="shared" si="13"/>
        <v>41.949280000000002</v>
      </c>
      <c r="G162" s="39"/>
      <c r="H162" s="39"/>
    </row>
    <row r="163" spans="1:18" ht="16.5">
      <c r="A163" s="37" t="s">
        <v>166</v>
      </c>
      <c r="B163" s="39">
        <f>(707.98+43.7)</f>
        <v>751.68000000000006</v>
      </c>
      <c r="C163" s="39">
        <f>(787.83+60.73)</f>
        <v>848.56000000000006</v>
      </c>
      <c r="D163" s="39">
        <v>1.097</v>
      </c>
      <c r="E163" s="39">
        <f t="shared" si="12"/>
        <v>930.87031999999999</v>
      </c>
      <c r="F163" s="39">
        <f t="shared" si="13"/>
        <v>930.87031999999999</v>
      </c>
      <c r="G163" s="39"/>
      <c r="H163" s="39"/>
    </row>
    <row r="164" spans="1:18" ht="16.5">
      <c r="A164" s="37" t="s">
        <v>167</v>
      </c>
      <c r="B164" s="39">
        <v>7.11</v>
      </c>
      <c r="C164" s="39">
        <v>14.68</v>
      </c>
      <c r="D164" s="39">
        <v>1.097</v>
      </c>
      <c r="E164" s="39">
        <f t="shared" si="12"/>
        <v>16.103960000000001</v>
      </c>
      <c r="F164" s="39">
        <f t="shared" si="13"/>
        <v>16.103960000000001</v>
      </c>
      <c r="G164" s="39"/>
      <c r="H164" s="39"/>
    </row>
    <row r="165" spans="1:18" ht="16.5">
      <c r="A165" s="37" t="s">
        <v>23</v>
      </c>
      <c r="B165" s="39">
        <v>4.8</v>
      </c>
      <c r="C165" s="39">
        <v>10.4</v>
      </c>
      <c r="D165" s="39">
        <v>1.097</v>
      </c>
      <c r="E165" s="39">
        <f t="shared" si="12"/>
        <v>11.408799999999999</v>
      </c>
      <c r="F165" s="39">
        <f t="shared" si="13"/>
        <v>11.408799999999999</v>
      </c>
      <c r="G165" s="39"/>
      <c r="H165" s="39"/>
    </row>
    <row r="166" spans="1:18" ht="16.5">
      <c r="B166" s="38">
        <f>SUM(B160:B165)</f>
        <v>1950.4299999999998</v>
      </c>
      <c r="C166" s="38">
        <f>SUM(C160:C165)</f>
        <v>2287.23</v>
      </c>
      <c r="E166" s="38">
        <f>SUM(E160:E165)</f>
        <v>2509.0913100000002</v>
      </c>
      <c r="F166" s="38">
        <f>SUM(F160:F165)</f>
        <v>2509.0913100000002</v>
      </c>
      <c r="G166" s="38">
        <f>SUM(G160:G165)</f>
        <v>0</v>
      </c>
      <c r="H166" s="38">
        <f>SUM(H160:H165)</f>
        <v>0</v>
      </c>
    </row>
    <row r="169" spans="1:18" ht="16.5">
      <c r="A169" s="252" t="s">
        <v>81</v>
      </c>
      <c r="B169" s="252"/>
      <c r="C169" s="252" t="s">
        <v>243</v>
      </c>
      <c r="D169" s="252" t="s">
        <v>164</v>
      </c>
      <c r="E169" s="252" t="s">
        <v>158</v>
      </c>
      <c r="F169" s="252" t="s">
        <v>243</v>
      </c>
      <c r="G169" s="252" t="s">
        <v>33</v>
      </c>
      <c r="H169" s="252" t="s">
        <v>158</v>
      </c>
      <c r="I169" s="252" t="s">
        <v>243</v>
      </c>
      <c r="J169" s="252" t="s">
        <v>244</v>
      </c>
      <c r="K169" s="252" t="s">
        <v>158</v>
      </c>
      <c r="L169" s="252" t="s">
        <v>243</v>
      </c>
      <c r="M169" s="252" t="s">
        <v>169</v>
      </c>
      <c r="N169" s="252" t="s">
        <v>158</v>
      </c>
      <c r="O169" s="252" t="s">
        <v>245</v>
      </c>
      <c r="P169" s="252"/>
      <c r="Q169" s="252"/>
      <c r="R169" s="252"/>
    </row>
    <row r="170" spans="1:18" ht="16.5">
      <c r="A170" s="37" t="s">
        <v>246</v>
      </c>
      <c r="B170" s="39" t="s">
        <v>104</v>
      </c>
      <c r="C170" s="39">
        <v>0</v>
      </c>
      <c r="D170" s="39">
        <v>52</v>
      </c>
      <c r="E170" s="39">
        <f>ROUND(C170*D170,2)</f>
        <v>0</v>
      </c>
      <c r="F170" s="39">
        <v>0</v>
      </c>
      <c r="G170" s="39">
        <v>1</v>
      </c>
      <c r="H170" s="39">
        <f>ROUND(F170*G170,2)</f>
        <v>0</v>
      </c>
      <c r="I170" s="39">
        <v>0</v>
      </c>
      <c r="J170" s="39">
        <v>1</v>
      </c>
      <c r="K170" s="39">
        <f>ROUND(I170*J170,2)</f>
        <v>0</v>
      </c>
      <c r="L170" s="39">
        <v>0</v>
      </c>
      <c r="M170" s="39">
        <v>1</v>
      </c>
      <c r="N170" s="39">
        <f>ROUND(L170*M170,2)</f>
        <v>0</v>
      </c>
      <c r="O170" s="39">
        <f>E170+H170+K170+N170</f>
        <v>0</v>
      </c>
    </row>
    <row r="171" spans="1:18" ht="16.5">
      <c r="A171" s="37" t="s">
        <v>247</v>
      </c>
      <c r="B171" s="39" t="s">
        <v>104</v>
      </c>
      <c r="C171" s="39">
        <v>0</v>
      </c>
      <c r="D171" s="39">
        <v>52</v>
      </c>
      <c r="E171" s="39">
        <f t="shared" ref="E171:E210" si="14">ROUND(C171*D171,2)</f>
        <v>0</v>
      </c>
      <c r="F171" s="39">
        <v>0</v>
      </c>
      <c r="G171" s="39">
        <v>1</v>
      </c>
      <c r="H171" s="39">
        <f t="shared" ref="H171:H210" si="15">ROUND(F171*G171,2)</f>
        <v>0</v>
      </c>
      <c r="I171" s="39">
        <v>0</v>
      </c>
      <c r="J171" s="39">
        <v>1</v>
      </c>
      <c r="K171" s="39">
        <f t="shared" ref="K171:K210" si="16">ROUND(I171*J171,2)</f>
        <v>0</v>
      </c>
      <c r="L171" s="39">
        <v>0</v>
      </c>
      <c r="M171" s="39">
        <v>1</v>
      </c>
      <c r="N171" s="39">
        <f t="shared" ref="N171:N210" si="17">ROUND(L171*M171,2)</f>
        <v>0</v>
      </c>
      <c r="O171" s="39">
        <f t="shared" ref="O171:O210" si="18">E171+H171+K171+N171</f>
        <v>0</v>
      </c>
    </row>
    <row r="172" spans="1:18" ht="16.5">
      <c r="A172" s="37" t="s">
        <v>248</v>
      </c>
      <c r="B172" s="39" t="s">
        <v>104</v>
      </c>
      <c r="C172" s="39">
        <v>3.85</v>
      </c>
      <c r="D172" s="39">
        <v>52</v>
      </c>
      <c r="E172" s="39">
        <f>ROUND(C172*D172,2)</f>
        <v>200.2</v>
      </c>
      <c r="F172" s="39">
        <v>16.649999999999999</v>
      </c>
      <c r="G172" s="39">
        <v>1</v>
      </c>
      <c r="H172" s="39">
        <f t="shared" si="15"/>
        <v>16.649999999999999</v>
      </c>
      <c r="I172" s="39">
        <f>66.11+13*1.5</f>
        <v>85.61</v>
      </c>
      <c r="J172" s="39">
        <v>1</v>
      </c>
      <c r="K172" s="39">
        <f t="shared" si="16"/>
        <v>85.61</v>
      </c>
      <c r="L172" s="39">
        <v>0</v>
      </c>
      <c r="M172" s="39">
        <v>1</v>
      </c>
      <c r="N172" s="39">
        <f t="shared" si="17"/>
        <v>0</v>
      </c>
      <c r="O172" s="39">
        <f t="shared" si="18"/>
        <v>302.45999999999998</v>
      </c>
    </row>
    <row r="173" spans="1:18" ht="16.5">
      <c r="A173" s="37" t="s">
        <v>249</v>
      </c>
      <c r="B173" s="39" t="s">
        <v>104</v>
      </c>
      <c r="C173" s="39">
        <v>0</v>
      </c>
      <c r="D173" s="39">
        <v>52</v>
      </c>
      <c r="E173" s="39">
        <f t="shared" si="14"/>
        <v>0</v>
      </c>
      <c r="F173" s="39">
        <v>0</v>
      </c>
      <c r="G173" s="39">
        <v>1</v>
      </c>
      <c r="H173" s="39">
        <f t="shared" si="15"/>
        <v>0</v>
      </c>
      <c r="I173" s="39">
        <v>0</v>
      </c>
      <c r="J173" s="39">
        <v>1</v>
      </c>
      <c r="K173" s="39">
        <f t="shared" si="16"/>
        <v>0</v>
      </c>
      <c r="L173" s="39">
        <v>96</v>
      </c>
      <c r="M173" s="39">
        <v>1</v>
      </c>
      <c r="N173" s="39">
        <f t="shared" si="17"/>
        <v>96</v>
      </c>
      <c r="O173" s="39">
        <f t="shared" si="18"/>
        <v>96</v>
      </c>
    </row>
    <row r="174" spans="1:18" ht="16.5">
      <c r="A174" s="37" t="s">
        <v>250</v>
      </c>
      <c r="B174" s="39" t="s">
        <v>104</v>
      </c>
      <c r="C174" s="39">
        <v>3</v>
      </c>
      <c r="D174" s="39">
        <v>52</v>
      </c>
      <c r="E174" s="39">
        <f t="shared" si="14"/>
        <v>156</v>
      </c>
      <c r="F174" s="39">
        <v>9</v>
      </c>
      <c r="G174" s="39">
        <v>1</v>
      </c>
      <c r="H174" s="39">
        <f t="shared" si="15"/>
        <v>9</v>
      </c>
      <c r="I174" s="39">
        <v>76</v>
      </c>
      <c r="J174" s="39">
        <v>1</v>
      </c>
      <c r="K174" s="39">
        <f t="shared" si="16"/>
        <v>76</v>
      </c>
      <c r="L174" s="39">
        <v>0</v>
      </c>
      <c r="M174" s="39">
        <v>1</v>
      </c>
      <c r="N174" s="39">
        <f t="shared" si="17"/>
        <v>0</v>
      </c>
      <c r="O174" s="39">
        <f t="shared" si="18"/>
        <v>241</v>
      </c>
    </row>
    <row r="175" spans="1:18" ht="16.5">
      <c r="A175" s="37" t="s">
        <v>251</v>
      </c>
      <c r="B175" s="39" t="s">
        <v>104</v>
      </c>
      <c r="C175" s="39">
        <v>3.85</v>
      </c>
      <c r="D175" s="39">
        <v>52</v>
      </c>
      <c r="E175" s="39">
        <f t="shared" si="14"/>
        <v>200.2</v>
      </c>
      <c r="F175" s="39">
        <v>16.649999999999999</v>
      </c>
      <c r="G175" s="39">
        <v>1</v>
      </c>
      <c r="H175" s="39">
        <f t="shared" si="15"/>
        <v>16.649999999999999</v>
      </c>
      <c r="I175" s="39">
        <v>85.61</v>
      </c>
      <c r="J175" s="39">
        <v>1</v>
      </c>
      <c r="K175" s="39">
        <f t="shared" si="16"/>
        <v>85.61</v>
      </c>
      <c r="L175" s="39">
        <v>0</v>
      </c>
      <c r="M175" s="39">
        <v>1</v>
      </c>
      <c r="N175" s="39">
        <f t="shared" si="17"/>
        <v>0</v>
      </c>
      <c r="O175" s="39">
        <f t="shared" si="18"/>
        <v>302.45999999999998</v>
      </c>
    </row>
    <row r="176" spans="1:18" ht="16.5">
      <c r="A176" s="37" t="s">
        <v>252</v>
      </c>
      <c r="B176" s="39" t="s">
        <v>104</v>
      </c>
      <c r="C176" s="39">
        <v>0</v>
      </c>
      <c r="D176" s="39">
        <v>52</v>
      </c>
      <c r="E176" s="39">
        <f t="shared" si="14"/>
        <v>0</v>
      </c>
      <c r="F176" s="39">
        <v>0</v>
      </c>
      <c r="G176" s="39">
        <v>1</v>
      </c>
      <c r="H176" s="39">
        <f t="shared" si="15"/>
        <v>0</v>
      </c>
      <c r="I176" s="39">
        <v>0</v>
      </c>
      <c r="J176" s="39">
        <v>1</v>
      </c>
      <c r="K176" s="39">
        <f t="shared" si="16"/>
        <v>0</v>
      </c>
      <c r="L176" s="39">
        <v>0</v>
      </c>
      <c r="M176" s="39">
        <v>1</v>
      </c>
      <c r="N176" s="39">
        <f t="shared" si="17"/>
        <v>0</v>
      </c>
      <c r="O176" s="39">
        <f t="shared" si="18"/>
        <v>0</v>
      </c>
    </row>
    <row r="177" spans="1:17" ht="16.5">
      <c r="A177" s="37" t="s">
        <v>253</v>
      </c>
      <c r="B177" s="39" t="s">
        <v>151</v>
      </c>
      <c r="C177" s="39">
        <v>0</v>
      </c>
      <c r="D177" s="39">
        <v>52</v>
      </c>
      <c r="E177" s="39">
        <f t="shared" si="14"/>
        <v>0</v>
      </c>
      <c r="F177" s="39">
        <v>0</v>
      </c>
      <c r="G177" s="39">
        <v>1</v>
      </c>
      <c r="H177" s="39">
        <f t="shared" si="15"/>
        <v>0</v>
      </c>
      <c r="I177" s="39">
        <v>0</v>
      </c>
      <c r="J177" s="39">
        <v>1</v>
      </c>
      <c r="K177" s="39">
        <f t="shared" si="16"/>
        <v>0</v>
      </c>
      <c r="L177" s="39">
        <v>6</v>
      </c>
      <c r="M177" s="39">
        <v>1</v>
      </c>
      <c r="N177" s="39">
        <f t="shared" si="17"/>
        <v>6</v>
      </c>
      <c r="O177" s="39">
        <f t="shared" si="18"/>
        <v>6</v>
      </c>
    </row>
    <row r="178" spans="1:17" ht="16.5">
      <c r="A178" s="37" t="s">
        <v>254</v>
      </c>
      <c r="B178" s="39" t="s">
        <v>151</v>
      </c>
      <c r="C178" s="39">
        <v>1</v>
      </c>
      <c r="D178" s="39">
        <v>52</v>
      </c>
      <c r="E178" s="39">
        <f t="shared" si="14"/>
        <v>52</v>
      </c>
      <c r="F178" s="39">
        <v>1</v>
      </c>
      <c r="G178" s="39">
        <v>1</v>
      </c>
      <c r="H178" s="39">
        <f t="shared" si="15"/>
        <v>1</v>
      </c>
      <c r="I178" s="39">
        <v>12</v>
      </c>
      <c r="J178" s="39">
        <v>1</v>
      </c>
      <c r="K178" s="39">
        <f t="shared" si="16"/>
        <v>12</v>
      </c>
      <c r="L178" s="39">
        <v>0</v>
      </c>
      <c r="M178" s="39">
        <v>1</v>
      </c>
      <c r="N178" s="39">
        <f t="shared" si="17"/>
        <v>0</v>
      </c>
      <c r="O178" s="39">
        <f t="shared" si="18"/>
        <v>65</v>
      </c>
    </row>
    <row r="179" spans="1:17" ht="16.5">
      <c r="A179" s="37" t="s">
        <v>255</v>
      </c>
      <c r="B179" s="39" t="s">
        <v>151</v>
      </c>
      <c r="C179" s="39">
        <v>1</v>
      </c>
      <c r="D179" s="39">
        <v>52</v>
      </c>
      <c r="E179" s="39">
        <f t="shared" si="14"/>
        <v>52</v>
      </c>
      <c r="F179" s="39">
        <v>2</v>
      </c>
      <c r="G179" s="39">
        <v>1</v>
      </c>
      <c r="H179" s="39">
        <f t="shared" si="15"/>
        <v>2</v>
      </c>
      <c r="I179" s="39">
        <v>12</v>
      </c>
      <c r="J179" s="39">
        <v>1</v>
      </c>
      <c r="K179" s="39">
        <f t="shared" si="16"/>
        <v>12</v>
      </c>
      <c r="L179" s="39">
        <v>0</v>
      </c>
      <c r="M179" s="39">
        <v>1</v>
      </c>
      <c r="N179" s="39">
        <f t="shared" si="17"/>
        <v>0</v>
      </c>
      <c r="O179" s="39">
        <f t="shared" si="18"/>
        <v>66</v>
      </c>
    </row>
    <row r="180" spans="1:17" ht="16.5">
      <c r="A180" s="37" t="s">
        <v>256</v>
      </c>
      <c r="B180" s="39" t="s">
        <v>151</v>
      </c>
      <c r="C180" s="39">
        <v>0</v>
      </c>
      <c r="D180" s="39">
        <v>52</v>
      </c>
      <c r="E180" s="39">
        <f t="shared" si="14"/>
        <v>0</v>
      </c>
      <c r="F180" s="39">
        <v>0</v>
      </c>
      <c r="G180" s="39">
        <v>1</v>
      </c>
      <c r="H180" s="39">
        <f t="shared" si="15"/>
        <v>0</v>
      </c>
      <c r="I180" s="39">
        <v>0</v>
      </c>
      <c r="J180" s="39">
        <v>1</v>
      </c>
      <c r="K180" s="39">
        <f t="shared" si="16"/>
        <v>0</v>
      </c>
      <c r="L180" s="39">
        <v>0</v>
      </c>
      <c r="M180" s="39">
        <v>1</v>
      </c>
      <c r="N180" s="39">
        <f t="shared" si="17"/>
        <v>0</v>
      </c>
      <c r="O180" s="39">
        <f t="shared" si="18"/>
        <v>0</v>
      </c>
    </row>
    <row r="181" spans="1:17" ht="16.5">
      <c r="A181" s="37" t="s">
        <v>257</v>
      </c>
      <c r="B181" s="39" t="s">
        <v>151</v>
      </c>
      <c r="C181" s="39">
        <v>0</v>
      </c>
      <c r="D181" s="39">
        <v>52</v>
      </c>
      <c r="E181" s="39">
        <f t="shared" si="14"/>
        <v>0</v>
      </c>
      <c r="F181" s="39">
        <v>2</v>
      </c>
      <c r="G181" s="39">
        <v>1</v>
      </c>
      <c r="H181" s="39">
        <f t="shared" si="15"/>
        <v>2</v>
      </c>
      <c r="I181" s="39">
        <v>2</v>
      </c>
      <c r="J181" s="39">
        <v>1</v>
      </c>
      <c r="K181" s="39">
        <f t="shared" si="16"/>
        <v>2</v>
      </c>
      <c r="L181" s="39">
        <v>0</v>
      </c>
      <c r="M181" s="39">
        <v>1</v>
      </c>
      <c r="N181" s="39">
        <f t="shared" si="17"/>
        <v>0</v>
      </c>
      <c r="O181" s="39">
        <f t="shared" si="18"/>
        <v>4</v>
      </c>
      <c r="P181" s="52" t="s">
        <v>258</v>
      </c>
      <c r="Q181" s="52"/>
    </row>
    <row r="182" spans="1:17" ht="16.5">
      <c r="A182" s="37" t="s">
        <v>259</v>
      </c>
      <c r="B182" s="39" t="s">
        <v>151</v>
      </c>
      <c r="C182" s="39">
        <v>0</v>
      </c>
      <c r="D182" s="39">
        <v>52</v>
      </c>
      <c r="E182" s="39">
        <f t="shared" si="14"/>
        <v>0</v>
      </c>
      <c r="F182" s="39">
        <v>6</v>
      </c>
      <c r="G182" s="39">
        <v>1</v>
      </c>
      <c r="H182" s="39">
        <f t="shared" si="15"/>
        <v>6</v>
      </c>
      <c r="I182" s="39">
        <v>6</v>
      </c>
      <c r="J182" s="39">
        <v>1</v>
      </c>
      <c r="K182" s="39">
        <f t="shared" si="16"/>
        <v>6</v>
      </c>
      <c r="L182" s="39">
        <v>0</v>
      </c>
      <c r="M182" s="39">
        <v>1</v>
      </c>
      <c r="N182" s="39">
        <f t="shared" si="17"/>
        <v>0</v>
      </c>
      <c r="O182" s="39">
        <f t="shared" si="18"/>
        <v>12</v>
      </c>
    </row>
    <row r="183" spans="1:17" ht="16.5">
      <c r="A183" s="37" t="s">
        <v>260</v>
      </c>
      <c r="B183" s="39" t="s">
        <v>151</v>
      </c>
      <c r="C183" s="39">
        <v>0</v>
      </c>
      <c r="D183" s="39">
        <v>52</v>
      </c>
      <c r="E183" s="39">
        <f t="shared" si="14"/>
        <v>0</v>
      </c>
      <c r="F183" s="39">
        <v>2</v>
      </c>
      <c r="G183" s="39">
        <v>1</v>
      </c>
      <c r="H183" s="39">
        <f t="shared" si="15"/>
        <v>2</v>
      </c>
      <c r="I183" s="39">
        <v>2</v>
      </c>
      <c r="J183" s="39">
        <v>1</v>
      </c>
      <c r="K183" s="39">
        <f t="shared" si="16"/>
        <v>2</v>
      </c>
      <c r="L183" s="39">
        <v>0</v>
      </c>
      <c r="M183" s="39">
        <v>1</v>
      </c>
      <c r="N183" s="39">
        <f t="shared" si="17"/>
        <v>0</v>
      </c>
      <c r="O183" s="39">
        <f t="shared" si="18"/>
        <v>4</v>
      </c>
    </row>
    <row r="184" spans="1:17" ht="16.5">
      <c r="A184" s="37" t="s">
        <v>261</v>
      </c>
      <c r="B184" s="39" t="s">
        <v>151</v>
      </c>
      <c r="C184" s="39">
        <v>0</v>
      </c>
      <c r="D184" s="39">
        <v>52</v>
      </c>
      <c r="E184" s="39">
        <f t="shared" si="14"/>
        <v>0</v>
      </c>
      <c r="F184" s="39">
        <v>4</v>
      </c>
      <c r="G184" s="39">
        <v>1</v>
      </c>
      <c r="H184" s="39">
        <f t="shared" si="15"/>
        <v>4</v>
      </c>
      <c r="I184" s="39">
        <v>4</v>
      </c>
      <c r="J184" s="39">
        <v>1</v>
      </c>
      <c r="K184" s="39">
        <f t="shared" si="16"/>
        <v>4</v>
      </c>
      <c r="L184" s="39">
        <v>0</v>
      </c>
      <c r="M184" s="39">
        <v>1</v>
      </c>
      <c r="N184" s="39">
        <f t="shared" si="17"/>
        <v>0</v>
      </c>
      <c r="O184" s="39">
        <f t="shared" si="18"/>
        <v>8</v>
      </c>
    </row>
    <row r="185" spans="1:17" ht="16.5">
      <c r="A185" s="37" t="s">
        <v>262</v>
      </c>
      <c r="B185" s="39" t="s">
        <v>151</v>
      </c>
      <c r="C185" s="39">
        <v>0</v>
      </c>
      <c r="D185" s="39">
        <v>52</v>
      </c>
      <c r="E185" s="39">
        <f t="shared" si="14"/>
        <v>0</v>
      </c>
      <c r="F185" s="39">
        <v>1</v>
      </c>
      <c r="G185" s="39">
        <v>1</v>
      </c>
      <c r="H185" s="39">
        <f t="shared" si="15"/>
        <v>1</v>
      </c>
      <c r="I185" s="39">
        <v>1</v>
      </c>
      <c r="J185" s="39">
        <v>1</v>
      </c>
      <c r="K185" s="39">
        <f t="shared" si="16"/>
        <v>1</v>
      </c>
      <c r="L185" s="39">
        <v>0</v>
      </c>
      <c r="M185" s="39">
        <v>1</v>
      </c>
      <c r="N185" s="39">
        <f t="shared" si="17"/>
        <v>0</v>
      </c>
      <c r="O185" s="39">
        <f t="shared" si="18"/>
        <v>2</v>
      </c>
    </row>
    <row r="186" spans="1:17" ht="16.5">
      <c r="A186" s="37" t="s">
        <v>263</v>
      </c>
      <c r="B186" s="39" t="s">
        <v>151</v>
      </c>
      <c r="C186" s="39">
        <v>0</v>
      </c>
      <c r="D186" s="39">
        <v>52</v>
      </c>
      <c r="E186" s="39">
        <f t="shared" si="14"/>
        <v>0</v>
      </c>
      <c r="F186" s="39">
        <v>4</v>
      </c>
      <c r="G186" s="39">
        <v>1</v>
      </c>
      <c r="H186" s="39">
        <f t="shared" si="15"/>
        <v>4</v>
      </c>
      <c r="I186" s="39">
        <v>4</v>
      </c>
      <c r="J186" s="39">
        <v>1</v>
      </c>
      <c r="K186" s="39">
        <f t="shared" si="16"/>
        <v>4</v>
      </c>
      <c r="L186" s="39">
        <v>0</v>
      </c>
      <c r="M186" s="39">
        <v>1</v>
      </c>
      <c r="N186" s="39">
        <f t="shared" si="17"/>
        <v>0</v>
      </c>
      <c r="O186" s="39">
        <f t="shared" si="18"/>
        <v>8</v>
      </c>
    </row>
    <row r="187" spans="1:17" ht="16.5">
      <c r="A187" s="37" t="s">
        <v>264</v>
      </c>
      <c r="B187" s="39" t="s">
        <v>151</v>
      </c>
      <c r="C187" s="39">
        <v>0</v>
      </c>
      <c r="D187" s="39">
        <v>52</v>
      </c>
      <c r="E187" s="39">
        <f t="shared" si="14"/>
        <v>0</v>
      </c>
      <c r="F187" s="39">
        <v>2</v>
      </c>
      <c r="G187" s="39">
        <v>1</v>
      </c>
      <c r="H187" s="39">
        <f t="shared" si="15"/>
        <v>2</v>
      </c>
      <c r="I187" s="39">
        <v>2</v>
      </c>
      <c r="J187" s="39">
        <v>1</v>
      </c>
      <c r="K187" s="39">
        <f t="shared" si="16"/>
        <v>2</v>
      </c>
      <c r="L187" s="39">
        <v>0</v>
      </c>
      <c r="M187" s="39">
        <v>1</v>
      </c>
      <c r="N187" s="39">
        <f t="shared" si="17"/>
        <v>0</v>
      </c>
      <c r="O187" s="39">
        <f t="shared" si="18"/>
        <v>4</v>
      </c>
    </row>
    <row r="188" spans="1:17" ht="16.5">
      <c r="A188" s="37" t="s">
        <v>265</v>
      </c>
      <c r="B188" s="39" t="s">
        <v>151</v>
      </c>
      <c r="C188" s="39">
        <v>4</v>
      </c>
      <c r="D188" s="39">
        <v>52</v>
      </c>
      <c r="E188" s="39">
        <f t="shared" si="14"/>
        <v>208</v>
      </c>
      <c r="F188" s="39">
        <v>4</v>
      </c>
      <c r="G188" s="39">
        <v>1</v>
      </c>
      <c r="H188" s="39">
        <f t="shared" si="15"/>
        <v>4</v>
      </c>
      <c r="I188" s="39">
        <v>40</v>
      </c>
      <c r="J188" s="39">
        <v>1</v>
      </c>
      <c r="K188" s="39">
        <f t="shared" si="16"/>
        <v>40</v>
      </c>
      <c r="L188" s="39">
        <v>0</v>
      </c>
      <c r="M188" s="39">
        <v>1</v>
      </c>
      <c r="N188" s="39">
        <f t="shared" si="17"/>
        <v>0</v>
      </c>
      <c r="O188" s="39">
        <f t="shared" si="18"/>
        <v>252</v>
      </c>
    </row>
    <row r="189" spans="1:17" ht="16.5">
      <c r="A189" s="37" t="s">
        <v>266</v>
      </c>
      <c r="B189" s="39" t="s">
        <v>151</v>
      </c>
      <c r="C189" s="39">
        <v>0</v>
      </c>
      <c r="D189" s="39">
        <v>52</v>
      </c>
      <c r="E189" s="39">
        <f t="shared" si="14"/>
        <v>0</v>
      </c>
      <c r="F189" s="39">
        <v>4</v>
      </c>
      <c r="G189" s="39">
        <v>1</v>
      </c>
      <c r="H189" s="39">
        <f t="shared" si="15"/>
        <v>4</v>
      </c>
      <c r="I189" s="39">
        <v>0</v>
      </c>
      <c r="J189" s="39">
        <v>1</v>
      </c>
      <c r="K189" s="39">
        <f t="shared" si="16"/>
        <v>0</v>
      </c>
      <c r="L189" s="39">
        <v>0</v>
      </c>
      <c r="M189" s="39">
        <v>1</v>
      </c>
      <c r="N189" s="39">
        <f t="shared" si="17"/>
        <v>0</v>
      </c>
      <c r="O189" s="39">
        <f t="shared" si="18"/>
        <v>4</v>
      </c>
    </row>
    <row r="190" spans="1:17" ht="16.5">
      <c r="A190" s="37" t="s">
        <v>267</v>
      </c>
      <c r="B190" s="39" t="s">
        <v>151</v>
      </c>
      <c r="C190" s="39">
        <v>0</v>
      </c>
      <c r="D190" s="39">
        <v>52</v>
      </c>
      <c r="E190" s="39">
        <f t="shared" si="14"/>
        <v>0</v>
      </c>
      <c r="F190" s="39">
        <v>0</v>
      </c>
      <c r="G190" s="39">
        <v>1</v>
      </c>
      <c r="H190" s="39">
        <f t="shared" si="15"/>
        <v>0</v>
      </c>
      <c r="I190" s="39">
        <v>0</v>
      </c>
      <c r="J190" s="39">
        <v>1</v>
      </c>
      <c r="K190" s="39">
        <f t="shared" si="16"/>
        <v>0</v>
      </c>
      <c r="L190" s="39">
        <v>15</v>
      </c>
      <c r="M190" s="39">
        <v>1</v>
      </c>
      <c r="N190" s="39">
        <f t="shared" si="17"/>
        <v>15</v>
      </c>
      <c r="O190" s="39">
        <f t="shared" si="18"/>
        <v>15</v>
      </c>
    </row>
    <row r="191" spans="1:17" ht="16.5">
      <c r="A191" s="37" t="s">
        <v>268</v>
      </c>
      <c r="B191" s="39" t="s">
        <v>151</v>
      </c>
      <c r="C191" s="39">
        <v>0.25</v>
      </c>
      <c r="D191" s="39">
        <v>52</v>
      </c>
      <c r="E191" s="39">
        <f t="shared" si="14"/>
        <v>13</v>
      </c>
      <c r="F191" s="39">
        <v>2</v>
      </c>
      <c r="G191" s="39">
        <v>1</v>
      </c>
      <c r="H191" s="39">
        <f t="shared" si="15"/>
        <v>2</v>
      </c>
      <c r="I191" s="39">
        <v>10</v>
      </c>
      <c r="J191" s="39">
        <v>1</v>
      </c>
      <c r="K191" s="39">
        <f t="shared" si="16"/>
        <v>10</v>
      </c>
      <c r="L191" s="39">
        <v>0</v>
      </c>
      <c r="M191" s="39">
        <v>1</v>
      </c>
      <c r="N191" s="39">
        <f t="shared" si="17"/>
        <v>0</v>
      </c>
      <c r="O191" s="39">
        <f t="shared" si="18"/>
        <v>25</v>
      </c>
    </row>
    <row r="192" spans="1:17" ht="16.5">
      <c r="A192" s="37" t="s">
        <v>269</v>
      </c>
      <c r="B192" s="39" t="s">
        <v>151</v>
      </c>
      <c r="C192" s="39">
        <v>0</v>
      </c>
      <c r="D192" s="39">
        <v>52</v>
      </c>
      <c r="E192" s="39">
        <f t="shared" si="14"/>
        <v>0</v>
      </c>
      <c r="F192" s="39">
        <v>0</v>
      </c>
      <c r="G192" s="39">
        <v>1</v>
      </c>
      <c r="H192" s="39">
        <f t="shared" si="15"/>
        <v>0</v>
      </c>
      <c r="I192" s="39">
        <v>0</v>
      </c>
      <c r="J192" s="39">
        <v>1</v>
      </c>
      <c r="K192" s="39">
        <f t="shared" si="16"/>
        <v>0</v>
      </c>
      <c r="L192" s="39">
        <v>0</v>
      </c>
      <c r="M192" s="39">
        <v>1</v>
      </c>
      <c r="N192" s="39">
        <f t="shared" si="17"/>
        <v>0</v>
      </c>
      <c r="O192" s="39">
        <f t="shared" si="18"/>
        <v>0</v>
      </c>
    </row>
    <row r="193" spans="1:17" ht="16.5">
      <c r="A193" s="37" t="s">
        <v>270</v>
      </c>
      <c r="B193" s="39" t="s">
        <v>151</v>
      </c>
      <c r="C193" s="39">
        <v>0</v>
      </c>
      <c r="D193" s="39">
        <v>52</v>
      </c>
      <c r="E193" s="39">
        <f t="shared" si="14"/>
        <v>0</v>
      </c>
      <c r="F193" s="39">
        <v>4</v>
      </c>
      <c r="G193" s="39">
        <v>1</v>
      </c>
      <c r="H193" s="39">
        <f t="shared" si="15"/>
        <v>4</v>
      </c>
      <c r="I193" s="39">
        <v>4</v>
      </c>
      <c r="J193" s="39">
        <v>1</v>
      </c>
      <c r="K193" s="39">
        <f t="shared" si="16"/>
        <v>4</v>
      </c>
      <c r="L193" s="39">
        <v>0</v>
      </c>
      <c r="M193" s="39">
        <v>1</v>
      </c>
      <c r="N193" s="39">
        <f t="shared" si="17"/>
        <v>0</v>
      </c>
      <c r="O193" s="39">
        <f t="shared" si="18"/>
        <v>8</v>
      </c>
      <c r="P193" s="52" t="s">
        <v>271</v>
      </c>
      <c r="Q193" s="52"/>
    </row>
    <row r="194" spans="1:17" ht="16.5">
      <c r="A194" s="37" t="s">
        <v>272</v>
      </c>
      <c r="B194" s="39" t="s">
        <v>151</v>
      </c>
      <c r="C194" s="39">
        <v>0</v>
      </c>
      <c r="D194" s="39">
        <v>52</v>
      </c>
      <c r="E194" s="39">
        <f t="shared" si="14"/>
        <v>0</v>
      </c>
      <c r="F194" s="39">
        <v>0</v>
      </c>
      <c r="G194" s="39">
        <v>1</v>
      </c>
      <c r="H194" s="39">
        <f t="shared" si="15"/>
        <v>0</v>
      </c>
      <c r="I194" s="39">
        <v>0</v>
      </c>
      <c r="J194" s="39">
        <v>1</v>
      </c>
      <c r="K194" s="39">
        <f t="shared" si="16"/>
        <v>0</v>
      </c>
      <c r="L194" s="39">
        <v>0</v>
      </c>
      <c r="M194" s="39">
        <v>1</v>
      </c>
      <c r="N194" s="39">
        <f t="shared" si="17"/>
        <v>0</v>
      </c>
      <c r="O194" s="39">
        <f t="shared" si="18"/>
        <v>0</v>
      </c>
    </row>
    <row r="195" spans="1:17" ht="16.5">
      <c r="A195" s="37" t="s">
        <v>273</v>
      </c>
      <c r="B195" s="39" t="s">
        <v>151</v>
      </c>
      <c r="C195" s="39">
        <v>1</v>
      </c>
      <c r="D195" s="39">
        <v>52</v>
      </c>
      <c r="E195" s="39">
        <f t="shared" si="14"/>
        <v>52</v>
      </c>
      <c r="F195" s="39">
        <v>4</v>
      </c>
      <c r="G195" s="39">
        <v>1</v>
      </c>
      <c r="H195" s="39">
        <f t="shared" si="15"/>
        <v>4</v>
      </c>
      <c r="I195" s="39">
        <v>27</v>
      </c>
      <c r="J195" s="39">
        <v>1</v>
      </c>
      <c r="K195" s="39">
        <f t="shared" si="16"/>
        <v>27</v>
      </c>
      <c r="L195" s="39">
        <v>0</v>
      </c>
      <c r="M195" s="39">
        <v>1</v>
      </c>
      <c r="N195" s="39">
        <f t="shared" si="17"/>
        <v>0</v>
      </c>
      <c r="O195" s="39">
        <f t="shared" si="18"/>
        <v>83</v>
      </c>
    </row>
    <row r="196" spans="1:17" ht="16.5">
      <c r="A196" s="37" t="s">
        <v>274</v>
      </c>
      <c r="B196" s="39" t="s">
        <v>151</v>
      </c>
      <c r="C196" s="39">
        <v>0</v>
      </c>
      <c r="D196" s="39">
        <v>52</v>
      </c>
      <c r="E196" s="39">
        <f t="shared" si="14"/>
        <v>0</v>
      </c>
      <c r="F196" s="39">
        <v>0</v>
      </c>
      <c r="G196" s="39">
        <v>1</v>
      </c>
      <c r="H196" s="39">
        <f t="shared" si="15"/>
        <v>0</v>
      </c>
      <c r="I196" s="39">
        <v>0</v>
      </c>
      <c r="J196" s="39">
        <v>1</v>
      </c>
      <c r="K196" s="39">
        <f t="shared" si="16"/>
        <v>0</v>
      </c>
      <c r="L196" s="39">
        <v>0</v>
      </c>
      <c r="M196" s="39">
        <v>1</v>
      </c>
      <c r="N196" s="39">
        <f t="shared" si="17"/>
        <v>0</v>
      </c>
      <c r="O196" s="39">
        <f t="shared" si="18"/>
        <v>0</v>
      </c>
    </row>
    <row r="197" spans="1:17" ht="16.5">
      <c r="A197" s="37" t="s">
        <v>275</v>
      </c>
      <c r="B197" s="39" t="s">
        <v>151</v>
      </c>
      <c r="C197" s="39">
        <v>0</v>
      </c>
      <c r="D197" s="39">
        <v>52</v>
      </c>
      <c r="E197" s="39">
        <f t="shared" si="14"/>
        <v>0</v>
      </c>
      <c r="F197" s="39">
        <v>0</v>
      </c>
      <c r="G197" s="39">
        <v>1</v>
      </c>
      <c r="H197" s="39">
        <f t="shared" si="15"/>
        <v>0</v>
      </c>
      <c r="I197" s="39">
        <v>0</v>
      </c>
      <c r="J197" s="39">
        <v>1</v>
      </c>
      <c r="K197" s="39">
        <f t="shared" si="16"/>
        <v>0</v>
      </c>
      <c r="L197" s="39">
        <v>0</v>
      </c>
      <c r="M197" s="39">
        <v>1</v>
      </c>
      <c r="N197" s="39">
        <f t="shared" si="17"/>
        <v>0</v>
      </c>
      <c r="O197" s="39">
        <f t="shared" si="18"/>
        <v>0</v>
      </c>
    </row>
    <row r="198" spans="1:17" ht="16.5">
      <c r="A198" s="37" t="s">
        <v>276</v>
      </c>
      <c r="B198" s="39" t="s">
        <v>151</v>
      </c>
      <c r="C198" s="39">
        <v>0</v>
      </c>
      <c r="D198" s="39">
        <v>52</v>
      </c>
      <c r="E198" s="39">
        <f t="shared" si="14"/>
        <v>0</v>
      </c>
      <c r="F198" s="39">
        <v>0</v>
      </c>
      <c r="G198" s="39">
        <v>1</v>
      </c>
      <c r="H198" s="39">
        <f t="shared" si="15"/>
        <v>0</v>
      </c>
      <c r="I198" s="39">
        <v>0</v>
      </c>
      <c r="J198" s="39">
        <v>1</v>
      </c>
      <c r="K198" s="39">
        <f t="shared" si="16"/>
        <v>0</v>
      </c>
      <c r="L198" s="39">
        <v>0</v>
      </c>
      <c r="M198" s="39">
        <v>1</v>
      </c>
      <c r="N198" s="39">
        <f t="shared" si="17"/>
        <v>0</v>
      </c>
      <c r="O198" s="39">
        <f t="shared" si="18"/>
        <v>0</v>
      </c>
    </row>
    <row r="199" spans="1:17" ht="16.5">
      <c r="A199" s="37" t="s">
        <v>277</v>
      </c>
      <c r="B199" s="39" t="s">
        <v>151</v>
      </c>
      <c r="C199" s="39">
        <v>0</v>
      </c>
      <c r="D199" s="39">
        <v>52</v>
      </c>
      <c r="E199" s="39">
        <f t="shared" si="14"/>
        <v>0</v>
      </c>
      <c r="F199" s="39">
        <v>0</v>
      </c>
      <c r="G199" s="39">
        <v>1</v>
      </c>
      <c r="H199" s="39">
        <f t="shared" si="15"/>
        <v>0</v>
      </c>
      <c r="I199" s="39">
        <v>0</v>
      </c>
      <c r="J199" s="39">
        <v>1</v>
      </c>
      <c r="K199" s="39">
        <f t="shared" si="16"/>
        <v>0</v>
      </c>
      <c r="L199" s="39">
        <v>0</v>
      </c>
      <c r="M199" s="39">
        <v>1</v>
      </c>
      <c r="N199" s="39">
        <f t="shared" si="17"/>
        <v>0</v>
      </c>
      <c r="O199" s="39">
        <f t="shared" si="18"/>
        <v>0</v>
      </c>
    </row>
    <row r="200" spans="1:17" ht="16.5">
      <c r="A200" s="37" t="s">
        <v>278</v>
      </c>
      <c r="B200" s="39" t="s">
        <v>151</v>
      </c>
      <c r="C200" s="39">
        <v>0</v>
      </c>
      <c r="D200" s="39">
        <v>52</v>
      </c>
      <c r="E200" s="39">
        <f t="shared" si="14"/>
        <v>0</v>
      </c>
      <c r="F200" s="39">
        <v>0</v>
      </c>
      <c r="G200" s="39">
        <v>1</v>
      </c>
      <c r="H200" s="39">
        <f t="shared" si="15"/>
        <v>0</v>
      </c>
      <c r="I200" s="39">
        <v>0</v>
      </c>
      <c r="J200" s="39">
        <v>1</v>
      </c>
      <c r="K200" s="39">
        <f t="shared" si="16"/>
        <v>0</v>
      </c>
      <c r="L200" s="39">
        <v>0</v>
      </c>
      <c r="M200" s="39">
        <v>1</v>
      </c>
      <c r="N200" s="39">
        <f t="shared" si="17"/>
        <v>0</v>
      </c>
      <c r="O200" s="39">
        <f t="shared" si="18"/>
        <v>0</v>
      </c>
    </row>
    <row r="201" spans="1:17" ht="16.5">
      <c r="A201" s="37" t="s">
        <v>279</v>
      </c>
      <c r="B201" s="39" t="s">
        <v>151</v>
      </c>
      <c r="C201" s="39">
        <v>0</v>
      </c>
      <c r="D201" s="39">
        <v>52</v>
      </c>
      <c r="E201" s="39">
        <f t="shared" si="14"/>
        <v>0</v>
      </c>
      <c r="F201" s="39">
        <v>2</v>
      </c>
      <c r="G201" s="39">
        <v>1</v>
      </c>
      <c r="H201" s="39">
        <f t="shared" si="15"/>
        <v>2</v>
      </c>
      <c r="I201" s="39">
        <v>2</v>
      </c>
      <c r="J201" s="39">
        <v>1</v>
      </c>
      <c r="K201" s="39">
        <f t="shared" si="16"/>
        <v>2</v>
      </c>
      <c r="L201" s="39">
        <v>6</v>
      </c>
      <c r="M201" s="39">
        <v>1</v>
      </c>
      <c r="N201" s="39">
        <f t="shared" si="17"/>
        <v>6</v>
      </c>
      <c r="O201" s="39">
        <f t="shared" si="18"/>
        <v>10</v>
      </c>
      <c r="P201" s="52" t="s">
        <v>280</v>
      </c>
      <c r="Q201" s="52"/>
    </row>
    <row r="202" spans="1:17" ht="16.5">
      <c r="A202" s="37" t="s">
        <v>281</v>
      </c>
      <c r="B202" s="39" t="s">
        <v>151</v>
      </c>
      <c r="C202" s="39">
        <v>1</v>
      </c>
      <c r="D202" s="39">
        <v>52</v>
      </c>
      <c r="E202" s="39">
        <f t="shared" si="14"/>
        <v>52</v>
      </c>
      <c r="F202" s="39">
        <v>1</v>
      </c>
      <c r="G202" s="39">
        <v>1</v>
      </c>
      <c r="H202" s="39">
        <f t="shared" si="15"/>
        <v>1</v>
      </c>
      <c r="I202" s="39">
        <v>15</v>
      </c>
      <c r="J202" s="39">
        <v>1</v>
      </c>
      <c r="K202" s="39">
        <f t="shared" si="16"/>
        <v>15</v>
      </c>
      <c r="L202" s="39">
        <v>0</v>
      </c>
      <c r="M202" s="39">
        <v>1</v>
      </c>
      <c r="N202" s="39">
        <f t="shared" si="17"/>
        <v>0</v>
      </c>
      <c r="O202" s="39">
        <f t="shared" si="18"/>
        <v>68</v>
      </c>
    </row>
    <row r="203" spans="1:17" ht="16.5">
      <c r="A203" s="37" t="s">
        <v>282</v>
      </c>
      <c r="B203" s="39" t="s">
        <v>151</v>
      </c>
      <c r="C203" s="39">
        <v>2</v>
      </c>
      <c r="D203" s="39">
        <v>52</v>
      </c>
      <c r="E203" s="39">
        <f t="shared" si="14"/>
        <v>104</v>
      </c>
      <c r="F203" s="39">
        <v>1</v>
      </c>
      <c r="G203" s="39">
        <v>1</v>
      </c>
      <c r="H203" s="39">
        <f t="shared" si="15"/>
        <v>1</v>
      </c>
      <c r="I203" s="39">
        <v>28</v>
      </c>
      <c r="J203" s="39">
        <v>1</v>
      </c>
      <c r="K203" s="39">
        <f t="shared" si="16"/>
        <v>28</v>
      </c>
      <c r="L203" s="39">
        <v>0</v>
      </c>
      <c r="M203" s="39">
        <v>1</v>
      </c>
      <c r="N203" s="39">
        <f t="shared" si="17"/>
        <v>0</v>
      </c>
      <c r="O203" s="39">
        <f t="shared" si="18"/>
        <v>133</v>
      </c>
    </row>
    <row r="204" spans="1:17" ht="16.5">
      <c r="A204" s="37" t="s">
        <v>283</v>
      </c>
      <c r="B204" s="39" t="s">
        <v>151</v>
      </c>
      <c r="C204" s="39">
        <v>0</v>
      </c>
      <c r="D204" s="39">
        <v>52</v>
      </c>
      <c r="E204" s="39">
        <f t="shared" si="14"/>
        <v>0</v>
      </c>
      <c r="F204" s="39">
        <v>0</v>
      </c>
      <c r="G204" s="39">
        <v>1</v>
      </c>
      <c r="H204" s="39">
        <f t="shared" si="15"/>
        <v>0</v>
      </c>
      <c r="I204" s="39">
        <v>0</v>
      </c>
      <c r="J204" s="39">
        <v>1</v>
      </c>
      <c r="K204" s="39">
        <f t="shared" si="16"/>
        <v>0</v>
      </c>
      <c r="L204" s="39">
        <v>0</v>
      </c>
      <c r="M204" s="39">
        <v>1</v>
      </c>
      <c r="N204" s="39">
        <f t="shared" si="17"/>
        <v>0</v>
      </c>
      <c r="O204" s="39">
        <f t="shared" si="18"/>
        <v>0</v>
      </c>
    </row>
    <row r="205" spans="1:17" ht="16.5">
      <c r="A205" s="37" t="s">
        <v>284</v>
      </c>
      <c r="B205" s="39" t="s">
        <v>151</v>
      </c>
      <c r="C205" s="39">
        <v>0</v>
      </c>
      <c r="D205" s="39">
        <v>52</v>
      </c>
      <c r="E205" s="39">
        <f t="shared" si="14"/>
        <v>0</v>
      </c>
      <c r="F205" s="39">
        <v>2</v>
      </c>
      <c r="G205" s="39">
        <v>1</v>
      </c>
      <c r="H205" s="39">
        <f t="shared" si="15"/>
        <v>2</v>
      </c>
      <c r="I205" s="39">
        <v>1</v>
      </c>
      <c r="J205" s="39">
        <v>1</v>
      </c>
      <c r="K205" s="39">
        <f t="shared" si="16"/>
        <v>1</v>
      </c>
      <c r="L205" s="39">
        <v>0</v>
      </c>
      <c r="M205" s="39">
        <v>1</v>
      </c>
      <c r="N205" s="39">
        <f t="shared" si="17"/>
        <v>0</v>
      </c>
      <c r="O205" s="39">
        <f t="shared" si="18"/>
        <v>3</v>
      </c>
    </row>
    <row r="206" spans="1:17" ht="16.5">
      <c r="A206" s="37" t="s">
        <v>285</v>
      </c>
      <c r="B206" s="39" t="s">
        <v>151</v>
      </c>
      <c r="C206" s="39">
        <v>1</v>
      </c>
      <c r="D206" s="39">
        <v>52</v>
      </c>
      <c r="E206" s="39">
        <f t="shared" si="14"/>
        <v>52</v>
      </c>
      <c r="F206" s="39">
        <v>2</v>
      </c>
      <c r="G206" s="39">
        <v>1</v>
      </c>
      <c r="H206" s="39">
        <f t="shared" si="15"/>
        <v>2</v>
      </c>
      <c r="I206" s="39">
        <v>17</v>
      </c>
      <c r="J206" s="39">
        <v>1</v>
      </c>
      <c r="K206" s="39">
        <f t="shared" si="16"/>
        <v>17</v>
      </c>
      <c r="L206" s="39">
        <v>0</v>
      </c>
      <c r="M206" s="39">
        <v>1</v>
      </c>
      <c r="N206" s="39">
        <f t="shared" si="17"/>
        <v>0</v>
      </c>
      <c r="O206" s="39">
        <f t="shared" si="18"/>
        <v>71</v>
      </c>
    </row>
    <row r="207" spans="1:17" ht="16.5">
      <c r="A207" s="37" t="s">
        <v>286</v>
      </c>
      <c r="B207" s="39" t="s">
        <v>151</v>
      </c>
      <c r="C207" s="39">
        <v>4</v>
      </c>
      <c r="D207" s="39">
        <v>52</v>
      </c>
      <c r="E207" s="39">
        <f t="shared" si="14"/>
        <v>208</v>
      </c>
      <c r="F207" s="39">
        <v>2</v>
      </c>
      <c r="G207" s="39">
        <v>1</v>
      </c>
      <c r="H207" s="39">
        <f t="shared" si="15"/>
        <v>2</v>
      </c>
      <c r="I207" s="39">
        <v>32</v>
      </c>
      <c r="J207" s="39">
        <v>1</v>
      </c>
      <c r="K207" s="39">
        <f t="shared" si="16"/>
        <v>32</v>
      </c>
      <c r="L207" s="39">
        <v>0</v>
      </c>
      <c r="M207" s="39">
        <v>1</v>
      </c>
      <c r="N207" s="39">
        <f t="shared" si="17"/>
        <v>0</v>
      </c>
      <c r="O207" s="39">
        <f t="shared" si="18"/>
        <v>242</v>
      </c>
    </row>
    <row r="208" spans="1:17" ht="16.5">
      <c r="A208" s="37" t="s">
        <v>287</v>
      </c>
      <c r="B208" s="39" t="s">
        <v>151</v>
      </c>
      <c r="C208" s="39">
        <v>1</v>
      </c>
      <c r="D208" s="39">
        <v>52</v>
      </c>
      <c r="E208" s="39">
        <f t="shared" si="14"/>
        <v>52</v>
      </c>
      <c r="F208" s="39">
        <v>1</v>
      </c>
      <c r="G208" s="39">
        <v>1</v>
      </c>
      <c r="H208" s="39">
        <f t="shared" si="15"/>
        <v>1</v>
      </c>
      <c r="I208" s="39">
        <v>13</v>
      </c>
      <c r="J208" s="39">
        <v>1</v>
      </c>
      <c r="K208" s="39">
        <f t="shared" si="16"/>
        <v>13</v>
      </c>
      <c r="L208" s="39">
        <v>0</v>
      </c>
      <c r="M208" s="39">
        <v>1</v>
      </c>
      <c r="N208" s="39">
        <f t="shared" si="17"/>
        <v>0</v>
      </c>
      <c r="O208" s="39">
        <f t="shared" si="18"/>
        <v>66</v>
      </c>
    </row>
    <row r="209" spans="1:15" ht="16.5">
      <c r="A209" s="37" t="s">
        <v>288</v>
      </c>
      <c r="B209" s="39" t="s">
        <v>151</v>
      </c>
      <c r="C209" s="39">
        <v>1</v>
      </c>
      <c r="D209" s="39">
        <v>52</v>
      </c>
      <c r="E209" s="39">
        <f t="shared" si="14"/>
        <v>52</v>
      </c>
      <c r="F209" s="39">
        <v>0</v>
      </c>
      <c r="G209" s="39">
        <v>1</v>
      </c>
      <c r="H209" s="39">
        <f t="shared" si="15"/>
        <v>0</v>
      </c>
      <c r="I209" s="39">
        <v>4</v>
      </c>
      <c r="J209" s="39">
        <v>1</v>
      </c>
      <c r="K209" s="39">
        <f t="shared" si="16"/>
        <v>4</v>
      </c>
      <c r="L209" s="39">
        <v>0</v>
      </c>
      <c r="M209" s="39">
        <v>1</v>
      </c>
      <c r="N209" s="39">
        <f t="shared" si="17"/>
        <v>0</v>
      </c>
      <c r="O209" s="39">
        <f t="shared" si="18"/>
        <v>56</v>
      </c>
    </row>
    <row r="210" spans="1:15" ht="16.5">
      <c r="A210" s="37" t="s">
        <v>289</v>
      </c>
      <c r="B210" s="39" t="s">
        <v>151</v>
      </c>
      <c r="C210" s="39">
        <v>4</v>
      </c>
      <c r="D210" s="39">
        <v>52</v>
      </c>
      <c r="E210" s="39">
        <f t="shared" si="14"/>
        <v>208</v>
      </c>
      <c r="F210" s="39">
        <v>8</v>
      </c>
      <c r="G210" s="39">
        <v>1</v>
      </c>
      <c r="H210" s="39">
        <f t="shared" si="15"/>
        <v>8</v>
      </c>
      <c r="I210" s="39">
        <v>56</v>
      </c>
      <c r="J210" s="39">
        <v>1</v>
      </c>
      <c r="K210" s="39">
        <f t="shared" si="16"/>
        <v>56</v>
      </c>
      <c r="L210" s="39">
        <v>0</v>
      </c>
      <c r="M210" s="39">
        <v>1</v>
      </c>
      <c r="N210" s="39">
        <f t="shared" si="17"/>
        <v>0</v>
      </c>
      <c r="O210" s="39">
        <f t="shared" si="18"/>
        <v>272</v>
      </c>
    </row>
    <row r="211" spans="1:15" ht="16.5"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</row>
    <row r="212" spans="1:15" ht="16.5">
      <c r="A212" s="252" t="s">
        <v>290</v>
      </c>
      <c r="B212" s="252" t="s">
        <v>127</v>
      </c>
      <c r="C212" s="252" t="s">
        <v>291</v>
      </c>
      <c r="D212" s="252" t="s">
        <v>292</v>
      </c>
      <c r="E212" s="39"/>
      <c r="F212" s="39"/>
      <c r="G212" s="39"/>
      <c r="H212" s="39"/>
      <c r="I212" s="39"/>
      <c r="J212" s="39"/>
      <c r="K212" s="39"/>
      <c r="L212" s="39"/>
      <c r="M212" s="39"/>
      <c r="N212" s="39"/>
    </row>
    <row r="213" spans="1:15" ht="16.5">
      <c r="A213" s="37" t="s">
        <v>293</v>
      </c>
      <c r="B213" s="39">
        <v>30</v>
      </c>
      <c r="C213" s="39">
        <v>2</v>
      </c>
      <c r="D213" s="39">
        <f>B213*C213</f>
        <v>60</v>
      </c>
      <c r="E213" s="39"/>
      <c r="F213" s="39"/>
      <c r="G213" s="39"/>
      <c r="H213" s="39"/>
      <c r="I213" s="39"/>
      <c r="J213" s="39"/>
      <c r="K213" s="39"/>
      <c r="L213" s="39"/>
      <c r="M213" s="39"/>
      <c r="N213" s="39"/>
    </row>
    <row r="214" spans="1:15" ht="16.5">
      <c r="A214" s="37" t="s">
        <v>294</v>
      </c>
      <c r="B214" s="39">
        <v>14</v>
      </c>
      <c r="C214" s="39">
        <v>2</v>
      </c>
      <c r="D214" s="39">
        <f>B214*C214</f>
        <v>28</v>
      </c>
      <c r="E214" s="39"/>
      <c r="F214" s="39"/>
      <c r="G214" s="39"/>
      <c r="H214" s="39"/>
      <c r="I214" s="39"/>
      <c r="J214" s="39"/>
      <c r="K214" s="39"/>
      <c r="L214" s="39"/>
      <c r="M214" s="39"/>
      <c r="N214" s="39"/>
    </row>
    <row r="215" spans="1:15" ht="16.5">
      <c r="A215" s="37" t="s">
        <v>295</v>
      </c>
      <c r="B215" s="39">
        <v>8</v>
      </c>
      <c r="C215" s="39">
        <v>3</v>
      </c>
      <c r="D215" s="39">
        <f>B215*C215</f>
        <v>24</v>
      </c>
      <c r="E215" s="39"/>
      <c r="F215" s="39"/>
      <c r="G215" s="39"/>
      <c r="H215" s="39"/>
      <c r="I215" s="39"/>
      <c r="J215" s="39"/>
      <c r="K215" s="39"/>
      <c r="L215" s="39"/>
      <c r="M215" s="39"/>
      <c r="N215" s="39"/>
    </row>
    <row r="216" spans="1:15" ht="16.5">
      <c r="D216" s="68">
        <f>SUM(D213:D215)</f>
        <v>112</v>
      </c>
      <c r="E216" s="39"/>
      <c r="F216" s="39"/>
      <c r="G216" s="39"/>
      <c r="H216" s="39"/>
      <c r="I216" s="39"/>
      <c r="J216" s="39"/>
      <c r="K216" s="39"/>
      <c r="L216" s="39"/>
      <c r="M216" s="39"/>
      <c r="N216" s="39"/>
    </row>
    <row r="217" spans="1:15" ht="16.5">
      <c r="E217" s="39"/>
      <c r="F217" s="39"/>
      <c r="G217" s="39"/>
      <c r="H217" s="39"/>
      <c r="I217" s="39"/>
      <c r="J217" s="39"/>
      <c r="K217" s="39"/>
      <c r="L217" s="39"/>
      <c r="M217" s="39"/>
      <c r="N217" s="39"/>
    </row>
    <row r="218" spans="1:15" ht="16.5">
      <c r="C218" s="37" t="s">
        <v>296</v>
      </c>
      <c r="D218" s="39">
        <f>Premissas!B46</f>
        <v>150</v>
      </c>
      <c r="E218" s="39"/>
      <c r="F218" s="39"/>
      <c r="G218" s="39"/>
      <c r="H218" s="39"/>
      <c r="I218" s="39"/>
      <c r="J218" s="39"/>
      <c r="K218" s="39"/>
      <c r="L218" s="39"/>
      <c r="M218" s="39"/>
      <c r="N218" s="39"/>
    </row>
    <row r="219" spans="1:15" ht="16.5">
      <c r="C219" s="37" t="s">
        <v>297</v>
      </c>
      <c r="D219" s="39">
        <f>D216</f>
        <v>112</v>
      </c>
      <c r="E219" s="39"/>
      <c r="F219" s="39"/>
      <c r="G219" s="39"/>
      <c r="H219" s="39"/>
      <c r="I219" s="39"/>
      <c r="J219" s="39"/>
      <c r="K219" s="39"/>
      <c r="L219" s="39"/>
      <c r="M219" s="39"/>
      <c r="N219" s="39"/>
    </row>
    <row r="220" spans="1:15" ht="16.5">
      <c r="C220" s="37" t="s">
        <v>185</v>
      </c>
      <c r="D220" s="39">
        <f>D218*D219</f>
        <v>16800</v>
      </c>
      <c r="E220" s="39"/>
      <c r="F220" s="39"/>
      <c r="G220" s="39"/>
      <c r="H220" s="39"/>
      <c r="I220" s="39"/>
      <c r="J220" s="39"/>
      <c r="K220" s="39"/>
      <c r="L220" s="39"/>
      <c r="M220" s="39"/>
      <c r="N220" s="39"/>
    </row>
    <row r="221" spans="1:15" ht="16.5"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</row>
    <row r="222" spans="1:15" ht="16.5"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</row>
    <row r="223" spans="1:15" ht="16.5">
      <c r="A223" s="252" t="s">
        <v>298</v>
      </c>
      <c r="B223" s="252" t="s">
        <v>90</v>
      </c>
      <c r="C223" s="252" t="s">
        <v>243</v>
      </c>
      <c r="D223" s="252" t="s">
        <v>164</v>
      </c>
      <c r="E223" s="252" t="s">
        <v>158</v>
      </c>
      <c r="F223" s="252" t="s">
        <v>243</v>
      </c>
      <c r="G223" s="252" t="s">
        <v>33</v>
      </c>
      <c r="H223" s="252" t="s">
        <v>158</v>
      </c>
      <c r="I223" s="252" t="s">
        <v>243</v>
      </c>
      <c r="J223" s="252" t="s">
        <v>244</v>
      </c>
      <c r="K223" s="252" t="s">
        <v>158</v>
      </c>
      <c r="L223" s="252" t="s">
        <v>243</v>
      </c>
      <c r="M223" s="252" t="s">
        <v>169</v>
      </c>
      <c r="N223" s="252" t="s">
        <v>158</v>
      </c>
      <c r="O223" s="252" t="s">
        <v>245</v>
      </c>
    </row>
    <row r="224" spans="1:15" ht="16.5">
      <c r="A224" s="37" t="s">
        <v>246</v>
      </c>
      <c r="B224" s="39" t="s">
        <v>104</v>
      </c>
      <c r="C224" s="39">
        <v>0.9</v>
      </c>
      <c r="D224" s="39">
        <v>52</v>
      </c>
      <c r="E224" s="39">
        <f>ROUND(C224*D224,2)</f>
        <v>46.8</v>
      </c>
      <c r="F224" s="39">
        <f>0.9*8</f>
        <v>7.2</v>
      </c>
      <c r="G224" s="39">
        <v>1</v>
      </c>
      <c r="H224" s="39">
        <f>ROUND(F224*G224,2)</f>
        <v>7.2</v>
      </c>
      <c r="I224" s="39">
        <f>20*0.9</f>
        <v>18</v>
      </c>
      <c r="J224" s="39">
        <v>1</v>
      </c>
      <c r="K224" s="39">
        <f>ROUND(I224*J224,2)</f>
        <v>18</v>
      </c>
      <c r="L224" s="39">
        <v>0</v>
      </c>
      <c r="M224" s="39">
        <v>1</v>
      </c>
      <c r="N224" s="39">
        <f>ROUND(L224*M224,2)</f>
        <v>0</v>
      </c>
      <c r="O224" s="39">
        <f>E224+H224+K224+N224</f>
        <v>72</v>
      </c>
    </row>
    <row r="225" spans="1:17" ht="16.5">
      <c r="A225" s="37" t="s">
        <v>299</v>
      </c>
      <c r="B225" s="39" t="s">
        <v>104</v>
      </c>
      <c r="C225" s="39">
        <v>0</v>
      </c>
      <c r="D225" s="39">
        <v>52</v>
      </c>
      <c r="E225" s="39">
        <f t="shared" ref="E225" si="19">ROUND(C225*D225,2)</f>
        <v>0</v>
      </c>
      <c r="F225" s="39">
        <v>0</v>
      </c>
      <c r="G225" s="39">
        <v>1</v>
      </c>
      <c r="H225" s="39">
        <f t="shared" ref="H225:H259" si="20">ROUND(F225*G225,2)</f>
        <v>0</v>
      </c>
      <c r="I225" s="39">
        <v>0</v>
      </c>
      <c r="J225" s="39">
        <v>1</v>
      </c>
      <c r="K225" s="39">
        <f t="shared" ref="K225:K259" si="21">ROUND(I225*J225,2)</f>
        <v>0</v>
      </c>
      <c r="L225" s="39">
        <v>0</v>
      </c>
      <c r="M225" s="39">
        <v>1</v>
      </c>
      <c r="N225" s="39">
        <f t="shared" ref="N225:N259" si="22">ROUND(L225*M225,2)</f>
        <v>0</v>
      </c>
      <c r="O225" s="39">
        <f t="shared" ref="O225:O259" si="23">E225+H225+K225+N225</f>
        <v>0</v>
      </c>
    </row>
    <row r="226" spans="1:17" ht="16.5">
      <c r="A226" s="37" t="s">
        <v>300</v>
      </c>
      <c r="B226" s="39" t="s">
        <v>104</v>
      </c>
      <c r="C226" s="39">
        <v>0</v>
      </c>
      <c r="D226" s="39">
        <v>52</v>
      </c>
      <c r="E226" s="39">
        <f>ROUND(C226*D226,2)</f>
        <v>0</v>
      </c>
      <c r="F226" s="39">
        <v>0</v>
      </c>
      <c r="G226" s="39">
        <v>1</v>
      </c>
      <c r="H226" s="39">
        <f t="shared" si="20"/>
        <v>0</v>
      </c>
      <c r="I226" s="39">
        <v>0</v>
      </c>
      <c r="J226" s="39">
        <v>1</v>
      </c>
      <c r="K226" s="39">
        <f t="shared" si="21"/>
        <v>0</v>
      </c>
      <c r="L226" s="39">
        <v>0</v>
      </c>
      <c r="M226" s="39">
        <v>1</v>
      </c>
      <c r="N226" s="39">
        <f t="shared" si="22"/>
        <v>0</v>
      </c>
      <c r="O226" s="39">
        <f t="shared" si="23"/>
        <v>0</v>
      </c>
    </row>
    <row r="227" spans="1:17" ht="16.5">
      <c r="A227" s="37" t="s">
        <v>301</v>
      </c>
      <c r="B227" s="39" t="s">
        <v>104</v>
      </c>
      <c r="C227" s="39">
        <v>12</v>
      </c>
      <c r="D227" s="39">
        <v>52</v>
      </c>
      <c r="E227" s="39">
        <f t="shared" ref="E227:E259" si="24">ROUND(C227*D227,2)</f>
        <v>624</v>
      </c>
      <c r="F227" s="39">
        <v>6</v>
      </c>
      <c r="G227" s="39">
        <v>1</v>
      </c>
      <c r="H227" s="39">
        <f t="shared" si="20"/>
        <v>6</v>
      </c>
      <c r="I227" s="39">
        <v>24</v>
      </c>
      <c r="J227" s="39">
        <v>1</v>
      </c>
      <c r="K227" s="39">
        <f t="shared" si="21"/>
        <v>24</v>
      </c>
      <c r="L227" s="39">
        <v>0</v>
      </c>
      <c r="M227" s="39">
        <v>1</v>
      </c>
      <c r="N227" s="39">
        <f t="shared" si="22"/>
        <v>0</v>
      </c>
      <c r="O227" s="39">
        <f t="shared" si="23"/>
        <v>654</v>
      </c>
      <c r="P227" s="52" t="s">
        <v>302</v>
      </c>
      <c r="Q227" s="52"/>
    </row>
    <row r="228" spans="1:17" ht="16.5">
      <c r="A228" s="37" t="s">
        <v>303</v>
      </c>
      <c r="B228" s="39" t="s">
        <v>104</v>
      </c>
      <c r="C228" s="39">
        <v>6</v>
      </c>
      <c r="D228" s="39">
        <v>52</v>
      </c>
      <c r="E228" s="39">
        <f t="shared" si="24"/>
        <v>312</v>
      </c>
      <c r="F228" s="39">
        <v>0</v>
      </c>
      <c r="G228" s="39">
        <v>1</v>
      </c>
      <c r="H228" s="39">
        <f t="shared" si="20"/>
        <v>0</v>
      </c>
      <c r="I228" s="39">
        <f>96+16+16</f>
        <v>128</v>
      </c>
      <c r="J228" s="39">
        <v>1</v>
      </c>
      <c r="K228" s="39">
        <f t="shared" si="21"/>
        <v>128</v>
      </c>
      <c r="L228" s="39">
        <v>0</v>
      </c>
      <c r="M228" s="39">
        <v>1</v>
      </c>
      <c r="N228" s="39">
        <f t="shared" si="22"/>
        <v>0</v>
      </c>
      <c r="O228" s="39">
        <f t="shared" si="23"/>
        <v>440</v>
      </c>
      <c r="P228" s="52" t="s">
        <v>304</v>
      </c>
      <c r="Q228" s="52"/>
    </row>
    <row r="229" spans="1:17" ht="16.5">
      <c r="A229" s="37" t="s">
        <v>305</v>
      </c>
      <c r="B229" s="39" t="s">
        <v>104</v>
      </c>
      <c r="C229" s="39">
        <v>0</v>
      </c>
      <c r="D229" s="39">
        <v>52</v>
      </c>
      <c r="E229" s="39">
        <f t="shared" si="24"/>
        <v>0</v>
      </c>
      <c r="F229" s="39">
        <v>15</v>
      </c>
      <c r="G229" s="39">
        <v>1</v>
      </c>
      <c r="H229" s="39">
        <f t="shared" si="20"/>
        <v>15</v>
      </c>
      <c r="I229" s="39">
        <v>6</v>
      </c>
      <c r="J229" s="39">
        <v>1</v>
      </c>
      <c r="K229" s="39">
        <f t="shared" si="21"/>
        <v>6</v>
      </c>
      <c r="L229" s="39">
        <v>0</v>
      </c>
      <c r="M229" s="39">
        <v>1</v>
      </c>
      <c r="N229" s="39">
        <f t="shared" si="22"/>
        <v>0</v>
      </c>
      <c r="O229" s="39">
        <f t="shared" si="23"/>
        <v>21</v>
      </c>
      <c r="P229" s="52" t="s">
        <v>306</v>
      </c>
      <c r="Q229" s="52"/>
    </row>
    <row r="230" spans="1:17" ht="16.5">
      <c r="A230" s="37" t="s">
        <v>307</v>
      </c>
      <c r="B230" s="39" t="s">
        <v>104</v>
      </c>
      <c r="C230" s="39">
        <f>3.5+1</f>
        <v>4.5</v>
      </c>
      <c r="D230" s="39">
        <v>52</v>
      </c>
      <c r="E230" s="39">
        <f t="shared" si="24"/>
        <v>234</v>
      </c>
      <c r="F230" s="39">
        <f>12</f>
        <v>12</v>
      </c>
      <c r="G230" s="39">
        <v>1</v>
      </c>
      <c r="H230" s="39">
        <f t="shared" si="20"/>
        <v>12</v>
      </c>
      <c r="I230" s="39">
        <f>9+15+3*11+10+11*1+6</f>
        <v>84</v>
      </c>
      <c r="J230" s="39">
        <v>1</v>
      </c>
      <c r="K230" s="39">
        <f t="shared" si="21"/>
        <v>84</v>
      </c>
      <c r="L230" s="39">
        <v>0</v>
      </c>
      <c r="M230" s="39">
        <v>1</v>
      </c>
      <c r="N230" s="39">
        <f t="shared" si="22"/>
        <v>0</v>
      </c>
      <c r="O230" s="39">
        <f t="shared" si="23"/>
        <v>330</v>
      </c>
      <c r="P230" s="52" t="s">
        <v>308</v>
      </c>
      <c r="Q230" s="52"/>
    </row>
    <row r="231" spans="1:17" ht="16.5">
      <c r="A231" s="37" t="s">
        <v>309</v>
      </c>
      <c r="B231" s="39" t="s">
        <v>151</v>
      </c>
      <c r="C231" s="39">
        <v>1.5</v>
      </c>
      <c r="D231" s="39">
        <v>52</v>
      </c>
      <c r="E231" s="39">
        <f t="shared" si="24"/>
        <v>78</v>
      </c>
      <c r="F231" s="39">
        <v>0</v>
      </c>
      <c r="G231" s="39">
        <v>1</v>
      </c>
      <c r="H231" s="39">
        <f t="shared" si="20"/>
        <v>0</v>
      </c>
      <c r="I231" s="39">
        <f>1.5*13</f>
        <v>19.5</v>
      </c>
      <c r="J231" s="39">
        <v>1</v>
      </c>
      <c r="K231" s="39">
        <f t="shared" si="21"/>
        <v>19.5</v>
      </c>
      <c r="L231" s="39">
        <v>0</v>
      </c>
      <c r="M231" s="39">
        <v>1</v>
      </c>
      <c r="N231" s="39">
        <f t="shared" si="22"/>
        <v>0</v>
      </c>
      <c r="O231" s="39">
        <f t="shared" si="23"/>
        <v>97.5</v>
      </c>
      <c r="P231" s="52" t="s">
        <v>310</v>
      </c>
      <c r="Q231" s="52"/>
    </row>
    <row r="232" spans="1:17" ht="16.5">
      <c r="A232" s="37" t="s">
        <v>311</v>
      </c>
      <c r="B232" s="39" t="s">
        <v>151</v>
      </c>
      <c r="C232" s="39">
        <v>0</v>
      </c>
      <c r="D232" s="39">
        <v>52</v>
      </c>
      <c r="E232" s="39">
        <f t="shared" si="24"/>
        <v>0</v>
      </c>
      <c r="F232" s="39">
        <v>0</v>
      </c>
      <c r="G232" s="39">
        <v>1</v>
      </c>
      <c r="H232" s="39">
        <f t="shared" si="20"/>
        <v>0</v>
      </c>
      <c r="I232" s="39">
        <v>0</v>
      </c>
      <c r="J232" s="39">
        <v>1</v>
      </c>
      <c r="K232" s="39">
        <f t="shared" si="21"/>
        <v>0</v>
      </c>
      <c r="L232" s="39">
        <v>0</v>
      </c>
      <c r="M232" s="39">
        <v>1</v>
      </c>
      <c r="N232" s="39">
        <f t="shared" si="22"/>
        <v>0</v>
      </c>
      <c r="O232" s="39">
        <f t="shared" si="23"/>
        <v>0</v>
      </c>
    </row>
    <row r="233" spans="1:17" ht="16.5">
      <c r="A233" s="37" t="s">
        <v>312</v>
      </c>
      <c r="B233" s="39" t="s">
        <v>151</v>
      </c>
      <c r="C233" s="39">
        <v>1</v>
      </c>
      <c r="D233" s="39">
        <v>52</v>
      </c>
      <c r="E233" s="39">
        <f t="shared" si="24"/>
        <v>52</v>
      </c>
      <c r="F233" s="39">
        <v>0</v>
      </c>
      <c r="G233" s="39">
        <v>1</v>
      </c>
      <c r="H233" s="39">
        <f t="shared" si="20"/>
        <v>0</v>
      </c>
      <c r="I233" s="39">
        <v>2</v>
      </c>
      <c r="J233" s="39">
        <v>1</v>
      </c>
      <c r="K233" s="39">
        <f t="shared" si="21"/>
        <v>2</v>
      </c>
      <c r="L233" s="39">
        <v>0</v>
      </c>
      <c r="M233" s="39">
        <v>1</v>
      </c>
      <c r="N233" s="39">
        <f t="shared" si="22"/>
        <v>0</v>
      </c>
      <c r="O233" s="39">
        <f t="shared" si="23"/>
        <v>54</v>
      </c>
      <c r="P233" s="52" t="s">
        <v>313</v>
      </c>
      <c r="Q233" s="52"/>
    </row>
    <row r="234" spans="1:17" ht="16.5">
      <c r="A234" s="37" t="s">
        <v>314</v>
      </c>
      <c r="B234" s="39" t="s">
        <v>151</v>
      </c>
      <c r="C234" s="39">
        <f>C228/6</f>
        <v>1</v>
      </c>
      <c r="D234" s="39">
        <v>52</v>
      </c>
      <c r="E234" s="39">
        <f t="shared" si="24"/>
        <v>52</v>
      </c>
      <c r="F234" s="39">
        <f>F228/6</f>
        <v>0</v>
      </c>
      <c r="G234" s="39">
        <v>1</v>
      </c>
      <c r="H234" s="39">
        <f t="shared" si="20"/>
        <v>0</v>
      </c>
      <c r="I234" s="39">
        <f>ROUNDDOWN(I228/6,0)</f>
        <v>21</v>
      </c>
      <c r="J234" s="39">
        <v>1</v>
      </c>
      <c r="K234" s="39">
        <f t="shared" si="21"/>
        <v>21</v>
      </c>
      <c r="L234" s="39">
        <f>ROUNDDOWN(L228/6,0)</f>
        <v>0</v>
      </c>
      <c r="M234" s="39">
        <v>1</v>
      </c>
      <c r="N234" s="39">
        <f t="shared" si="22"/>
        <v>0</v>
      </c>
      <c r="O234" s="39">
        <f t="shared" si="23"/>
        <v>73</v>
      </c>
      <c r="P234" s="52" t="s">
        <v>313</v>
      </c>
      <c r="Q234" s="52"/>
    </row>
    <row r="235" spans="1:17" ht="16.5">
      <c r="A235" s="37" t="s">
        <v>315</v>
      </c>
      <c r="B235" s="39" t="s">
        <v>151</v>
      </c>
      <c r="C235" s="39">
        <f>C229/6</f>
        <v>0</v>
      </c>
      <c r="D235" s="39">
        <v>52</v>
      </c>
      <c r="E235" s="39">
        <f t="shared" si="24"/>
        <v>0</v>
      </c>
      <c r="F235" s="39">
        <f>ROUNDDOWN(F229/6,0)</f>
        <v>2</v>
      </c>
      <c r="G235" s="39">
        <v>1</v>
      </c>
      <c r="H235" s="39">
        <f t="shared" si="20"/>
        <v>2</v>
      </c>
      <c r="I235" s="39">
        <f>ROUNDDOWN(I229/6,0)</f>
        <v>1</v>
      </c>
      <c r="J235" s="39">
        <v>1</v>
      </c>
      <c r="K235" s="39">
        <f t="shared" si="21"/>
        <v>1</v>
      </c>
      <c r="L235" s="39">
        <f>ROUNDDOWN(L229/6,0)</f>
        <v>0</v>
      </c>
      <c r="M235" s="39">
        <v>1</v>
      </c>
      <c r="N235" s="39">
        <f t="shared" si="22"/>
        <v>0</v>
      </c>
      <c r="O235" s="39">
        <f t="shared" si="23"/>
        <v>3</v>
      </c>
      <c r="P235" s="52" t="s">
        <v>313</v>
      </c>
      <c r="Q235" s="52"/>
    </row>
    <row r="236" spans="1:17" ht="16.5">
      <c r="A236" s="37" t="s">
        <v>316</v>
      </c>
      <c r="B236" s="39" t="s">
        <v>151</v>
      </c>
      <c r="C236" s="39">
        <f>ROUNDDOWN(C230/6,0)</f>
        <v>0</v>
      </c>
      <c r="D236" s="39">
        <v>52</v>
      </c>
      <c r="E236" s="39">
        <f t="shared" si="24"/>
        <v>0</v>
      </c>
      <c r="F236" s="39">
        <f>ROUNDDOWN(F230/6,0)</f>
        <v>2</v>
      </c>
      <c r="G236" s="39">
        <v>1</v>
      </c>
      <c r="H236" s="39">
        <f t="shared" si="20"/>
        <v>2</v>
      </c>
      <c r="I236" s="39">
        <f>ROUNDDOWN(I230/6,0)</f>
        <v>14</v>
      </c>
      <c r="J236" s="39">
        <v>1</v>
      </c>
      <c r="K236" s="39">
        <f t="shared" si="21"/>
        <v>14</v>
      </c>
      <c r="L236" s="39">
        <f>ROUNDDOWN(L230/6,0)</f>
        <v>0</v>
      </c>
      <c r="M236" s="39">
        <v>1</v>
      </c>
      <c r="N236" s="39">
        <f t="shared" si="22"/>
        <v>0</v>
      </c>
      <c r="O236" s="39">
        <f t="shared" si="23"/>
        <v>16</v>
      </c>
      <c r="P236" s="52" t="s">
        <v>313</v>
      </c>
      <c r="Q236" s="52"/>
    </row>
    <row r="237" spans="1:17" ht="16.5">
      <c r="A237" s="37" t="s">
        <v>317</v>
      </c>
      <c r="B237" s="39" t="s">
        <v>151</v>
      </c>
      <c r="C237" s="39">
        <f>ROUNDDOWN(C231/6,0)</f>
        <v>0</v>
      </c>
      <c r="D237" s="39">
        <v>52</v>
      </c>
      <c r="E237" s="39">
        <f t="shared" si="24"/>
        <v>0</v>
      </c>
      <c r="F237" s="39">
        <f>ROUNDDOWN(F231/6,0)</f>
        <v>0</v>
      </c>
      <c r="G237" s="39">
        <v>1</v>
      </c>
      <c r="H237" s="39">
        <f t="shared" si="20"/>
        <v>0</v>
      </c>
      <c r="I237" s="39">
        <f>ROUNDDOWN(I231/6,0)</f>
        <v>3</v>
      </c>
      <c r="J237" s="39">
        <v>1</v>
      </c>
      <c r="K237" s="39">
        <f t="shared" si="21"/>
        <v>3</v>
      </c>
      <c r="L237" s="39">
        <f>ROUNDDOWN(L231/6,0)</f>
        <v>0</v>
      </c>
      <c r="M237" s="39">
        <v>1</v>
      </c>
      <c r="N237" s="39">
        <f t="shared" si="22"/>
        <v>0</v>
      </c>
      <c r="O237" s="39">
        <f t="shared" si="23"/>
        <v>3</v>
      </c>
      <c r="P237" s="52" t="s">
        <v>313</v>
      </c>
      <c r="Q237" s="52"/>
    </row>
    <row r="238" spans="1:17" ht="16.5">
      <c r="A238" s="37" t="s">
        <v>318</v>
      </c>
      <c r="B238" s="39" t="s">
        <v>151</v>
      </c>
      <c r="C238" s="39">
        <v>0</v>
      </c>
      <c r="D238" s="39">
        <v>52</v>
      </c>
      <c r="E238" s="39">
        <f t="shared" si="24"/>
        <v>0</v>
      </c>
      <c r="F238" s="39">
        <v>0</v>
      </c>
      <c r="G238" s="39">
        <v>1</v>
      </c>
      <c r="H238" s="39">
        <f t="shared" si="20"/>
        <v>0</v>
      </c>
      <c r="I238" s="39">
        <v>0</v>
      </c>
      <c r="J238" s="39">
        <v>1</v>
      </c>
      <c r="K238" s="39">
        <f t="shared" si="21"/>
        <v>0</v>
      </c>
      <c r="L238" s="39">
        <v>0</v>
      </c>
      <c r="M238" s="39">
        <v>1</v>
      </c>
      <c r="N238" s="39">
        <f t="shared" si="22"/>
        <v>0</v>
      </c>
      <c r="O238" s="39">
        <f t="shared" si="23"/>
        <v>0</v>
      </c>
    </row>
    <row r="239" spans="1:17" ht="16.5">
      <c r="A239" s="37" t="s">
        <v>319</v>
      </c>
      <c r="B239" s="39" t="s">
        <v>151</v>
      </c>
      <c r="C239" s="39">
        <v>1</v>
      </c>
      <c r="D239" s="39">
        <v>52</v>
      </c>
      <c r="E239" s="39">
        <f t="shared" si="24"/>
        <v>52</v>
      </c>
      <c r="F239" s="39">
        <v>0</v>
      </c>
      <c r="G239" s="39">
        <v>1</v>
      </c>
      <c r="H239" s="39">
        <f t="shared" si="20"/>
        <v>0</v>
      </c>
      <c r="I239" s="39">
        <v>13</v>
      </c>
      <c r="J239" s="39">
        <v>1</v>
      </c>
      <c r="K239" s="39">
        <f t="shared" si="21"/>
        <v>13</v>
      </c>
      <c r="L239" s="39">
        <v>0</v>
      </c>
      <c r="M239" s="39">
        <v>1</v>
      </c>
      <c r="N239" s="39">
        <f t="shared" si="22"/>
        <v>0</v>
      </c>
      <c r="O239" s="39">
        <f t="shared" si="23"/>
        <v>65</v>
      </c>
      <c r="P239" s="52" t="s">
        <v>320</v>
      </c>
      <c r="Q239" s="52"/>
    </row>
    <row r="240" spans="1:17" ht="16.5">
      <c r="A240" s="37" t="s">
        <v>321</v>
      </c>
      <c r="B240" s="39" t="s">
        <v>151</v>
      </c>
      <c r="C240" s="39">
        <v>0</v>
      </c>
      <c r="D240" s="39">
        <v>52</v>
      </c>
      <c r="E240" s="39">
        <f t="shared" si="24"/>
        <v>0</v>
      </c>
      <c r="F240" s="39">
        <v>0</v>
      </c>
      <c r="G240" s="39">
        <v>1</v>
      </c>
      <c r="H240" s="39">
        <f t="shared" si="20"/>
        <v>0</v>
      </c>
      <c r="I240" s="39">
        <v>0</v>
      </c>
      <c r="J240" s="39">
        <v>1</v>
      </c>
      <c r="K240" s="39">
        <f t="shared" si="21"/>
        <v>0</v>
      </c>
      <c r="L240" s="39">
        <v>0</v>
      </c>
      <c r="M240" s="39">
        <v>1</v>
      </c>
      <c r="N240" s="39">
        <f t="shared" si="22"/>
        <v>0</v>
      </c>
      <c r="O240" s="39">
        <f t="shared" si="23"/>
        <v>0</v>
      </c>
    </row>
    <row r="241" spans="1:17" ht="16.5">
      <c r="A241" s="37" t="s">
        <v>322</v>
      </c>
      <c r="B241" s="39" t="s">
        <v>151</v>
      </c>
      <c r="C241" s="39">
        <f>2*2</f>
        <v>4</v>
      </c>
      <c r="D241" s="39">
        <v>52</v>
      </c>
      <c r="E241" s="39">
        <f t="shared" si="24"/>
        <v>208</v>
      </c>
      <c r="F241" s="39">
        <f>3*2+5*2</f>
        <v>16</v>
      </c>
      <c r="G241" s="39">
        <v>1</v>
      </c>
      <c r="H241" s="39">
        <f t="shared" si="20"/>
        <v>16</v>
      </c>
      <c r="I241" s="39">
        <f>14*2+6*2</f>
        <v>40</v>
      </c>
      <c r="J241" s="39">
        <v>1</v>
      </c>
      <c r="K241" s="39">
        <f t="shared" si="21"/>
        <v>40</v>
      </c>
      <c r="L241" s="39">
        <v>0</v>
      </c>
      <c r="M241" s="39">
        <v>1</v>
      </c>
      <c r="N241" s="39">
        <f t="shared" si="22"/>
        <v>0</v>
      </c>
      <c r="O241" s="39">
        <f t="shared" si="23"/>
        <v>264</v>
      </c>
      <c r="P241" s="52" t="s">
        <v>323</v>
      </c>
      <c r="Q241" s="52"/>
    </row>
    <row r="242" spans="1:17" ht="16.5">
      <c r="A242" s="37" t="s">
        <v>324</v>
      </c>
      <c r="B242" s="39" t="s">
        <v>151</v>
      </c>
      <c r="C242" s="39">
        <v>2</v>
      </c>
      <c r="D242" s="39">
        <v>52</v>
      </c>
      <c r="E242" s="39">
        <f t="shared" si="24"/>
        <v>104</v>
      </c>
      <c r="F242" s="39">
        <v>0</v>
      </c>
      <c r="G242" s="39">
        <v>1</v>
      </c>
      <c r="H242" s="39">
        <f t="shared" si="20"/>
        <v>0</v>
      </c>
      <c r="I242" s="39">
        <f>14*2</f>
        <v>28</v>
      </c>
      <c r="J242" s="39">
        <v>1</v>
      </c>
      <c r="K242" s="39">
        <f t="shared" si="21"/>
        <v>28</v>
      </c>
      <c r="L242" s="39">
        <v>0</v>
      </c>
      <c r="M242" s="39">
        <v>1</v>
      </c>
      <c r="N242" s="39">
        <f t="shared" si="22"/>
        <v>0</v>
      </c>
      <c r="O242" s="39">
        <f t="shared" si="23"/>
        <v>132</v>
      </c>
      <c r="P242" s="52" t="s">
        <v>325</v>
      </c>
      <c r="Q242" s="52"/>
    </row>
    <row r="243" spans="1:17" ht="16.5">
      <c r="A243" s="37" t="s">
        <v>326</v>
      </c>
      <c r="B243" s="39" t="s">
        <v>151</v>
      </c>
      <c r="C243" s="39">
        <v>1</v>
      </c>
      <c r="D243" s="39">
        <v>52</v>
      </c>
      <c r="E243" s="39">
        <f t="shared" si="24"/>
        <v>52</v>
      </c>
      <c r="F243" s="39">
        <v>0</v>
      </c>
      <c r="G243" s="39">
        <v>1</v>
      </c>
      <c r="H243" s="39">
        <f t="shared" si="20"/>
        <v>0</v>
      </c>
      <c r="I243" s="39">
        <f>13</f>
        <v>13</v>
      </c>
      <c r="J243" s="39">
        <v>1</v>
      </c>
      <c r="K243" s="39">
        <f t="shared" si="21"/>
        <v>13</v>
      </c>
      <c r="L243" s="39">
        <v>0</v>
      </c>
      <c r="M243" s="39">
        <v>1</v>
      </c>
      <c r="N243" s="39">
        <f t="shared" si="22"/>
        <v>0</v>
      </c>
      <c r="O243" s="39">
        <f t="shared" si="23"/>
        <v>65</v>
      </c>
      <c r="P243" s="52" t="s">
        <v>320</v>
      </c>
      <c r="Q243" s="52"/>
    </row>
    <row r="244" spans="1:17" ht="16.5">
      <c r="A244" s="37" t="s">
        <v>327</v>
      </c>
      <c r="B244" s="39" t="s">
        <v>151</v>
      </c>
      <c r="C244" s="39">
        <v>0</v>
      </c>
      <c r="D244" s="39">
        <v>52</v>
      </c>
      <c r="E244" s="39">
        <f t="shared" si="24"/>
        <v>0</v>
      </c>
      <c r="F244" s="39">
        <v>1</v>
      </c>
      <c r="G244" s="39">
        <v>1</v>
      </c>
      <c r="H244" s="39">
        <f t="shared" si="20"/>
        <v>1</v>
      </c>
      <c r="I244" s="39">
        <v>3</v>
      </c>
      <c r="J244" s="39">
        <v>1</v>
      </c>
      <c r="K244" s="39">
        <f t="shared" si="21"/>
        <v>3</v>
      </c>
      <c r="L244" s="39">
        <v>0</v>
      </c>
      <c r="M244" s="39">
        <v>1</v>
      </c>
      <c r="N244" s="39">
        <f t="shared" si="22"/>
        <v>0</v>
      </c>
      <c r="O244" s="39">
        <f t="shared" si="23"/>
        <v>4</v>
      </c>
    </row>
    <row r="245" spans="1:17" ht="16.5">
      <c r="A245" s="37" t="s">
        <v>328</v>
      </c>
      <c r="B245" s="39" t="s">
        <v>151</v>
      </c>
      <c r="C245" s="39">
        <v>2</v>
      </c>
      <c r="D245" s="39">
        <v>52</v>
      </c>
      <c r="E245" s="39">
        <f t="shared" si="24"/>
        <v>104</v>
      </c>
      <c r="F245" s="39">
        <f>5+3*2</f>
        <v>11</v>
      </c>
      <c r="G245" s="39">
        <v>1</v>
      </c>
      <c r="H245" s="39">
        <f t="shared" si="20"/>
        <v>11</v>
      </c>
      <c r="I245" s="39">
        <f>6+11</f>
        <v>17</v>
      </c>
      <c r="J245" s="39">
        <v>1</v>
      </c>
      <c r="K245" s="39">
        <f t="shared" si="21"/>
        <v>17</v>
      </c>
      <c r="L245" s="39">
        <v>0</v>
      </c>
      <c r="M245" s="39">
        <v>1</v>
      </c>
      <c r="N245" s="39">
        <f t="shared" si="22"/>
        <v>0</v>
      </c>
      <c r="O245" s="39">
        <f t="shared" si="23"/>
        <v>132</v>
      </c>
      <c r="P245" s="52" t="s">
        <v>329</v>
      </c>
      <c r="Q245" s="52"/>
    </row>
    <row r="246" spans="1:17" ht="16.5">
      <c r="A246" s="37" t="s">
        <v>330</v>
      </c>
      <c r="B246" s="39" t="s">
        <v>151</v>
      </c>
      <c r="C246" s="39">
        <v>1</v>
      </c>
      <c r="D246" s="39">
        <v>52</v>
      </c>
      <c r="E246" s="39">
        <f t="shared" si="24"/>
        <v>52</v>
      </c>
      <c r="F246" s="39">
        <v>0</v>
      </c>
      <c r="G246" s="39">
        <v>1</v>
      </c>
      <c r="H246" s="39">
        <f t="shared" si="20"/>
        <v>0</v>
      </c>
      <c r="I246" s="39">
        <v>17</v>
      </c>
      <c r="J246" s="39">
        <v>1</v>
      </c>
      <c r="K246" s="39">
        <f t="shared" si="21"/>
        <v>17</v>
      </c>
      <c r="L246" s="39">
        <v>0</v>
      </c>
      <c r="M246" s="39">
        <v>1</v>
      </c>
      <c r="N246" s="39">
        <f t="shared" si="22"/>
        <v>0</v>
      </c>
      <c r="O246" s="39">
        <f t="shared" si="23"/>
        <v>69</v>
      </c>
      <c r="P246" s="52" t="s">
        <v>331</v>
      </c>
      <c r="Q246" s="52"/>
    </row>
    <row r="247" spans="1:17" ht="16.5">
      <c r="A247" s="37" t="s">
        <v>332</v>
      </c>
      <c r="B247" s="39" t="s">
        <v>151</v>
      </c>
      <c r="C247" s="39">
        <v>0</v>
      </c>
      <c r="D247" s="39">
        <v>52</v>
      </c>
      <c r="E247" s="39">
        <f t="shared" si="24"/>
        <v>0</v>
      </c>
      <c r="F247" s="39">
        <v>0</v>
      </c>
      <c r="G247" s="39">
        <v>1</v>
      </c>
      <c r="H247" s="39">
        <f t="shared" si="20"/>
        <v>0</v>
      </c>
      <c r="I247" s="39">
        <v>0</v>
      </c>
      <c r="J247" s="39">
        <v>1</v>
      </c>
      <c r="K247" s="39">
        <f t="shared" si="21"/>
        <v>0</v>
      </c>
      <c r="L247" s="39">
        <v>0</v>
      </c>
      <c r="M247" s="39">
        <v>1</v>
      </c>
      <c r="N247" s="39">
        <f t="shared" si="22"/>
        <v>0</v>
      </c>
      <c r="O247" s="39">
        <f t="shared" si="23"/>
        <v>0</v>
      </c>
    </row>
    <row r="248" spans="1:17" ht="16.5">
      <c r="A248" s="37" t="s">
        <v>333</v>
      </c>
      <c r="B248" s="39" t="s">
        <v>151</v>
      </c>
      <c r="C248" s="39">
        <v>1</v>
      </c>
      <c r="D248" s="39">
        <v>52</v>
      </c>
      <c r="E248" s="39">
        <f t="shared" si="24"/>
        <v>52</v>
      </c>
      <c r="F248" s="39">
        <v>1</v>
      </c>
      <c r="G248" s="39">
        <v>1</v>
      </c>
      <c r="H248" s="39">
        <f t="shared" si="20"/>
        <v>1</v>
      </c>
      <c r="I248" s="39">
        <v>10</v>
      </c>
      <c r="J248" s="39">
        <v>1</v>
      </c>
      <c r="K248" s="39">
        <f t="shared" si="21"/>
        <v>10</v>
      </c>
      <c r="L248" s="39">
        <v>0</v>
      </c>
      <c r="M248" s="39">
        <v>1</v>
      </c>
      <c r="N248" s="39">
        <f t="shared" si="22"/>
        <v>0</v>
      </c>
      <c r="O248" s="39">
        <f t="shared" si="23"/>
        <v>63</v>
      </c>
      <c r="P248" s="52" t="s">
        <v>334</v>
      </c>
      <c r="Q248" s="52"/>
    </row>
    <row r="249" spans="1:17" ht="16.5">
      <c r="A249" s="37" t="s">
        <v>335</v>
      </c>
      <c r="B249" s="39" t="s">
        <v>151</v>
      </c>
      <c r="C249" s="39">
        <v>0</v>
      </c>
      <c r="D249" s="39">
        <v>52</v>
      </c>
      <c r="E249" s="39">
        <f t="shared" si="24"/>
        <v>0</v>
      </c>
      <c r="F249" s="39">
        <v>0</v>
      </c>
      <c r="G249" s="39">
        <v>1</v>
      </c>
      <c r="H249" s="39">
        <f t="shared" si="20"/>
        <v>0</v>
      </c>
      <c r="I249" s="39">
        <v>0</v>
      </c>
      <c r="J249" s="39">
        <v>1</v>
      </c>
      <c r="K249" s="39">
        <f t="shared" si="21"/>
        <v>0</v>
      </c>
      <c r="L249" s="39">
        <v>0</v>
      </c>
      <c r="M249" s="39">
        <v>1</v>
      </c>
      <c r="N249" s="39">
        <f t="shared" si="22"/>
        <v>0</v>
      </c>
      <c r="O249" s="39">
        <f t="shared" si="23"/>
        <v>0</v>
      </c>
    </row>
    <row r="250" spans="1:17" ht="16.5">
      <c r="A250" s="37" t="s">
        <v>336</v>
      </c>
      <c r="B250" s="39" t="s">
        <v>151</v>
      </c>
      <c r="C250" s="39">
        <v>0</v>
      </c>
      <c r="D250" s="39">
        <v>52</v>
      </c>
      <c r="E250" s="39">
        <f t="shared" si="24"/>
        <v>0</v>
      </c>
      <c r="F250" s="39">
        <v>0</v>
      </c>
      <c r="G250" s="39">
        <v>1</v>
      </c>
      <c r="H250" s="39">
        <f t="shared" si="20"/>
        <v>0</v>
      </c>
      <c r="I250" s="39">
        <v>2</v>
      </c>
      <c r="J250" s="39">
        <v>1</v>
      </c>
      <c r="K250" s="39">
        <f t="shared" si="21"/>
        <v>2</v>
      </c>
      <c r="L250" s="39">
        <v>0</v>
      </c>
      <c r="M250" s="39">
        <v>1</v>
      </c>
      <c r="N250" s="39">
        <f t="shared" si="22"/>
        <v>0</v>
      </c>
      <c r="O250" s="39">
        <f t="shared" si="23"/>
        <v>2</v>
      </c>
    </row>
    <row r="251" spans="1:17" ht="16.5">
      <c r="A251" s="37" t="s">
        <v>337</v>
      </c>
      <c r="B251" s="39" t="s">
        <v>151</v>
      </c>
      <c r="C251" s="39">
        <v>0</v>
      </c>
      <c r="D251" s="39">
        <v>52</v>
      </c>
      <c r="E251" s="39">
        <f t="shared" si="24"/>
        <v>0</v>
      </c>
      <c r="F251" s="39">
        <v>6</v>
      </c>
      <c r="G251" s="39">
        <v>1</v>
      </c>
      <c r="H251" s="39">
        <f t="shared" si="20"/>
        <v>6</v>
      </c>
      <c r="I251" s="39">
        <v>2</v>
      </c>
      <c r="J251" s="39">
        <v>1</v>
      </c>
      <c r="K251" s="39">
        <f t="shared" si="21"/>
        <v>2</v>
      </c>
      <c r="L251" s="39">
        <v>0</v>
      </c>
      <c r="M251" s="39">
        <v>1</v>
      </c>
      <c r="N251" s="39">
        <f t="shared" si="22"/>
        <v>0</v>
      </c>
      <c r="O251" s="39">
        <f t="shared" si="23"/>
        <v>8</v>
      </c>
    </row>
    <row r="252" spans="1:17" ht="16.5">
      <c r="A252" s="37" t="s">
        <v>338</v>
      </c>
      <c r="B252" s="39" t="s">
        <v>151</v>
      </c>
      <c r="C252" s="39">
        <v>0</v>
      </c>
      <c r="D252" s="39">
        <v>52</v>
      </c>
      <c r="E252" s="39">
        <f t="shared" si="24"/>
        <v>0</v>
      </c>
      <c r="F252" s="39">
        <v>0</v>
      </c>
      <c r="G252" s="39">
        <v>1</v>
      </c>
      <c r="H252" s="39">
        <f t="shared" si="20"/>
        <v>0</v>
      </c>
      <c r="I252" s="39">
        <v>0</v>
      </c>
      <c r="J252" s="39">
        <v>1</v>
      </c>
      <c r="K252" s="39">
        <f t="shared" si="21"/>
        <v>0</v>
      </c>
      <c r="L252" s="39">
        <v>0</v>
      </c>
      <c r="M252" s="39">
        <v>1</v>
      </c>
      <c r="N252" s="39">
        <f t="shared" si="22"/>
        <v>0</v>
      </c>
      <c r="O252" s="39">
        <f t="shared" si="23"/>
        <v>0</v>
      </c>
    </row>
    <row r="253" spans="1:17" ht="16.5">
      <c r="A253" s="37" t="s">
        <v>339</v>
      </c>
      <c r="B253" s="39" t="s">
        <v>151</v>
      </c>
      <c r="C253" s="39">
        <v>1</v>
      </c>
      <c r="D253" s="39">
        <v>52</v>
      </c>
      <c r="E253" s="39">
        <f t="shared" si="24"/>
        <v>52</v>
      </c>
      <c r="F253" s="39">
        <v>0</v>
      </c>
      <c r="G253" s="39">
        <v>1</v>
      </c>
      <c r="H253" s="39">
        <f t="shared" si="20"/>
        <v>0</v>
      </c>
      <c r="I253" s="39">
        <v>10</v>
      </c>
      <c r="J253" s="39">
        <v>1</v>
      </c>
      <c r="K253" s="39">
        <f t="shared" si="21"/>
        <v>10</v>
      </c>
      <c r="L253" s="39">
        <v>0</v>
      </c>
      <c r="M253" s="39">
        <v>1</v>
      </c>
      <c r="N253" s="39">
        <f t="shared" si="22"/>
        <v>0</v>
      </c>
      <c r="O253" s="39">
        <f t="shared" si="23"/>
        <v>62</v>
      </c>
      <c r="P253" s="52" t="s">
        <v>340</v>
      </c>
      <c r="Q253" s="52"/>
    </row>
    <row r="254" spans="1:17" ht="16.5">
      <c r="A254" s="37" t="s">
        <v>341</v>
      </c>
      <c r="B254" s="39" t="s">
        <v>151</v>
      </c>
      <c r="C254" s="39">
        <v>0</v>
      </c>
      <c r="D254" s="39">
        <v>52</v>
      </c>
      <c r="E254" s="39">
        <f t="shared" si="24"/>
        <v>0</v>
      </c>
      <c r="F254" s="39">
        <v>1</v>
      </c>
      <c r="G254" s="39">
        <v>1</v>
      </c>
      <c r="H254" s="39">
        <f t="shared" si="20"/>
        <v>1</v>
      </c>
      <c r="I254" s="39">
        <v>1</v>
      </c>
      <c r="J254" s="39">
        <v>1</v>
      </c>
      <c r="K254" s="39">
        <f t="shared" si="21"/>
        <v>1</v>
      </c>
      <c r="L254" s="39">
        <v>0</v>
      </c>
      <c r="M254" s="39">
        <v>1</v>
      </c>
      <c r="N254" s="39">
        <f t="shared" si="22"/>
        <v>0</v>
      </c>
      <c r="O254" s="39">
        <f t="shared" si="23"/>
        <v>2</v>
      </c>
    </row>
    <row r="255" spans="1:17" ht="16.5">
      <c r="A255" s="37" t="s">
        <v>342</v>
      </c>
      <c r="B255" s="39" t="s">
        <v>151</v>
      </c>
      <c r="C255" s="39">
        <v>0</v>
      </c>
      <c r="D255" s="39">
        <v>52</v>
      </c>
      <c r="E255" s="39">
        <f t="shared" si="24"/>
        <v>0</v>
      </c>
      <c r="F255" s="39">
        <v>0</v>
      </c>
      <c r="G255" s="39">
        <v>1</v>
      </c>
      <c r="H255" s="39">
        <f t="shared" si="20"/>
        <v>0</v>
      </c>
      <c r="I255" s="39">
        <v>0</v>
      </c>
      <c r="J255" s="39">
        <v>1</v>
      </c>
      <c r="K255" s="39">
        <f t="shared" si="21"/>
        <v>0</v>
      </c>
      <c r="L255" s="39">
        <v>0</v>
      </c>
      <c r="M255" s="39">
        <v>1</v>
      </c>
      <c r="N255" s="39">
        <f t="shared" si="22"/>
        <v>0</v>
      </c>
      <c r="O255" s="39">
        <f t="shared" si="23"/>
        <v>0</v>
      </c>
    </row>
    <row r="256" spans="1:17" ht="16.5">
      <c r="A256" s="37" t="s">
        <v>343</v>
      </c>
      <c r="B256" s="39" t="s">
        <v>151</v>
      </c>
      <c r="C256" s="39">
        <v>2</v>
      </c>
      <c r="D256" s="39">
        <v>52</v>
      </c>
      <c r="E256" s="39">
        <f t="shared" si="24"/>
        <v>104</v>
      </c>
      <c r="F256" s="39">
        <v>3</v>
      </c>
      <c r="G256" s="39">
        <v>1</v>
      </c>
      <c r="H256" s="39">
        <f t="shared" si="20"/>
        <v>3</v>
      </c>
      <c r="I256" s="39">
        <f>13</f>
        <v>13</v>
      </c>
      <c r="J256" s="39">
        <v>1</v>
      </c>
      <c r="K256" s="39">
        <f t="shared" si="21"/>
        <v>13</v>
      </c>
      <c r="L256" s="39">
        <v>0</v>
      </c>
      <c r="M256" s="39">
        <v>1</v>
      </c>
      <c r="N256" s="39">
        <f t="shared" si="22"/>
        <v>0</v>
      </c>
      <c r="O256" s="39">
        <f t="shared" si="23"/>
        <v>120</v>
      </c>
      <c r="P256" s="52" t="s">
        <v>344</v>
      </c>
      <c r="Q256" s="52"/>
    </row>
    <row r="257" spans="1:15" ht="16.5">
      <c r="A257" s="37" t="s">
        <v>345</v>
      </c>
      <c r="B257" s="39" t="s">
        <v>151</v>
      </c>
      <c r="C257" s="39">
        <v>2</v>
      </c>
      <c r="D257" s="39">
        <v>52</v>
      </c>
      <c r="E257" s="39">
        <f t="shared" si="24"/>
        <v>104</v>
      </c>
      <c r="F257" s="39">
        <v>0</v>
      </c>
      <c r="G257" s="39">
        <v>1</v>
      </c>
      <c r="H257" s="39">
        <f t="shared" si="20"/>
        <v>0</v>
      </c>
      <c r="I257" s="39">
        <v>5</v>
      </c>
      <c r="J257" s="39">
        <v>1</v>
      </c>
      <c r="K257" s="39">
        <f t="shared" si="21"/>
        <v>5</v>
      </c>
      <c r="L257" s="39">
        <v>0</v>
      </c>
      <c r="M257" s="39">
        <v>1</v>
      </c>
      <c r="N257" s="39">
        <f t="shared" si="22"/>
        <v>0</v>
      </c>
      <c r="O257" s="39">
        <f t="shared" si="23"/>
        <v>109</v>
      </c>
    </row>
    <row r="258" spans="1:15" ht="16.5">
      <c r="A258" s="37" t="s">
        <v>346</v>
      </c>
      <c r="B258" s="39" t="s">
        <v>151</v>
      </c>
      <c r="C258" s="39">
        <v>0</v>
      </c>
      <c r="D258" s="39">
        <v>52</v>
      </c>
      <c r="E258" s="39">
        <f t="shared" si="24"/>
        <v>0</v>
      </c>
      <c r="F258" s="39">
        <v>0</v>
      </c>
      <c r="G258" s="39">
        <v>1</v>
      </c>
      <c r="H258" s="39">
        <f t="shared" si="20"/>
        <v>0</v>
      </c>
      <c r="I258" s="39">
        <v>5</v>
      </c>
      <c r="J258" s="39">
        <v>1</v>
      </c>
      <c r="K258" s="39">
        <f t="shared" si="21"/>
        <v>5</v>
      </c>
      <c r="L258" s="39">
        <v>0</v>
      </c>
      <c r="M258" s="39">
        <v>1</v>
      </c>
      <c r="N258" s="39">
        <f t="shared" si="22"/>
        <v>0</v>
      </c>
      <c r="O258" s="39">
        <f t="shared" si="23"/>
        <v>5</v>
      </c>
    </row>
    <row r="259" spans="1:15" ht="16.5">
      <c r="A259" s="37" t="s">
        <v>347</v>
      </c>
      <c r="B259" s="39" t="s">
        <v>151</v>
      </c>
      <c r="C259" s="39">
        <v>0</v>
      </c>
      <c r="D259" s="39">
        <v>52</v>
      </c>
      <c r="E259" s="39">
        <f t="shared" si="24"/>
        <v>0</v>
      </c>
      <c r="F259" s="39">
        <v>2</v>
      </c>
      <c r="G259" s="39">
        <v>1</v>
      </c>
      <c r="H259" s="39">
        <f t="shared" si="20"/>
        <v>2</v>
      </c>
      <c r="I259" s="39">
        <v>0</v>
      </c>
      <c r="J259" s="39">
        <v>1</v>
      </c>
      <c r="K259" s="39">
        <f t="shared" si="21"/>
        <v>0</v>
      </c>
      <c r="L259" s="39">
        <v>0</v>
      </c>
      <c r="M259" s="39">
        <v>1</v>
      </c>
      <c r="N259" s="39">
        <f t="shared" si="22"/>
        <v>0</v>
      </c>
      <c r="O259" s="39">
        <f t="shared" si="23"/>
        <v>2</v>
      </c>
    </row>
    <row r="260" spans="1:15" ht="16.5">
      <c r="A260" s="37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</row>
    <row r="261" spans="1:15" ht="16.5">
      <c r="A261" s="252" t="s">
        <v>348</v>
      </c>
      <c r="B261" s="252" t="s">
        <v>90</v>
      </c>
      <c r="C261" s="252" t="s">
        <v>243</v>
      </c>
      <c r="D261" s="252" t="s">
        <v>164</v>
      </c>
      <c r="E261" s="252" t="s">
        <v>158</v>
      </c>
      <c r="F261" s="252" t="s">
        <v>243</v>
      </c>
      <c r="G261" s="252" t="s">
        <v>33</v>
      </c>
      <c r="H261" s="252" t="s">
        <v>158</v>
      </c>
      <c r="I261" s="252" t="s">
        <v>243</v>
      </c>
      <c r="J261" s="252" t="s">
        <v>244</v>
      </c>
      <c r="K261" s="252" t="s">
        <v>158</v>
      </c>
      <c r="L261" s="252" t="s">
        <v>243</v>
      </c>
      <c r="M261" s="252" t="s">
        <v>169</v>
      </c>
      <c r="N261" s="252" t="s">
        <v>158</v>
      </c>
      <c r="O261" s="252" t="s">
        <v>245</v>
      </c>
    </row>
    <row r="262" spans="1:15" ht="16.5">
      <c r="A262" s="37" t="s">
        <v>349</v>
      </c>
      <c r="B262" s="39" t="s">
        <v>104</v>
      </c>
      <c r="C262" s="39"/>
      <c r="D262" s="39">
        <v>52</v>
      </c>
      <c r="E262" s="39">
        <f t="shared" ref="E262:E270" si="25">ROUND(C262*D262,2)</f>
        <v>0</v>
      </c>
      <c r="F262" s="39"/>
      <c r="G262" s="39"/>
      <c r="H262" s="39">
        <f t="shared" ref="H262:H270" si="26">ROUND(F262*G262,2)</f>
        <v>0</v>
      </c>
      <c r="I262" s="39"/>
      <c r="J262" s="39"/>
      <c r="K262" s="39">
        <f t="shared" ref="K262:K270" si="27">ROUND(I262*J262,2)</f>
        <v>0</v>
      </c>
      <c r="L262" s="39"/>
      <c r="M262" s="39"/>
      <c r="N262" s="39">
        <f t="shared" ref="N262:N270" si="28">ROUND(L262*M262,2)</f>
        <v>0</v>
      </c>
      <c r="O262" s="39">
        <f t="shared" ref="O262:O268" si="29">E262+H262+K262+N262</f>
        <v>0</v>
      </c>
    </row>
    <row r="263" spans="1:15" ht="16.5">
      <c r="A263" s="37" t="s">
        <v>350</v>
      </c>
      <c r="B263" s="39" t="s">
        <v>104</v>
      </c>
      <c r="C263" s="39"/>
      <c r="D263" s="39">
        <v>52</v>
      </c>
      <c r="E263" s="39">
        <f t="shared" si="25"/>
        <v>0</v>
      </c>
      <c r="F263" s="39"/>
      <c r="G263" s="39"/>
      <c r="H263" s="39">
        <f t="shared" si="26"/>
        <v>0</v>
      </c>
      <c r="I263" s="39"/>
      <c r="J263" s="39"/>
      <c r="K263" s="39">
        <f t="shared" si="27"/>
        <v>0</v>
      </c>
      <c r="L263" s="39"/>
      <c r="M263" s="39"/>
      <c r="N263" s="39">
        <f t="shared" si="28"/>
        <v>0</v>
      </c>
      <c r="O263" s="39">
        <f t="shared" si="29"/>
        <v>0</v>
      </c>
    </row>
    <row r="264" spans="1:15" ht="16.5">
      <c r="A264" s="37" t="s">
        <v>351</v>
      </c>
      <c r="B264" s="39" t="s">
        <v>104</v>
      </c>
      <c r="C264" s="39"/>
      <c r="D264" s="39">
        <v>52</v>
      </c>
      <c r="E264" s="39">
        <f t="shared" si="25"/>
        <v>0</v>
      </c>
      <c r="F264" s="39"/>
      <c r="G264" s="39"/>
      <c r="H264" s="39">
        <f t="shared" si="26"/>
        <v>0</v>
      </c>
      <c r="I264" s="39"/>
      <c r="J264" s="39"/>
      <c r="K264" s="39">
        <f t="shared" si="27"/>
        <v>0</v>
      </c>
      <c r="L264" s="39"/>
      <c r="M264" s="39"/>
      <c r="N264" s="39">
        <f t="shared" si="28"/>
        <v>0</v>
      </c>
      <c r="O264" s="39">
        <v>260</v>
      </c>
    </row>
    <row r="265" spans="1:15" ht="16.5">
      <c r="A265" s="37" t="s">
        <v>352</v>
      </c>
      <c r="B265" s="39" t="s">
        <v>151</v>
      </c>
      <c r="C265" s="39"/>
      <c r="D265" s="39">
        <v>52</v>
      </c>
      <c r="E265" s="39">
        <f t="shared" si="25"/>
        <v>0</v>
      </c>
      <c r="F265" s="39"/>
      <c r="G265" s="39"/>
      <c r="H265" s="39">
        <f t="shared" si="26"/>
        <v>0</v>
      </c>
      <c r="I265" s="39"/>
      <c r="J265" s="39"/>
      <c r="K265" s="39">
        <f t="shared" si="27"/>
        <v>0</v>
      </c>
      <c r="L265" s="39"/>
      <c r="M265" s="39"/>
      <c r="N265" s="39">
        <f t="shared" si="28"/>
        <v>0</v>
      </c>
      <c r="O265" s="39">
        <v>4</v>
      </c>
    </row>
    <row r="266" spans="1:15" ht="16.5">
      <c r="A266" s="37" t="s">
        <v>353</v>
      </c>
      <c r="B266" s="39" t="s">
        <v>151</v>
      </c>
      <c r="C266" s="39"/>
      <c r="D266" s="39">
        <v>52</v>
      </c>
      <c r="E266" s="39">
        <f t="shared" si="25"/>
        <v>0</v>
      </c>
      <c r="F266" s="39"/>
      <c r="G266" s="39"/>
      <c r="H266" s="39">
        <f t="shared" si="26"/>
        <v>0</v>
      </c>
      <c r="I266" s="39"/>
      <c r="J266" s="39"/>
      <c r="K266" s="39">
        <f t="shared" si="27"/>
        <v>0</v>
      </c>
      <c r="L266" s="39"/>
      <c r="M266" s="39"/>
      <c r="N266" s="39">
        <f t="shared" si="28"/>
        <v>0</v>
      </c>
      <c r="O266" s="39">
        <f t="shared" si="29"/>
        <v>0</v>
      </c>
    </row>
    <row r="267" spans="1:15" ht="16.5">
      <c r="A267" s="37" t="s">
        <v>354</v>
      </c>
      <c r="B267" s="39" t="s">
        <v>151</v>
      </c>
      <c r="C267" s="39"/>
      <c r="D267" s="39">
        <v>52</v>
      </c>
      <c r="E267" s="39">
        <f t="shared" si="25"/>
        <v>0</v>
      </c>
      <c r="F267" s="39"/>
      <c r="G267" s="39"/>
      <c r="H267" s="39">
        <f t="shared" si="26"/>
        <v>0</v>
      </c>
      <c r="I267" s="39"/>
      <c r="J267" s="39"/>
      <c r="K267" s="39">
        <f t="shared" si="27"/>
        <v>0</v>
      </c>
      <c r="L267" s="39"/>
      <c r="M267" s="39"/>
      <c r="N267" s="39">
        <f t="shared" si="28"/>
        <v>0</v>
      </c>
      <c r="O267" s="39">
        <f t="shared" si="29"/>
        <v>0</v>
      </c>
    </row>
    <row r="268" spans="1:15" ht="16.5">
      <c r="A268" s="37" t="s">
        <v>355</v>
      </c>
      <c r="B268" s="39" t="s">
        <v>151</v>
      </c>
      <c r="C268" s="39"/>
      <c r="D268" s="39">
        <v>52</v>
      </c>
      <c r="E268" s="39">
        <f t="shared" si="25"/>
        <v>0</v>
      </c>
      <c r="F268" s="39"/>
      <c r="G268" s="39"/>
      <c r="H268" s="39">
        <f t="shared" si="26"/>
        <v>0</v>
      </c>
      <c r="I268" s="39"/>
      <c r="J268" s="39"/>
      <c r="K268" s="39">
        <f t="shared" si="27"/>
        <v>0</v>
      </c>
      <c r="L268" s="39"/>
      <c r="M268" s="39"/>
      <c r="N268" s="39">
        <f t="shared" si="28"/>
        <v>0</v>
      </c>
      <c r="O268" s="39">
        <f t="shared" si="29"/>
        <v>0</v>
      </c>
    </row>
    <row r="269" spans="1:15" ht="16.5">
      <c r="A269" s="37" t="s">
        <v>356</v>
      </c>
      <c r="B269" s="39" t="s">
        <v>151</v>
      </c>
      <c r="C269" s="39"/>
      <c r="D269" s="39">
        <v>52</v>
      </c>
      <c r="E269" s="39">
        <f t="shared" si="25"/>
        <v>0</v>
      </c>
      <c r="F269" s="39"/>
      <c r="G269" s="39"/>
      <c r="H269" s="39">
        <f t="shared" si="26"/>
        <v>0</v>
      </c>
      <c r="I269" s="39"/>
      <c r="J269" s="39"/>
      <c r="K269" s="39">
        <f t="shared" si="27"/>
        <v>0</v>
      </c>
      <c r="L269" s="39"/>
      <c r="M269" s="39"/>
      <c r="N269" s="39">
        <f t="shared" si="28"/>
        <v>0</v>
      </c>
      <c r="O269" s="39">
        <v>8</v>
      </c>
    </row>
    <row r="270" spans="1:15" ht="16.5">
      <c r="A270" s="37" t="s">
        <v>345</v>
      </c>
      <c r="B270" s="39" t="s">
        <v>151</v>
      </c>
      <c r="C270" s="39"/>
      <c r="D270" s="39">
        <v>52</v>
      </c>
      <c r="E270" s="39">
        <f t="shared" si="25"/>
        <v>0</v>
      </c>
      <c r="F270" s="39"/>
      <c r="G270" s="39"/>
      <c r="H270" s="39">
        <f t="shared" si="26"/>
        <v>0</v>
      </c>
      <c r="I270" s="39"/>
      <c r="J270" s="39"/>
      <c r="K270" s="39">
        <f t="shared" si="27"/>
        <v>0</v>
      </c>
      <c r="L270" s="39"/>
      <c r="M270" s="39"/>
      <c r="N270" s="39">
        <f t="shared" si="28"/>
        <v>0</v>
      </c>
      <c r="O270" s="39">
        <v>10</v>
      </c>
    </row>
    <row r="271" spans="1:15" ht="16.5">
      <c r="A271" s="37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</row>
    <row r="272" spans="1:15" ht="16.5">
      <c r="A272" s="252" t="s">
        <v>357</v>
      </c>
      <c r="B272" s="252" t="s">
        <v>358</v>
      </c>
      <c r="C272" s="252" t="s">
        <v>359</v>
      </c>
      <c r="D272" s="252" t="s">
        <v>360</v>
      </c>
      <c r="E272" s="252" t="s">
        <v>361</v>
      </c>
    </row>
    <row r="273" spans="1:19" ht="16.5">
      <c r="A273" s="37" t="s">
        <v>164</v>
      </c>
      <c r="B273" s="39">
        <v>4</v>
      </c>
      <c r="C273" s="39">
        <v>52</v>
      </c>
      <c r="D273" s="39">
        <v>20</v>
      </c>
      <c r="E273" s="39">
        <v>0</v>
      </c>
    </row>
    <row r="274" spans="1:19" ht="16.5">
      <c r="A274" s="37" t="s">
        <v>33</v>
      </c>
      <c r="B274" s="39">
        <v>1</v>
      </c>
      <c r="C274" s="39">
        <v>3</v>
      </c>
      <c r="D274" s="39">
        <v>1</v>
      </c>
      <c r="E274" s="39">
        <v>1</v>
      </c>
    </row>
    <row r="275" spans="1:19" ht="16.5">
      <c r="A275" s="37" t="s">
        <v>166</v>
      </c>
      <c r="B275" s="39">
        <v>7</v>
      </c>
      <c r="C275" s="39">
        <v>20</v>
      </c>
      <c r="D275" s="39">
        <v>15</v>
      </c>
      <c r="E275" s="39">
        <v>7</v>
      </c>
    </row>
    <row r="276" spans="1:19" ht="16.5">
      <c r="A276" s="37" t="s">
        <v>169</v>
      </c>
      <c r="B276" s="39">
        <v>0</v>
      </c>
      <c r="C276" s="39">
        <v>0</v>
      </c>
      <c r="D276" s="39">
        <v>0</v>
      </c>
      <c r="E276" s="39">
        <v>0</v>
      </c>
    </row>
    <row r="277" spans="1:19" ht="16.5">
      <c r="A277" s="47" t="s">
        <v>158</v>
      </c>
      <c r="B277" s="38">
        <f>SUM(B273:B276)</f>
        <v>12</v>
      </c>
      <c r="C277" s="38">
        <f t="shared" ref="C277:E277" si="30">SUM(C273:C276)</f>
        <v>75</v>
      </c>
      <c r="D277" s="38">
        <f t="shared" si="30"/>
        <v>36</v>
      </c>
      <c r="E277" s="38">
        <f t="shared" si="30"/>
        <v>8</v>
      </c>
    </row>
    <row r="278" spans="1:19" ht="16.5">
      <c r="A278" s="37"/>
    </row>
    <row r="279" spans="1:19" ht="16.5">
      <c r="A279" s="252" t="s">
        <v>362</v>
      </c>
      <c r="B279" s="252" t="s">
        <v>90</v>
      </c>
      <c r="C279" s="252" t="s">
        <v>243</v>
      </c>
      <c r="D279" s="252" t="s">
        <v>164</v>
      </c>
      <c r="E279" s="252" t="s">
        <v>158</v>
      </c>
      <c r="F279" s="252" t="s">
        <v>243</v>
      </c>
      <c r="G279" s="252" t="s">
        <v>33</v>
      </c>
      <c r="H279" s="252" t="s">
        <v>158</v>
      </c>
      <c r="I279" s="252" t="s">
        <v>243</v>
      </c>
      <c r="J279" s="252" t="s">
        <v>244</v>
      </c>
      <c r="K279" s="252" t="s">
        <v>158</v>
      </c>
      <c r="L279" s="252" t="s">
        <v>243</v>
      </c>
      <c r="M279" s="252" t="s">
        <v>169</v>
      </c>
      <c r="N279" s="252" t="s">
        <v>158</v>
      </c>
      <c r="O279" s="252" t="s">
        <v>245</v>
      </c>
    </row>
    <row r="280" spans="1:19" ht="16.5">
      <c r="A280" s="37" t="s">
        <v>363</v>
      </c>
      <c r="B280" s="39" t="s">
        <v>104</v>
      </c>
      <c r="C280" s="39">
        <v>0</v>
      </c>
      <c r="D280" s="39">
        <v>52</v>
      </c>
      <c r="E280" s="39">
        <f>ROUND(C280*D280,2)</f>
        <v>0</v>
      </c>
      <c r="F280" s="39">
        <v>0</v>
      </c>
      <c r="G280" s="39">
        <v>1</v>
      </c>
      <c r="H280" s="39">
        <f>ROUND(F280*G280,2)</f>
        <v>0</v>
      </c>
      <c r="I280" s="39">
        <v>30</v>
      </c>
      <c r="J280" s="39">
        <v>1</v>
      </c>
      <c r="K280" s="39">
        <f>ROUND(I280*J280,2)</f>
        <v>30</v>
      </c>
      <c r="L280" s="39">
        <v>0</v>
      </c>
      <c r="M280" s="39">
        <v>1</v>
      </c>
      <c r="N280" s="39">
        <f>ROUND(L280*M280,2)</f>
        <v>0</v>
      </c>
      <c r="O280" s="39">
        <f>E280+H280+K280+N280</f>
        <v>30</v>
      </c>
      <c r="P280" s="52" t="s">
        <v>364</v>
      </c>
      <c r="Q280" s="52"/>
    </row>
    <row r="281" spans="1:19" ht="16.5">
      <c r="A281" s="37" t="s">
        <v>365</v>
      </c>
      <c r="B281" s="39" t="s">
        <v>104</v>
      </c>
      <c r="C281" s="39">
        <v>0</v>
      </c>
      <c r="D281" s="39">
        <v>52</v>
      </c>
      <c r="E281" s="39">
        <f t="shared" ref="E281" si="31">ROUND(C281*D281,2)</f>
        <v>0</v>
      </c>
      <c r="F281" s="39">
        <v>0</v>
      </c>
      <c r="G281" s="39">
        <v>1</v>
      </c>
      <c r="H281" s="39">
        <f t="shared" ref="H281:H284" si="32">ROUND(F281*G281,2)</f>
        <v>0</v>
      </c>
      <c r="I281" s="39">
        <v>5</v>
      </c>
      <c r="J281" s="39">
        <v>1</v>
      </c>
      <c r="K281" s="39">
        <f t="shared" ref="K281:K284" si="33">ROUND(I281*J281,2)</f>
        <v>5</v>
      </c>
      <c r="L281" s="39">
        <v>0</v>
      </c>
      <c r="M281" s="39">
        <v>1</v>
      </c>
      <c r="N281" s="39">
        <f t="shared" ref="N281:N284" si="34">ROUND(L281*M281,2)</f>
        <v>0</v>
      </c>
      <c r="O281" s="39">
        <f t="shared" ref="O281:O284" si="35">E281+H281+K281+N281</f>
        <v>5</v>
      </c>
    </row>
    <row r="282" spans="1:19" ht="16.5">
      <c r="A282" s="37" t="s">
        <v>366</v>
      </c>
      <c r="B282" s="39" t="s">
        <v>104</v>
      </c>
      <c r="C282" s="39">
        <v>0</v>
      </c>
      <c r="D282" s="39">
        <v>52</v>
      </c>
      <c r="E282" s="39">
        <f>ROUND(C282*D282,2)</f>
        <v>0</v>
      </c>
      <c r="F282" s="39">
        <v>0</v>
      </c>
      <c r="G282" s="39">
        <v>1</v>
      </c>
      <c r="H282" s="39">
        <f t="shared" si="32"/>
        <v>0</v>
      </c>
      <c r="I282" s="39">
        <v>2</v>
      </c>
      <c r="J282" s="39">
        <v>1</v>
      </c>
      <c r="K282" s="39">
        <f t="shared" si="33"/>
        <v>2</v>
      </c>
      <c r="L282" s="39">
        <v>0</v>
      </c>
      <c r="M282" s="39">
        <v>1</v>
      </c>
      <c r="N282" s="39">
        <f t="shared" si="34"/>
        <v>0</v>
      </c>
      <c r="O282" s="39">
        <f t="shared" si="35"/>
        <v>2</v>
      </c>
    </row>
    <row r="283" spans="1:19" ht="16.5">
      <c r="A283" s="37" t="s">
        <v>367</v>
      </c>
      <c r="B283" s="39" t="s">
        <v>104</v>
      </c>
      <c r="C283" s="39">
        <v>0</v>
      </c>
      <c r="D283" s="39">
        <v>52</v>
      </c>
      <c r="E283" s="39">
        <f t="shared" ref="E283:E284" si="36">ROUND(C283*D283,2)</f>
        <v>0</v>
      </c>
      <c r="F283" s="39">
        <v>0</v>
      </c>
      <c r="G283" s="39">
        <v>1</v>
      </c>
      <c r="H283" s="39">
        <f t="shared" si="32"/>
        <v>0</v>
      </c>
      <c r="I283" s="39">
        <v>2</v>
      </c>
      <c r="J283" s="39">
        <v>1</v>
      </c>
      <c r="K283" s="39">
        <f t="shared" si="33"/>
        <v>2</v>
      </c>
      <c r="L283" s="39">
        <v>0</v>
      </c>
      <c r="M283" s="39">
        <v>1</v>
      </c>
      <c r="N283" s="39">
        <f t="shared" si="34"/>
        <v>0</v>
      </c>
      <c r="O283" s="39">
        <f t="shared" si="35"/>
        <v>2</v>
      </c>
    </row>
    <row r="284" spans="1:19" ht="16.5">
      <c r="A284" s="37" t="s">
        <v>368</v>
      </c>
      <c r="B284" s="39" t="s">
        <v>104</v>
      </c>
      <c r="C284" s="39">
        <v>0</v>
      </c>
      <c r="D284" s="39">
        <v>52</v>
      </c>
      <c r="E284" s="39">
        <f t="shared" si="36"/>
        <v>0</v>
      </c>
      <c r="F284" s="39">
        <v>0</v>
      </c>
      <c r="G284" s="39">
        <v>1</v>
      </c>
      <c r="H284" s="39">
        <f t="shared" si="32"/>
        <v>0</v>
      </c>
      <c r="I284" s="39">
        <v>2</v>
      </c>
      <c r="J284" s="39">
        <v>1</v>
      </c>
      <c r="K284" s="39">
        <f t="shared" si="33"/>
        <v>2</v>
      </c>
      <c r="L284" s="39">
        <v>0</v>
      </c>
      <c r="M284" s="39">
        <v>1</v>
      </c>
      <c r="N284" s="39">
        <f t="shared" si="34"/>
        <v>0</v>
      </c>
      <c r="O284" s="39">
        <f t="shared" si="35"/>
        <v>2</v>
      </c>
    </row>
    <row r="285" spans="1:19" ht="16.5">
      <c r="A285" s="37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</row>
    <row r="286" spans="1:19" ht="16.5">
      <c r="A286" s="252" t="s">
        <v>75</v>
      </c>
      <c r="B286" s="252" t="s">
        <v>90</v>
      </c>
      <c r="C286" s="252" t="s">
        <v>243</v>
      </c>
      <c r="D286" s="252" t="s">
        <v>164</v>
      </c>
      <c r="E286" s="252" t="s">
        <v>158</v>
      </c>
      <c r="F286" s="252" t="s">
        <v>243</v>
      </c>
      <c r="G286" s="252" t="s">
        <v>33</v>
      </c>
      <c r="H286" s="252" t="s">
        <v>158</v>
      </c>
      <c r="I286" s="252" t="s">
        <v>243</v>
      </c>
      <c r="J286" s="252" t="s">
        <v>244</v>
      </c>
      <c r="K286" s="252" t="s">
        <v>158</v>
      </c>
      <c r="L286" s="252" t="s">
        <v>243</v>
      </c>
      <c r="M286" s="252" t="s">
        <v>169</v>
      </c>
      <c r="N286" s="252" t="s">
        <v>158</v>
      </c>
      <c r="O286" s="252" t="s">
        <v>243</v>
      </c>
      <c r="P286" s="252" t="s">
        <v>168</v>
      </c>
      <c r="Q286" s="252" t="s">
        <v>158</v>
      </c>
      <c r="R286" s="252" t="s">
        <v>245</v>
      </c>
    </row>
    <row r="287" spans="1:19" ht="16.5">
      <c r="A287" s="37" t="s">
        <v>369</v>
      </c>
      <c r="B287" s="39" t="s">
        <v>104</v>
      </c>
      <c r="C287" s="39">
        <v>12</v>
      </c>
      <c r="D287" s="39">
        <v>52</v>
      </c>
      <c r="E287" s="39">
        <f>ROUND(C287*D287,2)</f>
        <v>624</v>
      </c>
      <c r="F287" s="39">
        <v>30</v>
      </c>
      <c r="G287" s="39">
        <v>1</v>
      </c>
      <c r="H287" s="39">
        <f>ROUND(F287*G287,2)</f>
        <v>30</v>
      </c>
      <c r="I287" s="39">
        <v>200</v>
      </c>
      <c r="J287" s="39">
        <v>1</v>
      </c>
      <c r="K287" s="39">
        <f>ROUND(I287*J287,2)</f>
        <v>200</v>
      </c>
      <c r="L287" s="39">
        <v>0</v>
      </c>
      <c r="M287" s="39">
        <v>1</v>
      </c>
      <c r="N287" s="39">
        <f>ROUND(L287*M287,2)</f>
        <v>0</v>
      </c>
      <c r="O287" s="39">
        <v>215</v>
      </c>
      <c r="P287" s="39">
        <v>1</v>
      </c>
      <c r="Q287" s="39">
        <f>ROUND(P287*O287,2)</f>
        <v>215</v>
      </c>
      <c r="R287" s="39">
        <f>E287+H287+K287+N287+Q287</f>
        <v>1069</v>
      </c>
      <c r="S287" s="52"/>
    </row>
    <row r="288" spans="1:19" ht="16.5">
      <c r="A288" s="37" t="s">
        <v>370</v>
      </c>
      <c r="B288" s="39" t="s">
        <v>104</v>
      </c>
      <c r="C288" s="39">
        <v>1.5</v>
      </c>
      <c r="D288" s="39">
        <v>52</v>
      </c>
      <c r="E288" s="39">
        <f t="shared" ref="E288" si="37">ROUND(C288*D288,2)</f>
        <v>78</v>
      </c>
      <c r="F288" s="39">
        <v>1.5</v>
      </c>
      <c r="G288" s="39">
        <v>1</v>
      </c>
      <c r="H288" s="39">
        <f t="shared" ref="H288:H309" si="38">ROUND(F288*G288,2)</f>
        <v>1.5</v>
      </c>
      <c r="I288" s="39">
        <v>500</v>
      </c>
      <c r="J288" s="39">
        <v>1</v>
      </c>
      <c r="K288" s="39">
        <f t="shared" ref="K288:K309" si="39">ROUND(I288*J288,2)</f>
        <v>500</v>
      </c>
      <c r="L288" s="39">
        <v>0</v>
      </c>
      <c r="M288" s="39">
        <v>1</v>
      </c>
      <c r="N288" s="39">
        <f t="shared" ref="N288:N309" si="40">ROUND(L288*M288,2)</f>
        <v>0</v>
      </c>
      <c r="O288" s="39">
        <v>0</v>
      </c>
      <c r="P288" s="39">
        <v>1</v>
      </c>
      <c r="Q288" s="39">
        <f t="shared" ref="Q288:Q309" si="41">ROUND(P288*O288,2)</f>
        <v>0</v>
      </c>
      <c r="R288" s="39">
        <f t="shared" ref="R288:R309" si="42">E288+H288+K288+N288+Q288</f>
        <v>579.5</v>
      </c>
      <c r="S288" s="52" t="s">
        <v>371</v>
      </c>
    </row>
    <row r="289" spans="1:19" ht="16.5">
      <c r="A289" s="37" t="s">
        <v>372</v>
      </c>
      <c r="B289" s="39" t="s">
        <v>104</v>
      </c>
      <c r="C289" s="39">
        <f>10.9+1.5</f>
        <v>12.4</v>
      </c>
      <c r="D289" s="39">
        <v>52</v>
      </c>
      <c r="E289" s="39">
        <f>ROUND(C289*D289,2)</f>
        <v>644.79999999999995</v>
      </c>
      <c r="F289" s="39">
        <v>30</v>
      </c>
      <c r="G289" s="39">
        <v>1</v>
      </c>
      <c r="H289" s="39">
        <f t="shared" si="38"/>
        <v>30</v>
      </c>
      <c r="I289" s="39">
        <v>300</v>
      </c>
      <c r="J289" s="39">
        <v>1</v>
      </c>
      <c r="K289" s="39">
        <f t="shared" si="39"/>
        <v>300</v>
      </c>
      <c r="L289" s="39">
        <v>0</v>
      </c>
      <c r="M289" s="39">
        <v>1</v>
      </c>
      <c r="N289" s="39">
        <f t="shared" si="40"/>
        <v>0</v>
      </c>
      <c r="O289" s="39">
        <v>215</v>
      </c>
      <c r="P289" s="39">
        <v>1</v>
      </c>
      <c r="Q289" s="39">
        <f t="shared" si="41"/>
        <v>215</v>
      </c>
      <c r="R289" s="39">
        <f t="shared" si="42"/>
        <v>1189.8</v>
      </c>
      <c r="S289" s="52"/>
    </row>
    <row r="290" spans="1:19" ht="16.5">
      <c r="A290" s="37" t="s">
        <v>373</v>
      </c>
      <c r="B290" s="39" t="s">
        <v>104</v>
      </c>
      <c r="C290" s="39">
        <v>0</v>
      </c>
      <c r="D290" s="39">
        <v>52</v>
      </c>
      <c r="E290" s="39">
        <f t="shared" ref="E290:E309" si="43">ROUND(C290*D290,2)</f>
        <v>0</v>
      </c>
      <c r="F290" s="39">
        <v>0</v>
      </c>
      <c r="G290" s="39">
        <v>1</v>
      </c>
      <c r="H290" s="39">
        <f t="shared" si="38"/>
        <v>0</v>
      </c>
      <c r="I290" s="39">
        <f>135</f>
        <v>135</v>
      </c>
      <c r="J290" s="39">
        <v>1</v>
      </c>
      <c r="K290" s="39">
        <f t="shared" si="39"/>
        <v>135</v>
      </c>
      <c r="L290" s="39">
        <v>0</v>
      </c>
      <c r="M290" s="39">
        <v>1</v>
      </c>
      <c r="N290" s="39">
        <f t="shared" si="40"/>
        <v>0</v>
      </c>
      <c r="O290" s="39">
        <v>20</v>
      </c>
      <c r="P290" s="39">
        <v>1</v>
      </c>
      <c r="Q290" s="39">
        <f t="shared" si="41"/>
        <v>20</v>
      </c>
      <c r="R290" s="39">
        <f t="shared" si="42"/>
        <v>155</v>
      </c>
      <c r="S290" s="52" t="s">
        <v>374</v>
      </c>
    </row>
    <row r="291" spans="1:19" ht="16.5">
      <c r="A291" s="37" t="s">
        <v>375</v>
      </c>
      <c r="B291" s="39" t="s">
        <v>104</v>
      </c>
      <c r="C291" s="39">
        <v>4.5</v>
      </c>
      <c r="D291" s="39">
        <v>52</v>
      </c>
      <c r="E291" s="39">
        <f t="shared" si="43"/>
        <v>234</v>
      </c>
      <c r="F291" s="39">
        <v>18</v>
      </c>
      <c r="G291" s="39">
        <v>1</v>
      </c>
      <c r="H291" s="39">
        <f t="shared" si="38"/>
        <v>18</v>
      </c>
      <c r="I291" s="39">
        <v>150</v>
      </c>
      <c r="J291" s="39">
        <v>1</v>
      </c>
      <c r="K291" s="39">
        <f t="shared" si="39"/>
        <v>150</v>
      </c>
      <c r="L291" s="39">
        <v>35</v>
      </c>
      <c r="M291" s="39">
        <v>1</v>
      </c>
      <c r="N291" s="39">
        <f t="shared" si="40"/>
        <v>35</v>
      </c>
      <c r="O291" s="39">
        <v>0</v>
      </c>
      <c r="P291" s="39">
        <v>1</v>
      </c>
      <c r="Q291" s="39">
        <f t="shared" si="41"/>
        <v>0</v>
      </c>
      <c r="R291" s="39">
        <f t="shared" si="42"/>
        <v>437</v>
      </c>
      <c r="S291" s="52"/>
    </row>
    <row r="292" spans="1:19" ht="16.5">
      <c r="A292" s="37" t="s">
        <v>376</v>
      </c>
      <c r="B292" s="39" t="s">
        <v>151</v>
      </c>
      <c r="C292" s="39">
        <f>C301+C300</f>
        <v>5</v>
      </c>
      <c r="D292" s="39">
        <v>52</v>
      </c>
      <c r="E292" s="39">
        <f t="shared" si="43"/>
        <v>260</v>
      </c>
      <c r="F292" s="39">
        <f>F301+F300</f>
        <v>10</v>
      </c>
      <c r="G292" s="39">
        <v>1</v>
      </c>
      <c r="H292" s="39">
        <f t="shared" si="38"/>
        <v>10</v>
      </c>
      <c r="I292" s="39">
        <f>I301+I300</f>
        <v>30</v>
      </c>
      <c r="J292" s="39">
        <v>1</v>
      </c>
      <c r="K292" s="39">
        <f t="shared" si="39"/>
        <v>30</v>
      </c>
      <c r="L292" s="39">
        <f>L301+L300</f>
        <v>0</v>
      </c>
      <c r="M292" s="39">
        <v>1</v>
      </c>
      <c r="N292" s="39">
        <f t="shared" si="40"/>
        <v>0</v>
      </c>
      <c r="O292" s="39">
        <v>0</v>
      </c>
      <c r="P292" s="39">
        <v>1</v>
      </c>
      <c r="Q292" s="39">
        <f t="shared" si="41"/>
        <v>0</v>
      </c>
      <c r="R292" s="39">
        <f t="shared" si="42"/>
        <v>300</v>
      </c>
      <c r="S292" s="52"/>
    </row>
    <row r="293" spans="1:19" ht="16.5">
      <c r="A293" s="37" t="s">
        <v>377</v>
      </c>
      <c r="B293" s="39" t="s">
        <v>151</v>
      </c>
      <c r="C293" s="39">
        <v>2</v>
      </c>
      <c r="D293" s="39">
        <v>52</v>
      </c>
      <c r="E293" s="39">
        <f t="shared" si="43"/>
        <v>104</v>
      </c>
      <c r="F293" s="39">
        <v>6</v>
      </c>
      <c r="G293" s="39">
        <v>1</v>
      </c>
      <c r="H293" s="39">
        <f t="shared" si="38"/>
        <v>6</v>
      </c>
      <c r="I293" s="39">
        <f>I302</f>
        <v>59</v>
      </c>
      <c r="J293" s="39">
        <v>1</v>
      </c>
      <c r="K293" s="39">
        <f t="shared" si="39"/>
        <v>59</v>
      </c>
      <c r="L293" s="39">
        <f>L303</f>
        <v>8</v>
      </c>
      <c r="M293" s="39">
        <v>1</v>
      </c>
      <c r="N293" s="39">
        <f t="shared" si="40"/>
        <v>8</v>
      </c>
      <c r="O293" s="39">
        <v>0</v>
      </c>
      <c r="P293" s="39">
        <v>1</v>
      </c>
      <c r="Q293" s="39">
        <f t="shared" si="41"/>
        <v>0</v>
      </c>
      <c r="R293" s="39">
        <f t="shared" si="42"/>
        <v>177</v>
      </c>
      <c r="S293" s="52"/>
    </row>
    <row r="294" spans="1:19" ht="16.5">
      <c r="A294" s="37" t="s">
        <v>378</v>
      </c>
      <c r="B294" s="39" t="s">
        <v>104</v>
      </c>
      <c r="C294" s="39">
        <v>0</v>
      </c>
      <c r="D294" s="39">
        <v>52</v>
      </c>
      <c r="E294" s="39">
        <f t="shared" si="43"/>
        <v>0</v>
      </c>
      <c r="F294" s="39">
        <v>0</v>
      </c>
      <c r="G294" s="39">
        <v>1</v>
      </c>
      <c r="H294" s="39">
        <f t="shared" si="38"/>
        <v>0</v>
      </c>
      <c r="I294" s="39">
        <f>45*3</f>
        <v>135</v>
      </c>
      <c r="J294" s="39">
        <v>1</v>
      </c>
      <c r="K294" s="39">
        <f t="shared" si="39"/>
        <v>135</v>
      </c>
      <c r="L294" s="39">
        <v>0</v>
      </c>
      <c r="M294" s="39">
        <v>1</v>
      </c>
      <c r="N294" s="39">
        <f t="shared" si="40"/>
        <v>0</v>
      </c>
      <c r="O294" s="39">
        <f>O303</f>
        <v>72</v>
      </c>
      <c r="P294" s="39">
        <v>1</v>
      </c>
      <c r="Q294" s="39">
        <f t="shared" si="41"/>
        <v>72</v>
      </c>
      <c r="R294" s="39">
        <f t="shared" si="42"/>
        <v>207</v>
      </c>
      <c r="S294" s="52"/>
    </row>
    <row r="295" spans="1:19" ht="16.5">
      <c r="A295" s="37" t="s">
        <v>379</v>
      </c>
      <c r="B295" s="39" t="s">
        <v>104</v>
      </c>
      <c r="C295" s="39">
        <v>0</v>
      </c>
      <c r="D295" s="39">
        <v>52</v>
      </c>
      <c r="E295" s="39">
        <f t="shared" si="43"/>
        <v>0</v>
      </c>
      <c r="F295" s="39">
        <v>0</v>
      </c>
      <c r="G295" s="39">
        <v>1</v>
      </c>
      <c r="H295" s="39">
        <f t="shared" si="38"/>
        <v>0</v>
      </c>
      <c r="I295" s="39">
        <f>25*3</f>
        <v>75</v>
      </c>
      <c r="J295" s="39">
        <v>1</v>
      </c>
      <c r="K295" s="39">
        <f t="shared" si="39"/>
        <v>75</v>
      </c>
      <c r="L295" s="39">
        <v>0</v>
      </c>
      <c r="M295" s="39">
        <v>1</v>
      </c>
      <c r="N295" s="39">
        <f t="shared" si="40"/>
        <v>0</v>
      </c>
      <c r="O295" s="39">
        <v>0</v>
      </c>
      <c r="P295" s="39">
        <v>1</v>
      </c>
      <c r="Q295" s="39">
        <f t="shared" si="41"/>
        <v>0</v>
      </c>
      <c r="R295" s="39">
        <f t="shared" si="42"/>
        <v>75</v>
      </c>
      <c r="S295" s="52"/>
    </row>
    <row r="296" spans="1:19" ht="16.5">
      <c r="A296" s="37" t="s">
        <v>380</v>
      </c>
      <c r="B296" s="39" t="s">
        <v>104</v>
      </c>
      <c r="C296" s="39">
        <v>9</v>
      </c>
      <c r="D296" s="39">
        <v>52</v>
      </c>
      <c r="E296" s="39">
        <f t="shared" si="43"/>
        <v>468</v>
      </c>
      <c r="F296" s="39">
        <v>0</v>
      </c>
      <c r="G296" s="39">
        <v>1</v>
      </c>
      <c r="H296" s="39">
        <f t="shared" si="38"/>
        <v>0</v>
      </c>
      <c r="I296" s="39">
        <v>0</v>
      </c>
      <c r="J296" s="39">
        <v>1</v>
      </c>
      <c r="K296" s="39">
        <f t="shared" si="39"/>
        <v>0</v>
      </c>
      <c r="L296" s="39">
        <v>0</v>
      </c>
      <c r="M296" s="39">
        <v>1</v>
      </c>
      <c r="N296" s="39">
        <f t="shared" si="40"/>
        <v>0</v>
      </c>
      <c r="O296" s="39">
        <v>0</v>
      </c>
      <c r="P296" s="39">
        <v>1</v>
      </c>
      <c r="Q296" s="39">
        <f t="shared" si="41"/>
        <v>0</v>
      </c>
      <c r="R296" s="39">
        <f t="shared" si="42"/>
        <v>468</v>
      </c>
      <c r="S296" s="52"/>
    </row>
    <row r="297" spans="1:19" ht="16.5">
      <c r="A297" s="37" t="s">
        <v>381</v>
      </c>
      <c r="B297" s="39" t="s">
        <v>104</v>
      </c>
      <c r="C297" s="39">
        <f>3.5*3</f>
        <v>10.5</v>
      </c>
      <c r="D297" s="39">
        <v>52</v>
      </c>
      <c r="E297" s="39">
        <f t="shared" si="43"/>
        <v>546</v>
      </c>
      <c r="F297" s="39">
        <v>0</v>
      </c>
      <c r="G297" s="39">
        <v>1</v>
      </c>
      <c r="H297" s="39">
        <f t="shared" si="38"/>
        <v>0</v>
      </c>
      <c r="I297" s="39">
        <f>SUM(H323:H335)</f>
        <v>1890</v>
      </c>
      <c r="J297" s="39">
        <v>1</v>
      </c>
      <c r="K297" s="39">
        <f t="shared" si="39"/>
        <v>1890</v>
      </c>
      <c r="L297" s="39">
        <v>0</v>
      </c>
      <c r="M297" s="39">
        <v>1</v>
      </c>
      <c r="N297" s="39">
        <f t="shared" si="40"/>
        <v>0</v>
      </c>
      <c r="O297" s="39">
        <v>0</v>
      </c>
      <c r="P297" s="39">
        <v>1</v>
      </c>
      <c r="Q297" s="39">
        <f t="shared" si="41"/>
        <v>0</v>
      </c>
      <c r="R297" s="39">
        <f t="shared" si="42"/>
        <v>2436</v>
      </c>
      <c r="S297" s="52"/>
    </row>
    <row r="298" spans="1:19" ht="16.5">
      <c r="A298" s="37" t="s">
        <v>382</v>
      </c>
      <c r="B298" s="39" t="s">
        <v>104</v>
      </c>
      <c r="C298" s="39">
        <f>12*3</f>
        <v>36</v>
      </c>
      <c r="D298" s="39">
        <v>52</v>
      </c>
      <c r="E298" s="39">
        <f t="shared" si="43"/>
        <v>1872</v>
      </c>
      <c r="F298" s="39">
        <f>15*3</f>
        <v>45</v>
      </c>
      <c r="G298" s="39">
        <v>1</v>
      </c>
      <c r="H298" s="39">
        <f t="shared" si="38"/>
        <v>45</v>
      </c>
      <c r="I298" s="39">
        <f>200*3</f>
        <v>600</v>
      </c>
      <c r="J298" s="39">
        <v>1</v>
      </c>
      <c r="K298" s="39">
        <f t="shared" si="39"/>
        <v>600</v>
      </c>
      <c r="L298" s="39">
        <f>35*2</f>
        <v>70</v>
      </c>
      <c r="M298" s="39">
        <v>1</v>
      </c>
      <c r="N298" s="39">
        <f t="shared" si="40"/>
        <v>70</v>
      </c>
      <c r="O298" s="39">
        <v>0</v>
      </c>
      <c r="P298" s="39">
        <v>1</v>
      </c>
      <c r="Q298" s="39">
        <f t="shared" si="41"/>
        <v>0</v>
      </c>
      <c r="R298" s="39">
        <f t="shared" si="42"/>
        <v>2587</v>
      </c>
      <c r="S298" s="52"/>
    </row>
    <row r="299" spans="1:19" ht="16.5">
      <c r="A299" s="37" t="s">
        <v>383</v>
      </c>
      <c r="B299" s="39" t="s">
        <v>104</v>
      </c>
      <c r="C299" s="39">
        <f>8*2</f>
        <v>16</v>
      </c>
      <c r="D299" s="39">
        <v>52</v>
      </c>
      <c r="E299" s="39">
        <f t="shared" si="43"/>
        <v>832</v>
      </c>
      <c r="F299" s="39">
        <v>0</v>
      </c>
      <c r="G299" s="39">
        <v>1</v>
      </c>
      <c r="H299" s="39">
        <f t="shared" si="38"/>
        <v>0</v>
      </c>
      <c r="I299" s="39">
        <v>600</v>
      </c>
      <c r="J299" s="39">
        <v>1</v>
      </c>
      <c r="K299" s="39">
        <f t="shared" si="39"/>
        <v>600</v>
      </c>
      <c r="L299" s="39">
        <v>0</v>
      </c>
      <c r="M299" s="39">
        <v>1</v>
      </c>
      <c r="N299" s="39">
        <f t="shared" si="40"/>
        <v>0</v>
      </c>
      <c r="O299" s="39">
        <f>215*2</f>
        <v>430</v>
      </c>
      <c r="P299" s="39">
        <v>1</v>
      </c>
      <c r="Q299" s="39">
        <f t="shared" si="41"/>
        <v>430</v>
      </c>
      <c r="R299" s="39">
        <f t="shared" si="42"/>
        <v>1862</v>
      </c>
      <c r="S299" s="52"/>
    </row>
    <row r="300" spans="1:19" ht="16.5">
      <c r="A300" s="37" t="s">
        <v>384</v>
      </c>
      <c r="B300" s="39" t="s">
        <v>151</v>
      </c>
      <c r="C300" s="39">
        <v>3</v>
      </c>
      <c r="D300" s="39">
        <v>52</v>
      </c>
      <c r="E300" s="39">
        <f t="shared" si="43"/>
        <v>156</v>
      </c>
      <c r="F300" s="39">
        <v>7</v>
      </c>
      <c r="G300" s="39">
        <v>1</v>
      </c>
      <c r="H300" s="39">
        <f t="shared" si="38"/>
        <v>7</v>
      </c>
      <c r="I300" s="39">
        <v>0</v>
      </c>
      <c r="J300" s="39">
        <v>1</v>
      </c>
      <c r="K300" s="39">
        <f t="shared" si="39"/>
        <v>0</v>
      </c>
      <c r="L300" s="39">
        <v>0</v>
      </c>
      <c r="M300" s="39">
        <v>1</v>
      </c>
      <c r="N300" s="39">
        <f t="shared" si="40"/>
        <v>0</v>
      </c>
      <c r="O300" s="39">
        <v>0</v>
      </c>
      <c r="P300" s="39">
        <v>1</v>
      </c>
      <c r="Q300" s="39">
        <f t="shared" si="41"/>
        <v>0</v>
      </c>
      <c r="R300" s="39">
        <f t="shared" si="42"/>
        <v>163</v>
      </c>
      <c r="S300" s="52"/>
    </row>
    <row r="301" spans="1:19" ht="16.5">
      <c r="A301" s="37" t="s">
        <v>385</v>
      </c>
      <c r="B301" s="39" t="s">
        <v>151</v>
      </c>
      <c r="C301" s="39">
        <v>2</v>
      </c>
      <c r="D301" s="39">
        <v>52</v>
      </c>
      <c r="E301" s="39">
        <f t="shared" si="43"/>
        <v>104</v>
      </c>
      <c r="F301" s="39">
        <v>3</v>
      </c>
      <c r="G301" s="39">
        <v>1</v>
      </c>
      <c r="H301" s="39">
        <f t="shared" si="38"/>
        <v>3</v>
      </c>
      <c r="I301" s="39">
        <v>30</v>
      </c>
      <c r="J301" s="39">
        <v>1</v>
      </c>
      <c r="K301" s="39">
        <f t="shared" si="39"/>
        <v>30</v>
      </c>
      <c r="L301" s="39">
        <v>0</v>
      </c>
      <c r="M301" s="39">
        <v>1</v>
      </c>
      <c r="N301" s="39">
        <f t="shared" si="40"/>
        <v>0</v>
      </c>
      <c r="O301" s="39">
        <v>0</v>
      </c>
      <c r="P301" s="39">
        <v>1</v>
      </c>
      <c r="Q301" s="39">
        <f t="shared" si="41"/>
        <v>0</v>
      </c>
      <c r="R301" s="39">
        <f t="shared" si="42"/>
        <v>137</v>
      </c>
      <c r="S301" s="52"/>
    </row>
    <row r="302" spans="1:19" ht="16.5">
      <c r="A302" s="37" t="s">
        <v>386</v>
      </c>
      <c r="B302" s="39" t="s">
        <v>151</v>
      </c>
      <c r="C302" s="39">
        <v>3</v>
      </c>
      <c r="D302" s="39">
        <v>52</v>
      </c>
      <c r="E302" s="39">
        <f t="shared" si="43"/>
        <v>156</v>
      </c>
      <c r="F302" s="39">
        <v>6</v>
      </c>
      <c r="G302" s="39">
        <v>1</v>
      </c>
      <c r="H302" s="39">
        <f t="shared" si="38"/>
        <v>6</v>
      </c>
      <c r="I302" s="39">
        <f>29+30</f>
        <v>59</v>
      </c>
      <c r="J302" s="39">
        <v>1</v>
      </c>
      <c r="K302" s="39">
        <f t="shared" si="39"/>
        <v>59</v>
      </c>
      <c r="L302" s="39">
        <v>0</v>
      </c>
      <c r="M302" s="39">
        <v>1</v>
      </c>
      <c r="N302" s="39">
        <f t="shared" si="40"/>
        <v>0</v>
      </c>
      <c r="O302" s="39">
        <v>0</v>
      </c>
      <c r="P302" s="39">
        <v>1</v>
      </c>
      <c r="Q302" s="39">
        <f t="shared" si="41"/>
        <v>0</v>
      </c>
      <c r="R302" s="39">
        <f t="shared" si="42"/>
        <v>221</v>
      </c>
      <c r="S302" s="52"/>
    </row>
    <row r="303" spans="1:19" ht="16.5">
      <c r="A303" s="37" t="s">
        <v>387</v>
      </c>
      <c r="B303" s="39" t="s">
        <v>151</v>
      </c>
      <c r="C303" s="39">
        <v>0</v>
      </c>
      <c r="D303" s="39">
        <v>52</v>
      </c>
      <c r="E303" s="39">
        <f t="shared" si="43"/>
        <v>0</v>
      </c>
      <c r="F303" s="39">
        <v>0</v>
      </c>
      <c r="G303" s="39">
        <v>1</v>
      </c>
      <c r="H303" s="39">
        <f t="shared" si="38"/>
        <v>0</v>
      </c>
      <c r="I303" s="39">
        <v>0</v>
      </c>
      <c r="J303" s="39">
        <v>1</v>
      </c>
      <c r="K303" s="39">
        <f t="shared" si="39"/>
        <v>0</v>
      </c>
      <c r="L303" s="39">
        <v>8</v>
      </c>
      <c r="M303" s="39">
        <v>1</v>
      </c>
      <c r="N303" s="39">
        <f t="shared" si="40"/>
        <v>8</v>
      </c>
      <c r="O303" s="39">
        <f>ROUNDUP(O287/3,0)</f>
        <v>72</v>
      </c>
      <c r="P303" s="39">
        <v>1</v>
      </c>
      <c r="Q303" s="39">
        <f t="shared" si="41"/>
        <v>72</v>
      </c>
      <c r="R303" s="39">
        <f t="shared" si="42"/>
        <v>80</v>
      </c>
      <c r="S303" s="52"/>
    </row>
    <row r="304" spans="1:19" ht="16.5">
      <c r="A304" s="37" t="s">
        <v>388</v>
      </c>
      <c r="B304" s="39" t="s">
        <v>151</v>
      </c>
      <c r="C304" s="39">
        <v>1</v>
      </c>
      <c r="D304" s="39">
        <v>52</v>
      </c>
      <c r="E304" s="39">
        <f t="shared" si="43"/>
        <v>52</v>
      </c>
      <c r="F304" s="39">
        <v>0</v>
      </c>
      <c r="G304" s="39">
        <v>1</v>
      </c>
      <c r="H304" s="39">
        <f t="shared" si="38"/>
        <v>0</v>
      </c>
      <c r="I304" s="39">
        <v>1</v>
      </c>
      <c r="J304" s="39">
        <v>1</v>
      </c>
      <c r="K304" s="39">
        <f t="shared" si="39"/>
        <v>1</v>
      </c>
      <c r="L304" s="39">
        <v>1</v>
      </c>
      <c r="M304" s="39">
        <v>1</v>
      </c>
      <c r="N304" s="39">
        <f t="shared" si="40"/>
        <v>1</v>
      </c>
      <c r="O304" s="39">
        <v>0</v>
      </c>
      <c r="P304" s="39">
        <v>1</v>
      </c>
      <c r="Q304" s="39">
        <f t="shared" si="41"/>
        <v>0</v>
      </c>
      <c r="R304" s="39">
        <f t="shared" si="42"/>
        <v>54</v>
      </c>
      <c r="S304" s="52"/>
    </row>
    <row r="305" spans="1:20" ht="16.5">
      <c r="A305" s="37" t="s">
        <v>389</v>
      </c>
      <c r="B305" s="39" t="s">
        <v>151</v>
      </c>
      <c r="C305" s="39">
        <v>0</v>
      </c>
      <c r="D305" s="39">
        <v>52</v>
      </c>
      <c r="E305" s="39">
        <f t="shared" si="43"/>
        <v>0</v>
      </c>
      <c r="F305" s="39">
        <v>0</v>
      </c>
      <c r="G305" s="39">
        <v>1</v>
      </c>
      <c r="H305" s="39">
        <f t="shared" si="38"/>
        <v>0</v>
      </c>
      <c r="I305" s="39">
        <v>1</v>
      </c>
      <c r="J305" s="39">
        <v>1</v>
      </c>
      <c r="K305" s="39">
        <f t="shared" si="39"/>
        <v>1</v>
      </c>
      <c r="L305" s="39">
        <v>0</v>
      </c>
      <c r="M305" s="39">
        <v>1</v>
      </c>
      <c r="N305" s="39">
        <f t="shared" si="40"/>
        <v>0</v>
      </c>
      <c r="O305" s="39">
        <v>0</v>
      </c>
      <c r="P305" s="39">
        <v>1</v>
      </c>
      <c r="Q305" s="39">
        <f t="shared" si="41"/>
        <v>0</v>
      </c>
      <c r="R305" s="39">
        <f t="shared" si="42"/>
        <v>1</v>
      </c>
      <c r="S305" s="52"/>
    </row>
    <row r="306" spans="1:20" ht="16.5">
      <c r="A306" s="37" t="s">
        <v>390</v>
      </c>
      <c r="B306" s="39" t="s">
        <v>151</v>
      </c>
      <c r="C306" s="39">
        <v>4</v>
      </c>
      <c r="D306" s="39">
        <v>52</v>
      </c>
      <c r="E306" s="39">
        <f t="shared" si="43"/>
        <v>208</v>
      </c>
      <c r="F306" s="39">
        <v>1</v>
      </c>
      <c r="G306" s="39">
        <v>1</v>
      </c>
      <c r="H306" s="39">
        <f t="shared" si="38"/>
        <v>1</v>
      </c>
      <c r="I306" s="39">
        <v>15</v>
      </c>
      <c r="J306" s="39">
        <v>1</v>
      </c>
      <c r="K306" s="39">
        <f t="shared" si="39"/>
        <v>15</v>
      </c>
      <c r="L306" s="39">
        <v>0</v>
      </c>
      <c r="M306" s="39">
        <v>1</v>
      </c>
      <c r="N306" s="39">
        <f t="shared" si="40"/>
        <v>0</v>
      </c>
      <c r="O306" s="39">
        <v>2</v>
      </c>
      <c r="P306" s="39">
        <v>1</v>
      </c>
      <c r="Q306" s="39">
        <f t="shared" si="41"/>
        <v>2</v>
      </c>
      <c r="R306" s="39">
        <f t="shared" si="42"/>
        <v>226</v>
      </c>
      <c r="S306" s="52"/>
    </row>
    <row r="307" spans="1:20" ht="16.5">
      <c r="A307" s="37" t="s">
        <v>391</v>
      </c>
      <c r="B307" s="39" t="s">
        <v>151</v>
      </c>
      <c r="C307" s="39">
        <v>0</v>
      </c>
      <c r="D307" s="39">
        <v>52</v>
      </c>
      <c r="E307" s="39">
        <f t="shared" si="43"/>
        <v>0</v>
      </c>
      <c r="F307" s="39">
        <v>0</v>
      </c>
      <c r="G307" s="39">
        <v>1</v>
      </c>
      <c r="H307" s="39">
        <f t="shared" si="38"/>
        <v>0</v>
      </c>
      <c r="I307" s="39">
        <v>10</v>
      </c>
      <c r="J307" s="39">
        <v>1</v>
      </c>
      <c r="K307" s="39">
        <f t="shared" si="39"/>
        <v>10</v>
      </c>
      <c r="L307" s="39">
        <v>0</v>
      </c>
      <c r="M307" s="39">
        <v>1</v>
      </c>
      <c r="N307" s="39">
        <f t="shared" si="40"/>
        <v>0</v>
      </c>
      <c r="O307" s="39">
        <v>0</v>
      </c>
      <c r="P307" s="39">
        <v>1</v>
      </c>
      <c r="Q307" s="39">
        <f t="shared" si="41"/>
        <v>0</v>
      </c>
      <c r="R307" s="39">
        <f t="shared" si="42"/>
        <v>10</v>
      </c>
      <c r="S307" s="52"/>
    </row>
    <row r="308" spans="1:20" ht="16.5">
      <c r="A308" s="37" t="s">
        <v>392</v>
      </c>
      <c r="B308" s="39" t="s">
        <v>151</v>
      </c>
      <c r="C308" s="39">
        <v>0</v>
      </c>
      <c r="D308" s="39">
        <v>52</v>
      </c>
      <c r="E308" s="39">
        <f t="shared" si="43"/>
        <v>0</v>
      </c>
      <c r="F308" s="39">
        <v>0</v>
      </c>
      <c r="G308" s="39">
        <v>1</v>
      </c>
      <c r="H308" s="39">
        <f t="shared" si="38"/>
        <v>0</v>
      </c>
      <c r="I308" s="39">
        <v>10</v>
      </c>
      <c r="J308" s="39">
        <v>1</v>
      </c>
      <c r="K308" s="39">
        <f t="shared" si="39"/>
        <v>10</v>
      </c>
      <c r="L308" s="39">
        <v>1</v>
      </c>
      <c r="M308" s="39">
        <v>1</v>
      </c>
      <c r="N308" s="39">
        <f t="shared" si="40"/>
        <v>1</v>
      </c>
      <c r="O308" s="39">
        <v>0</v>
      </c>
      <c r="P308" s="39">
        <v>1</v>
      </c>
      <c r="Q308" s="39">
        <f t="shared" si="41"/>
        <v>0</v>
      </c>
      <c r="R308" s="39">
        <f t="shared" si="42"/>
        <v>11</v>
      </c>
      <c r="S308" s="52"/>
    </row>
    <row r="309" spans="1:20" ht="16.5">
      <c r="A309" s="37" t="s">
        <v>393</v>
      </c>
      <c r="B309" s="39" t="s">
        <v>151</v>
      </c>
      <c r="C309" s="39">
        <v>0</v>
      </c>
      <c r="D309" s="39">
        <v>52</v>
      </c>
      <c r="E309" s="39">
        <f t="shared" si="43"/>
        <v>0</v>
      </c>
      <c r="F309" s="39">
        <v>0</v>
      </c>
      <c r="G309" s="39">
        <v>1</v>
      </c>
      <c r="H309" s="39">
        <f t="shared" si="38"/>
        <v>0</v>
      </c>
      <c r="I309" s="39">
        <v>2</v>
      </c>
      <c r="J309" s="39">
        <v>1</v>
      </c>
      <c r="K309" s="39">
        <f t="shared" si="39"/>
        <v>2</v>
      </c>
      <c r="L309" s="39">
        <v>0</v>
      </c>
      <c r="M309" s="39">
        <v>1</v>
      </c>
      <c r="N309" s="39">
        <f t="shared" si="40"/>
        <v>0</v>
      </c>
      <c r="O309" s="39">
        <v>0</v>
      </c>
      <c r="P309" s="39">
        <v>1</v>
      </c>
      <c r="Q309" s="39">
        <f t="shared" si="41"/>
        <v>0</v>
      </c>
      <c r="R309" s="39">
        <f t="shared" si="42"/>
        <v>2</v>
      </c>
      <c r="S309" s="52"/>
    </row>
    <row r="310" spans="1:20" ht="16.5">
      <c r="A310" s="37" t="s">
        <v>394</v>
      </c>
      <c r="B310" s="39" t="s">
        <v>151</v>
      </c>
      <c r="C310" s="39">
        <v>0</v>
      </c>
      <c r="D310" s="39">
        <v>52</v>
      </c>
      <c r="E310" s="39">
        <f t="shared" ref="E310" si="44">ROUND(C310*D310,2)</f>
        <v>0</v>
      </c>
      <c r="F310" s="39">
        <v>0</v>
      </c>
      <c r="G310" s="39">
        <v>1</v>
      </c>
      <c r="H310" s="39">
        <f t="shared" ref="H310" si="45">ROUND(F310*G310,2)</f>
        <v>0</v>
      </c>
      <c r="I310" s="39">
        <v>1</v>
      </c>
      <c r="J310" s="39">
        <v>1</v>
      </c>
      <c r="K310" s="39">
        <f t="shared" ref="K310" si="46">ROUND(I310*J310,2)</f>
        <v>1</v>
      </c>
      <c r="L310" s="39">
        <v>0</v>
      </c>
      <c r="M310" s="39">
        <v>1</v>
      </c>
      <c r="N310" s="39">
        <f t="shared" ref="N310" si="47">ROUND(L310*M310,2)</f>
        <v>0</v>
      </c>
      <c r="O310" s="39">
        <v>0</v>
      </c>
      <c r="P310" s="39">
        <v>1</v>
      </c>
      <c r="Q310" s="39">
        <f t="shared" ref="Q310" si="48">ROUND(P310*O310,2)</f>
        <v>0</v>
      </c>
      <c r="R310" s="39">
        <f t="shared" ref="R310" si="49">E310+H310+K310+N310+Q310</f>
        <v>1</v>
      </c>
    </row>
    <row r="311" spans="1:20" ht="16.5">
      <c r="A311" s="37" t="s">
        <v>395</v>
      </c>
      <c r="B311" s="39" t="s">
        <v>151</v>
      </c>
      <c r="C311" s="39">
        <v>0</v>
      </c>
      <c r="D311" s="39">
        <v>52</v>
      </c>
      <c r="E311" s="39">
        <f t="shared" ref="E311" si="50">ROUND(C311*D311,2)</f>
        <v>0</v>
      </c>
      <c r="F311" s="39">
        <v>0</v>
      </c>
      <c r="G311" s="39">
        <v>1</v>
      </c>
      <c r="H311" s="39">
        <f t="shared" ref="H311" si="51">ROUND(F311*G311,2)</f>
        <v>0</v>
      </c>
      <c r="I311" s="39">
        <v>0</v>
      </c>
      <c r="J311" s="39">
        <v>1</v>
      </c>
      <c r="K311" s="39">
        <f t="shared" ref="K311" si="52">ROUND(I311*J311,2)</f>
        <v>0</v>
      </c>
      <c r="L311" s="39">
        <v>1</v>
      </c>
      <c r="M311" s="39">
        <v>1</v>
      </c>
      <c r="N311" s="39">
        <f t="shared" ref="N311" si="53">ROUND(L311*M311,2)</f>
        <v>1</v>
      </c>
      <c r="O311" s="39">
        <v>0</v>
      </c>
      <c r="P311" s="39">
        <v>1</v>
      </c>
      <c r="Q311" s="39">
        <f t="shared" ref="Q311" si="54">ROUND(P311*O311,2)</f>
        <v>0</v>
      </c>
      <c r="R311" s="39">
        <f t="shared" ref="R311" si="55">E311+H311+K311+N311+Q311</f>
        <v>1</v>
      </c>
    </row>
    <row r="312" spans="1:20" ht="16.5">
      <c r="A312" s="37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</row>
    <row r="313" spans="1:20" ht="16.5">
      <c r="A313" s="252" t="s">
        <v>396</v>
      </c>
      <c r="B313" s="252" t="s">
        <v>90</v>
      </c>
      <c r="C313" s="252" t="s">
        <v>243</v>
      </c>
      <c r="D313" s="252" t="s">
        <v>164</v>
      </c>
      <c r="E313" s="252" t="s">
        <v>158</v>
      </c>
      <c r="F313" s="252" t="s">
        <v>243</v>
      </c>
      <c r="G313" s="252" t="s">
        <v>33</v>
      </c>
      <c r="H313" s="252" t="s">
        <v>158</v>
      </c>
      <c r="I313" s="252" t="s">
        <v>243</v>
      </c>
      <c r="J313" s="252" t="s">
        <v>244</v>
      </c>
      <c r="K313" s="252" t="s">
        <v>158</v>
      </c>
      <c r="L313" s="252" t="s">
        <v>243</v>
      </c>
      <c r="M313" s="252" t="s">
        <v>169</v>
      </c>
      <c r="N313" s="252" t="s">
        <v>158</v>
      </c>
      <c r="O313" s="252" t="s">
        <v>243</v>
      </c>
      <c r="P313" s="252" t="s">
        <v>168</v>
      </c>
      <c r="Q313" s="252" t="s">
        <v>158</v>
      </c>
      <c r="R313" s="252" t="s">
        <v>245</v>
      </c>
    </row>
    <row r="314" spans="1:20" ht="16.5">
      <c r="A314" s="37" t="s">
        <v>373</v>
      </c>
      <c r="B314" s="39" t="s">
        <v>104</v>
      </c>
      <c r="C314" s="39">
        <v>3</v>
      </c>
      <c r="D314" s="39">
        <v>52</v>
      </c>
      <c r="E314" s="39">
        <f>ROUND(C314*D314,2)</f>
        <v>156</v>
      </c>
      <c r="F314" s="39">
        <v>0</v>
      </c>
      <c r="G314" s="39">
        <v>1</v>
      </c>
      <c r="H314" s="39">
        <f>ROUND(F314*G314,2)</f>
        <v>0</v>
      </c>
      <c r="I314" s="39">
        <v>30</v>
      </c>
      <c r="J314" s="39">
        <v>1</v>
      </c>
      <c r="K314" s="39">
        <f>ROUND(I314*J314,2)</f>
        <v>30</v>
      </c>
      <c r="L314" s="39">
        <v>0</v>
      </c>
      <c r="M314" s="39">
        <v>1</v>
      </c>
      <c r="N314" s="39">
        <f>ROUND(L314*M314,2)</f>
        <v>0</v>
      </c>
      <c r="O314" s="39">
        <v>0</v>
      </c>
      <c r="P314" s="39">
        <v>1</v>
      </c>
      <c r="Q314" s="39">
        <f>ROUND(P314*O314,2)</f>
        <v>0</v>
      </c>
      <c r="R314" s="39">
        <f>E314+H314+K314+N314+Q314</f>
        <v>186</v>
      </c>
      <c r="S314" s="39"/>
      <c r="T314" s="39"/>
    </row>
    <row r="315" spans="1:20" ht="16.5">
      <c r="A315" s="37" t="s">
        <v>372</v>
      </c>
      <c r="B315" s="39" t="s">
        <v>104</v>
      </c>
      <c r="C315" s="39">
        <v>4</v>
      </c>
      <c r="D315" s="39">
        <v>52</v>
      </c>
      <c r="E315" s="39">
        <f t="shared" ref="E315" si="56">ROUND(C315*D315,2)</f>
        <v>208</v>
      </c>
      <c r="F315" s="39">
        <v>0</v>
      </c>
      <c r="G315" s="39">
        <v>1</v>
      </c>
      <c r="H315" s="39">
        <f t="shared" ref="H315:H319" si="57">ROUND(F315*G315,2)</f>
        <v>0</v>
      </c>
      <c r="I315" s="39">
        <v>75</v>
      </c>
      <c r="J315" s="39">
        <v>1</v>
      </c>
      <c r="K315" s="39">
        <f t="shared" ref="K315:K319" si="58">ROUND(I315*J315,2)</f>
        <v>75</v>
      </c>
      <c r="L315" s="39">
        <v>0</v>
      </c>
      <c r="M315" s="39">
        <v>1</v>
      </c>
      <c r="N315" s="39">
        <f t="shared" ref="N315:N319" si="59">ROUND(L315*M315,2)</f>
        <v>0</v>
      </c>
      <c r="O315" s="39">
        <v>0</v>
      </c>
      <c r="P315" s="39">
        <v>1</v>
      </c>
      <c r="Q315" s="39">
        <f t="shared" ref="Q315:Q319" si="60">ROUND(P315*O315,2)</f>
        <v>0</v>
      </c>
      <c r="R315" s="39">
        <f t="shared" ref="R315:R319" si="61">E315+H315+K315+N315+Q315</f>
        <v>283</v>
      </c>
      <c r="S315" s="39" t="s">
        <v>371</v>
      </c>
      <c r="T315" s="39"/>
    </row>
    <row r="316" spans="1:20" ht="16.5">
      <c r="A316" s="37" t="s">
        <v>376</v>
      </c>
      <c r="B316" s="39" t="s">
        <v>151</v>
      </c>
      <c r="C316" s="39">
        <v>1</v>
      </c>
      <c r="D316" s="39">
        <v>52</v>
      </c>
      <c r="E316" s="39">
        <f>ROUND(C316*D316,2)</f>
        <v>52</v>
      </c>
      <c r="F316" s="39">
        <v>0</v>
      </c>
      <c r="G316" s="39">
        <v>1</v>
      </c>
      <c r="H316" s="39">
        <f t="shared" si="57"/>
        <v>0</v>
      </c>
      <c r="I316" s="39">
        <v>6</v>
      </c>
      <c r="J316" s="39">
        <v>1</v>
      </c>
      <c r="K316" s="39">
        <f t="shared" si="58"/>
        <v>6</v>
      </c>
      <c r="L316" s="39">
        <v>0</v>
      </c>
      <c r="M316" s="39">
        <v>1</v>
      </c>
      <c r="N316" s="39">
        <f t="shared" si="59"/>
        <v>0</v>
      </c>
      <c r="O316" s="39">
        <v>0</v>
      </c>
      <c r="P316" s="39">
        <v>1</v>
      </c>
      <c r="Q316" s="39">
        <f t="shared" si="60"/>
        <v>0</v>
      </c>
      <c r="R316" s="39">
        <f t="shared" si="61"/>
        <v>58</v>
      </c>
      <c r="S316" s="39"/>
      <c r="T316" s="39"/>
    </row>
    <row r="317" spans="1:20" ht="16.5">
      <c r="A317" s="37" t="s">
        <v>397</v>
      </c>
      <c r="B317" s="39" t="s">
        <v>104</v>
      </c>
      <c r="C317" s="39">
        <v>6</v>
      </c>
      <c r="D317" s="39">
        <v>52</v>
      </c>
      <c r="E317" s="39">
        <f t="shared" ref="E317:E319" si="62">ROUND(C317*D317,2)</f>
        <v>312</v>
      </c>
      <c r="F317" s="39">
        <v>0</v>
      </c>
      <c r="G317" s="39">
        <v>1</v>
      </c>
      <c r="H317" s="39">
        <f t="shared" si="57"/>
        <v>0</v>
      </c>
      <c r="I317" s="39">
        <v>90</v>
      </c>
      <c r="J317" s="39">
        <v>1</v>
      </c>
      <c r="K317" s="39">
        <f t="shared" si="58"/>
        <v>90</v>
      </c>
      <c r="L317" s="39">
        <v>0</v>
      </c>
      <c r="M317" s="39">
        <v>1</v>
      </c>
      <c r="N317" s="39">
        <f t="shared" si="59"/>
        <v>0</v>
      </c>
      <c r="O317" s="39">
        <v>0</v>
      </c>
      <c r="P317" s="39">
        <v>1</v>
      </c>
      <c r="Q317" s="39">
        <f t="shared" si="60"/>
        <v>0</v>
      </c>
      <c r="R317" s="39">
        <f t="shared" si="61"/>
        <v>402</v>
      </c>
      <c r="S317" t="s">
        <v>374</v>
      </c>
    </row>
    <row r="318" spans="1:20" ht="16.5">
      <c r="A318" s="37" t="s">
        <v>398</v>
      </c>
      <c r="B318" s="39" t="s">
        <v>151</v>
      </c>
      <c r="C318" s="39">
        <v>1</v>
      </c>
      <c r="D318" s="39">
        <v>52</v>
      </c>
      <c r="E318" s="39">
        <f t="shared" si="62"/>
        <v>52</v>
      </c>
      <c r="F318" s="39">
        <v>0</v>
      </c>
      <c r="G318" s="39">
        <v>1</v>
      </c>
      <c r="H318" s="39">
        <f t="shared" si="57"/>
        <v>0</v>
      </c>
      <c r="I318" s="39">
        <v>6</v>
      </c>
      <c r="J318" s="39">
        <v>1</v>
      </c>
      <c r="K318" s="39">
        <f t="shared" si="58"/>
        <v>6</v>
      </c>
      <c r="L318" s="39">
        <v>0</v>
      </c>
      <c r="M318" s="39">
        <v>1</v>
      </c>
      <c r="N318" s="39">
        <f t="shared" si="59"/>
        <v>0</v>
      </c>
      <c r="O318" s="39">
        <v>0</v>
      </c>
      <c r="P318" s="39">
        <v>1</v>
      </c>
      <c r="Q318" s="39">
        <f t="shared" si="60"/>
        <v>0</v>
      </c>
      <c r="R318" s="39">
        <f t="shared" si="61"/>
        <v>58</v>
      </c>
    </row>
    <row r="319" spans="1:20" ht="16.5">
      <c r="A319" s="37" t="s">
        <v>388</v>
      </c>
      <c r="B319" s="39" t="s">
        <v>151</v>
      </c>
      <c r="C319" s="39">
        <v>0</v>
      </c>
      <c r="D319" s="39">
        <v>52</v>
      </c>
      <c r="E319" s="39">
        <f t="shared" si="62"/>
        <v>0</v>
      </c>
      <c r="F319" s="39">
        <v>0</v>
      </c>
      <c r="G319" s="39">
        <v>1</v>
      </c>
      <c r="H319" s="39">
        <f t="shared" si="57"/>
        <v>0</v>
      </c>
      <c r="I319" s="39">
        <v>1</v>
      </c>
      <c r="J319" s="39">
        <v>1</v>
      </c>
      <c r="K319" s="39">
        <f t="shared" si="58"/>
        <v>1</v>
      </c>
      <c r="L319" s="39">
        <v>0</v>
      </c>
      <c r="M319" s="39">
        <v>1</v>
      </c>
      <c r="N319" s="39">
        <f t="shared" si="59"/>
        <v>0</v>
      </c>
      <c r="O319" s="39">
        <v>0</v>
      </c>
      <c r="P319" s="39">
        <v>1</v>
      </c>
      <c r="Q319" s="39">
        <f t="shared" si="60"/>
        <v>0</v>
      </c>
      <c r="R319" s="39">
        <f t="shared" si="61"/>
        <v>1</v>
      </c>
    </row>
    <row r="320" spans="1:20" ht="16.5">
      <c r="A320" s="37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</row>
    <row r="321" spans="1:18" ht="16.5">
      <c r="A321" s="252" t="s">
        <v>399</v>
      </c>
      <c r="B321" s="252" t="s">
        <v>90</v>
      </c>
      <c r="C321" s="252" t="s">
        <v>235</v>
      </c>
      <c r="D321" s="54" t="s">
        <v>243</v>
      </c>
      <c r="E321" s="252" t="s">
        <v>158</v>
      </c>
      <c r="F321" s="252" t="s">
        <v>400</v>
      </c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</row>
    <row r="322" spans="1:18" ht="16.5">
      <c r="A322" s="37" t="s">
        <v>401</v>
      </c>
      <c r="B322" s="39" t="s">
        <v>95</v>
      </c>
      <c r="C322" s="39">
        <v>16.12</v>
      </c>
      <c r="D322" s="39">
        <f>C322*1000</f>
        <v>16120.000000000002</v>
      </c>
      <c r="E322" s="39">
        <v>52</v>
      </c>
      <c r="F322" s="55" t="s">
        <v>402</v>
      </c>
      <c r="G322" s="52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</row>
    <row r="323" spans="1:18" ht="16.5">
      <c r="A323" s="37" t="s">
        <v>24</v>
      </c>
      <c r="B323" s="39" t="s">
        <v>95</v>
      </c>
      <c r="C323" s="39">
        <v>36.54</v>
      </c>
      <c r="D323" s="39">
        <f t="shared" ref="D323:D335" si="63">C323*1000</f>
        <v>36540</v>
      </c>
      <c r="E323" s="39">
        <v>1</v>
      </c>
      <c r="F323" s="52" t="s">
        <v>403</v>
      </c>
      <c r="G323" s="52" t="s">
        <v>404</v>
      </c>
      <c r="H323" s="39">
        <f>19*2*3</f>
        <v>114</v>
      </c>
      <c r="I323" s="39"/>
      <c r="J323" s="39"/>
      <c r="K323" s="39"/>
      <c r="L323" s="39"/>
      <c r="M323" s="39"/>
      <c r="N323" s="39"/>
      <c r="O323" s="39"/>
      <c r="P323" s="39"/>
      <c r="Q323" s="39"/>
      <c r="R323" s="39"/>
    </row>
    <row r="324" spans="1:18" ht="16.5">
      <c r="A324" s="37" t="s">
        <v>405</v>
      </c>
      <c r="B324" s="39" t="s">
        <v>95</v>
      </c>
      <c r="C324" s="39">
        <v>5.76</v>
      </c>
      <c r="D324" s="39">
        <f t="shared" si="63"/>
        <v>5760</v>
      </c>
      <c r="E324" s="39">
        <v>1</v>
      </c>
      <c r="F324" s="52" t="s">
        <v>406</v>
      </c>
      <c r="G324" s="52" t="s">
        <v>404</v>
      </c>
      <c r="H324" s="39">
        <f>15*3</f>
        <v>45</v>
      </c>
      <c r="I324" s="39"/>
      <c r="J324" s="39"/>
      <c r="K324" s="39"/>
      <c r="L324" s="39"/>
      <c r="M324" s="39"/>
      <c r="N324" s="39"/>
      <c r="O324" s="39"/>
      <c r="P324" s="39"/>
      <c r="Q324" s="39"/>
      <c r="R324" s="39"/>
    </row>
    <row r="325" spans="1:18" ht="16.5">
      <c r="A325" s="37" t="s">
        <v>407</v>
      </c>
      <c r="B325" s="39" t="s">
        <v>95</v>
      </c>
      <c r="C325" s="39">
        <v>20.09</v>
      </c>
      <c r="D325" s="39">
        <f t="shared" si="63"/>
        <v>20090</v>
      </c>
      <c r="E325" s="39">
        <v>1</v>
      </c>
      <c r="F325" s="52" t="s">
        <v>408</v>
      </c>
      <c r="G325" s="52" t="s">
        <v>404</v>
      </c>
      <c r="H325" s="39">
        <f>2*9*3</f>
        <v>54</v>
      </c>
      <c r="I325" s="39"/>
      <c r="J325" s="39"/>
      <c r="K325" s="39"/>
      <c r="L325" s="39"/>
      <c r="M325" s="39"/>
      <c r="N325" s="39"/>
      <c r="O325" s="39"/>
      <c r="P325" s="39"/>
      <c r="Q325" s="39"/>
      <c r="R325" s="39"/>
    </row>
    <row r="326" spans="1:18" ht="16.5">
      <c r="A326" s="37" t="s">
        <v>409</v>
      </c>
      <c r="B326" s="39" t="s">
        <v>95</v>
      </c>
      <c r="C326" s="39">
        <v>217.06</v>
      </c>
      <c r="D326" s="39">
        <f t="shared" si="63"/>
        <v>217060</v>
      </c>
      <c r="E326" s="39">
        <v>1</v>
      </c>
      <c r="F326" s="52" t="s">
        <v>410</v>
      </c>
      <c r="G326" s="52" t="s">
        <v>404</v>
      </c>
      <c r="H326" s="39">
        <f>7*16*3</f>
        <v>336</v>
      </c>
      <c r="I326" s="39"/>
      <c r="J326" s="39"/>
      <c r="K326" s="39"/>
      <c r="L326" s="39"/>
      <c r="M326" s="39"/>
      <c r="N326" s="39"/>
      <c r="O326" s="39"/>
      <c r="P326" s="39"/>
      <c r="Q326" s="39"/>
      <c r="R326" s="39"/>
    </row>
    <row r="327" spans="1:18" ht="16.5">
      <c r="A327" s="37" t="s">
        <v>411</v>
      </c>
      <c r="B327" s="39" t="s">
        <v>95</v>
      </c>
      <c r="C327" s="39">
        <v>12.52</v>
      </c>
      <c r="D327" s="39">
        <f t="shared" si="63"/>
        <v>12520</v>
      </c>
      <c r="E327" s="39">
        <v>1</v>
      </c>
      <c r="F327" s="52" t="s">
        <v>412</v>
      </c>
      <c r="G327" s="52" t="s">
        <v>404</v>
      </c>
      <c r="H327" s="39">
        <f>7*3</f>
        <v>21</v>
      </c>
      <c r="I327" s="39"/>
      <c r="J327" s="39"/>
      <c r="K327" s="39"/>
      <c r="L327" s="39"/>
      <c r="M327" s="39"/>
      <c r="N327" s="39"/>
      <c r="O327" s="39"/>
      <c r="P327" s="39"/>
      <c r="Q327" s="39"/>
      <c r="R327" s="39"/>
    </row>
    <row r="328" spans="1:18" ht="16.5">
      <c r="A328" s="37" t="s">
        <v>413</v>
      </c>
      <c r="B328" s="39" t="s">
        <v>95</v>
      </c>
      <c r="C328" s="39">
        <v>81.599999999999994</v>
      </c>
      <c r="D328" s="39">
        <f t="shared" si="63"/>
        <v>81600</v>
      </c>
      <c r="E328" s="39">
        <v>1</v>
      </c>
      <c r="F328" s="52" t="s">
        <v>414</v>
      </c>
      <c r="G328" s="52" t="s">
        <v>404</v>
      </c>
      <c r="H328" s="39">
        <f>3*25*3</f>
        <v>225</v>
      </c>
      <c r="I328" s="39"/>
      <c r="J328" s="39"/>
      <c r="K328" s="39"/>
      <c r="L328" s="39"/>
      <c r="M328" s="39"/>
      <c r="N328" s="39"/>
      <c r="O328" s="39"/>
      <c r="P328" s="39"/>
      <c r="Q328" s="39"/>
      <c r="R328" s="39"/>
    </row>
    <row r="329" spans="1:18" ht="16.5">
      <c r="A329" s="37" t="s">
        <v>415</v>
      </c>
      <c r="B329" s="39" t="s">
        <v>95</v>
      </c>
      <c r="C329" s="39">
        <v>29.58</v>
      </c>
      <c r="D329" s="39">
        <f t="shared" si="63"/>
        <v>29580</v>
      </c>
      <c r="E329" s="39">
        <v>1</v>
      </c>
      <c r="F329" s="52" t="s">
        <v>416</v>
      </c>
      <c r="G329" s="52" t="s">
        <v>404</v>
      </c>
      <c r="H329" s="39">
        <f>25*3</f>
        <v>75</v>
      </c>
      <c r="I329" s="39"/>
      <c r="J329" s="39"/>
      <c r="K329" s="39"/>
      <c r="L329" s="39"/>
      <c r="M329" s="39"/>
      <c r="N329" s="39"/>
      <c r="O329" s="39"/>
      <c r="P329" s="39"/>
      <c r="Q329" s="39"/>
      <c r="R329" s="39"/>
    </row>
    <row r="330" spans="1:18" ht="16.5">
      <c r="A330" s="37" t="s">
        <v>417</v>
      </c>
      <c r="B330" s="39" t="s">
        <v>95</v>
      </c>
      <c r="C330" s="39">
        <v>20</v>
      </c>
      <c r="D330" s="39">
        <f t="shared" si="63"/>
        <v>20000</v>
      </c>
      <c r="E330" s="39">
        <v>1</v>
      </c>
      <c r="F330" s="52" t="s">
        <v>408</v>
      </c>
      <c r="G330" s="52" t="s">
        <v>404</v>
      </c>
      <c r="H330" s="39">
        <f>2*27*3</f>
        <v>162</v>
      </c>
      <c r="I330" s="39"/>
      <c r="J330" s="39"/>
      <c r="K330" s="39"/>
      <c r="L330" s="39"/>
      <c r="M330" s="39"/>
      <c r="N330" s="39"/>
      <c r="O330" s="39"/>
      <c r="P330" s="39"/>
      <c r="Q330" s="39"/>
      <c r="R330" s="39"/>
    </row>
    <row r="331" spans="1:18" ht="16.5">
      <c r="A331" s="37" t="s">
        <v>418</v>
      </c>
      <c r="B331" s="39" t="s">
        <v>95</v>
      </c>
      <c r="C331" s="39">
        <v>20</v>
      </c>
      <c r="D331" s="39">
        <f t="shared" si="63"/>
        <v>20000</v>
      </c>
      <c r="E331" s="39">
        <v>1</v>
      </c>
      <c r="F331" s="52" t="s">
        <v>408</v>
      </c>
      <c r="G331" s="52" t="s">
        <v>404</v>
      </c>
      <c r="H331" s="39">
        <f>2*27*3</f>
        <v>162</v>
      </c>
      <c r="I331" s="39"/>
      <c r="J331" s="39"/>
      <c r="K331" s="39"/>
      <c r="L331" s="39"/>
      <c r="M331" s="39"/>
      <c r="N331" s="39"/>
      <c r="O331" s="39"/>
      <c r="P331" s="39"/>
      <c r="Q331" s="39"/>
      <c r="R331" s="39"/>
    </row>
    <row r="332" spans="1:18" ht="16.5">
      <c r="A332" s="37" t="s">
        <v>419</v>
      </c>
      <c r="B332" s="39" t="s">
        <v>95</v>
      </c>
      <c r="C332" s="39">
        <v>13.2</v>
      </c>
      <c r="D332" s="39">
        <f t="shared" si="63"/>
        <v>13200</v>
      </c>
      <c r="E332" s="39">
        <v>1</v>
      </c>
      <c r="F332" s="52" t="s">
        <v>412</v>
      </c>
      <c r="G332" s="52" t="s">
        <v>404</v>
      </c>
      <c r="H332" s="56">
        <f>36*3</f>
        <v>108</v>
      </c>
      <c r="I332" s="57"/>
      <c r="J332" s="57"/>
      <c r="K332" s="57"/>
      <c r="L332" s="57"/>
      <c r="M332" s="57"/>
      <c r="N332" s="57"/>
      <c r="O332" s="57"/>
      <c r="P332" s="39"/>
      <c r="Q332" s="39"/>
      <c r="R332" s="39"/>
    </row>
    <row r="333" spans="1:18" ht="16.5">
      <c r="A333" s="37" t="s">
        <v>420</v>
      </c>
      <c r="B333" s="39" t="s">
        <v>95</v>
      </c>
      <c r="C333" s="39">
        <v>11.2</v>
      </c>
      <c r="D333" s="39">
        <f t="shared" si="63"/>
        <v>11200</v>
      </c>
      <c r="E333" s="39">
        <v>1</v>
      </c>
      <c r="F333" s="52" t="s">
        <v>412</v>
      </c>
      <c r="G333" s="52" t="s">
        <v>404</v>
      </c>
      <c r="H333" s="39">
        <f>35*3</f>
        <v>105</v>
      </c>
      <c r="I333" s="39"/>
      <c r="J333" s="39"/>
      <c r="K333" s="39"/>
      <c r="L333" s="39"/>
      <c r="M333" s="39"/>
      <c r="N333" s="39"/>
      <c r="O333" s="39"/>
      <c r="P333" s="39"/>
      <c r="Q333" s="39"/>
      <c r="R333" s="39"/>
    </row>
    <row r="334" spans="1:18" ht="16.5">
      <c r="A334" s="37" t="s">
        <v>14</v>
      </c>
      <c r="B334" s="39" t="s">
        <v>95</v>
      </c>
      <c r="C334" s="39">
        <v>14.03</v>
      </c>
      <c r="D334" s="39">
        <f t="shared" si="63"/>
        <v>14030</v>
      </c>
      <c r="E334" s="39">
        <v>1</v>
      </c>
      <c r="F334" s="52" t="s">
        <v>412</v>
      </c>
      <c r="G334" s="52" t="s">
        <v>404</v>
      </c>
      <c r="H334" s="56">
        <f>37*3</f>
        <v>111</v>
      </c>
      <c r="I334" s="57"/>
      <c r="J334" s="57"/>
      <c r="K334" s="57"/>
      <c r="L334" s="57"/>
      <c r="M334" s="57"/>
      <c r="N334" s="57"/>
      <c r="O334" s="57"/>
      <c r="P334" s="39"/>
      <c r="Q334" s="39"/>
      <c r="R334" s="39"/>
    </row>
    <row r="335" spans="1:18" ht="33">
      <c r="A335" s="37" t="s">
        <v>13</v>
      </c>
      <c r="B335" s="39" t="s">
        <v>95</v>
      </c>
      <c r="C335" s="39">
        <v>103.97</v>
      </c>
      <c r="D335" s="39">
        <f t="shared" si="63"/>
        <v>103970</v>
      </c>
      <c r="E335" s="39">
        <v>1</v>
      </c>
      <c r="F335" s="55" t="s">
        <v>421</v>
      </c>
      <c r="G335" s="52" t="s">
        <v>404</v>
      </c>
      <c r="H335" s="39">
        <f>4*31*3</f>
        <v>372</v>
      </c>
      <c r="I335" s="39"/>
      <c r="J335" s="39"/>
      <c r="K335" s="39"/>
      <c r="L335" s="39"/>
      <c r="M335" s="39"/>
      <c r="N335" s="39"/>
      <c r="O335" s="39"/>
      <c r="P335" s="39"/>
      <c r="Q335" s="39"/>
      <c r="R335" s="39"/>
    </row>
    <row r="337" spans="1:8" ht="16.5">
      <c r="C337" s="52" t="s">
        <v>422</v>
      </c>
      <c r="D337" s="52">
        <f>1</f>
        <v>1</v>
      </c>
      <c r="E337" s="39"/>
      <c r="F337" s="39"/>
      <c r="H337" s="39"/>
    </row>
    <row r="338" spans="1:8" ht="16.5">
      <c r="C338" s="52" t="s">
        <v>423</v>
      </c>
      <c r="D338" s="52">
        <f>2+1+2+2+1+1+1+1</f>
        <v>11</v>
      </c>
      <c r="E338" s="39"/>
      <c r="H338" s="39"/>
    </row>
    <row r="339" spans="1:8" ht="16.5">
      <c r="C339" s="52" t="s">
        <v>402</v>
      </c>
      <c r="D339" s="52">
        <f>1+2</f>
        <v>3</v>
      </c>
      <c r="H339" s="39"/>
    </row>
    <row r="340" spans="1:8" ht="16.5">
      <c r="C340" s="52" t="s">
        <v>424</v>
      </c>
      <c r="D340" s="52">
        <f>7+3+1+3</f>
        <v>14</v>
      </c>
      <c r="H340" s="39"/>
    </row>
    <row r="341" spans="1:8" ht="16.5">
      <c r="D341" s="54" t="s">
        <v>425</v>
      </c>
      <c r="E341" s="266" t="s">
        <v>426</v>
      </c>
      <c r="F341" s="266"/>
      <c r="G341" s="266"/>
      <c r="H341" s="39"/>
    </row>
    <row r="342" spans="1:8" ht="16.5">
      <c r="A342" s="252" t="s">
        <v>427</v>
      </c>
      <c r="B342" s="252" t="s">
        <v>90</v>
      </c>
      <c r="C342" s="252" t="s">
        <v>428</v>
      </c>
      <c r="D342" s="54" t="s">
        <v>363</v>
      </c>
      <c r="E342" s="252" t="s">
        <v>363</v>
      </c>
      <c r="F342" s="252" t="s">
        <v>429</v>
      </c>
      <c r="G342" s="252" t="s">
        <v>430</v>
      </c>
      <c r="H342" s="39"/>
    </row>
    <row r="343" spans="1:8" ht="16.5">
      <c r="A343" s="37" t="s">
        <v>401</v>
      </c>
      <c r="B343" s="39" t="s">
        <v>104</v>
      </c>
      <c r="C343" s="39">
        <v>52</v>
      </c>
      <c r="D343" s="39">
        <f>2.5*C343</f>
        <v>130</v>
      </c>
      <c r="E343" s="39">
        <f>D343+3*C343</f>
        <v>286</v>
      </c>
      <c r="F343" s="39">
        <f>2*C343</f>
        <v>104</v>
      </c>
      <c r="G343" s="39">
        <f>2*C343</f>
        <v>104</v>
      </c>
      <c r="H343" s="39"/>
    </row>
    <row r="344" spans="1:8" ht="16.5">
      <c r="A344" s="37" t="s">
        <v>24</v>
      </c>
      <c r="B344" s="39" t="s">
        <v>104</v>
      </c>
      <c r="C344" s="39">
        <v>2</v>
      </c>
      <c r="D344" s="39">
        <f>3.5*C344</f>
        <v>7</v>
      </c>
      <c r="E344" s="39">
        <f t="shared" ref="E344:E356" si="64">D344+3*C344</f>
        <v>13</v>
      </c>
      <c r="F344" s="39">
        <f t="shared" ref="F344:F356" si="65">2*C344</f>
        <v>4</v>
      </c>
      <c r="G344" s="39">
        <f t="shared" ref="G344:G356" si="66">2*C344</f>
        <v>4</v>
      </c>
      <c r="H344" s="39"/>
    </row>
    <row r="345" spans="1:8" ht="16.5">
      <c r="A345" s="37" t="s">
        <v>405</v>
      </c>
      <c r="B345" s="39" t="s">
        <v>104</v>
      </c>
      <c r="C345" s="39">
        <v>1</v>
      </c>
      <c r="D345" s="39">
        <f>1*C345</f>
        <v>1</v>
      </c>
      <c r="E345" s="39">
        <f t="shared" si="64"/>
        <v>4</v>
      </c>
      <c r="F345" s="39">
        <f t="shared" si="65"/>
        <v>2</v>
      </c>
      <c r="G345" s="39">
        <f t="shared" si="66"/>
        <v>2</v>
      </c>
      <c r="H345" s="39"/>
    </row>
    <row r="346" spans="1:8" ht="16.5">
      <c r="A346" s="37" t="s">
        <v>407</v>
      </c>
      <c r="B346" s="39" t="s">
        <v>104</v>
      </c>
      <c r="C346" s="39">
        <v>2</v>
      </c>
      <c r="D346" s="39">
        <f>3*C346</f>
        <v>6</v>
      </c>
      <c r="E346" s="39">
        <f t="shared" si="64"/>
        <v>12</v>
      </c>
      <c r="F346" s="39">
        <f t="shared" si="65"/>
        <v>4</v>
      </c>
      <c r="G346" s="39">
        <f t="shared" si="66"/>
        <v>4</v>
      </c>
      <c r="H346" s="56"/>
    </row>
    <row r="347" spans="1:8" ht="16.5">
      <c r="A347" s="37" t="s">
        <v>409</v>
      </c>
      <c r="B347" s="39" t="s">
        <v>104</v>
      </c>
      <c r="C347" s="39">
        <v>7</v>
      </c>
      <c r="D347" s="39">
        <f>8*C347</f>
        <v>56</v>
      </c>
      <c r="E347" s="39">
        <f t="shared" si="64"/>
        <v>77</v>
      </c>
      <c r="F347" s="39">
        <f t="shared" si="65"/>
        <v>14</v>
      </c>
      <c r="G347" s="39">
        <f t="shared" si="66"/>
        <v>14</v>
      </c>
      <c r="H347" s="39"/>
    </row>
    <row r="348" spans="1:8" ht="16.5">
      <c r="A348" s="37" t="s">
        <v>411</v>
      </c>
      <c r="B348" s="39" t="s">
        <v>104</v>
      </c>
      <c r="C348" s="39">
        <v>1</v>
      </c>
      <c r="D348" s="39">
        <f>14*C348</f>
        <v>14</v>
      </c>
      <c r="E348" s="39">
        <f t="shared" si="64"/>
        <v>17</v>
      </c>
      <c r="F348" s="39">
        <f t="shared" si="65"/>
        <v>2</v>
      </c>
      <c r="G348" s="39">
        <f t="shared" si="66"/>
        <v>2</v>
      </c>
      <c r="H348" s="56"/>
    </row>
    <row r="349" spans="1:8" ht="16.5">
      <c r="A349" s="37" t="s">
        <v>413</v>
      </c>
      <c r="B349" s="39" t="s">
        <v>104</v>
      </c>
      <c r="C349" s="39">
        <v>3</v>
      </c>
      <c r="D349" s="39">
        <f>(8+4+1)/3*C349</f>
        <v>13</v>
      </c>
      <c r="E349" s="39">
        <f t="shared" si="64"/>
        <v>22</v>
      </c>
      <c r="F349" s="39">
        <f t="shared" si="65"/>
        <v>6</v>
      </c>
      <c r="G349" s="39">
        <f t="shared" si="66"/>
        <v>6</v>
      </c>
      <c r="H349" s="39"/>
    </row>
    <row r="350" spans="1:8" ht="16.5">
      <c r="A350" s="37" t="s">
        <v>415</v>
      </c>
      <c r="B350" s="39" t="s">
        <v>104</v>
      </c>
      <c r="C350" s="39">
        <v>1</v>
      </c>
      <c r="D350" s="39">
        <f>6*C350</f>
        <v>6</v>
      </c>
      <c r="E350" s="39">
        <f t="shared" si="64"/>
        <v>9</v>
      </c>
      <c r="F350" s="39">
        <f t="shared" si="65"/>
        <v>2</v>
      </c>
      <c r="G350" s="39">
        <f t="shared" si="66"/>
        <v>2</v>
      </c>
    </row>
    <row r="351" spans="1:8" ht="16.5">
      <c r="A351" s="37" t="s">
        <v>417</v>
      </c>
      <c r="B351" s="39" t="s">
        <v>104</v>
      </c>
      <c r="C351" s="39">
        <v>2</v>
      </c>
      <c r="D351" s="39">
        <f>11*C351</f>
        <v>22</v>
      </c>
      <c r="E351" s="39">
        <f t="shared" si="64"/>
        <v>28</v>
      </c>
      <c r="F351" s="39">
        <f t="shared" si="65"/>
        <v>4</v>
      </c>
      <c r="G351" s="39">
        <f t="shared" si="66"/>
        <v>4</v>
      </c>
    </row>
    <row r="352" spans="1:8" ht="16.5">
      <c r="A352" s="37" t="s">
        <v>418</v>
      </c>
      <c r="B352" s="39" t="s">
        <v>104</v>
      </c>
      <c r="C352" s="39">
        <v>2</v>
      </c>
      <c r="D352" s="39">
        <f>14*C352</f>
        <v>28</v>
      </c>
      <c r="E352" s="39">
        <f t="shared" si="64"/>
        <v>34</v>
      </c>
      <c r="F352" s="39">
        <f t="shared" si="65"/>
        <v>4</v>
      </c>
      <c r="G352" s="39">
        <f t="shared" si="66"/>
        <v>4</v>
      </c>
    </row>
    <row r="353" spans="1:13" ht="16.5">
      <c r="A353" s="37" t="s">
        <v>419</v>
      </c>
      <c r="B353" s="39" t="s">
        <v>104</v>
      </c>
      <c r="C353" s="39">
        <v>1</v>
      </c>
      <c r="D353" s="39">
        <v>3</v>
      </c>
      <c r="E353" s="39">
        <f t="shared" si="64"/>
        <v>6</v>
      </c>
      <c r="F353" s="39">
        <f t="shared" si="65"/>
        <v>2</v>
      </c>
      <c r="G353" s="39">
        <f t="shared" si="66"/>
        <v>2</v>
      </c>
    </row>
    <row r="354" spans="1:13" ht="16.5">
      <c r="A354" s="37" t="s">
        <v>420</v>
      </c>
      <c r="B354" s="39" t="s">
        <v>104</v>
      </c>
      <c r="C354" s="39">
        <v>1</v>
      </c>
      <c r="D354" s="39">
        <v>2</v>
      </c>
      <c r="E354" s="39">
        <f t="shared" si="64"/>
        <v>5</v>
      </c>
      <c r="F354" s="39">
        <f t="shared" si="65"/>
        <v>2</v>
      </c>
      <c r="G354" s="39">
        <f t="shared" si="66"/>
        <v>2</v>
      </c>
    </row>
    <row r="355" spans="1:13" ht="16.5">
      <c r="A355" s="37" t="s">
        <v>14</v>
      </c>
      <c r="B355" s="39" t="s">
        <v>104</v>
      </c>
      <c r="C355" s="39">
        <v>1</v>
      </c>
      <c r="D355" s="39">
        <v>2.5</v>
      </c>
      <c r="E355" s="39">
        <f t="shared" si="64"/>
        <v>5.5</v>
      </c>
      <c r="F355" s="39">
        <f t="shared" si="65"/>
        <v>2</v>
      </c>
      <c r="G355" s="39">
        <f t="shared" si="66"/>
        <v>2</v>
      </c>
    </row>
    <row r="356" spans="1:13" ht="16.5">
      <c r="A356" s="37" t="s">
        <v>13</v>
      </c>
      <c r="B356" s="39" t="s">
        <v>104</v>
      </c>
      <c r="C356" s="39">
        <v>4</v>
      </c>
      <c r="D356" s="59">
        <v>10</v>
      </c>
      <c r="E356" s="59">
        <f t="shared" si="64"/>
        <v>22</v>
      </c>
      <c r="F356" s="59">
        <f t="shared" si="65"/>
        <v>8</v>
      </c>
      <c r="G356" s="59">
        <f t="shared" si="66"/>
        <v>8</v>
      </c>
    </row>
    <row r="357" spans="1:13" ht="16.5">
      <c r="D357" s="38">
        <f>SUM(D343:D356)</f>
        <v>300.5</v>
      </c>
      <c r="E357" s="38">
        <f t="shared" ref="E357:G357" si="67">SUM(E343:E356)</f>
        <v>540.5</v>
      </c>
      <c r="F357" s="38">
        <f t="shared" si="67"/>
        <v>160</v>
      </c>
      <c r="G357" s="38">
        <f t="shared" si="67"/>
        <v>160</v>
      </c>
    </row>
    <row r="361" spans="1:13" ht="33">
      <c r="A361" s="252" t="s">
        <v>431</v>
      </c>
      <c r="B361" s="252" t="s">
        <v>243</v>
      </c>
      <c r="C361" s="252" t="s">
        <v>432</v>
      </c>
      <c r="D361" s="252" t="s">
        <v>433</v>
      </c>
      <c r="E361" s="252" t="s">
        <v>434</v>
      </c>
      <c r="F361" s="54" t="s">
        <v>435</v>
      </c>
      <c r="G361" s="54" t="s">
        <v>436</v>
      </c>
      <c r="H361" s="54" t="s">
        <v>437</v>
      </c>
      <c r="I361" s="54" t="s">
        <v>438</v>
      </c>
      <c r="J361" s="54" t="s">
        <v>439</v>
      </c>
      <c r="K361" s="54" t="s">
        <v>440</v>
      </c>
      <c r="L361" s="54" t="s">
        <v>441</v>
      </c>
    </row>
    <row r="362" spans="1:13" ht="16.5">
      <c r="A362" s="37" t="s">
        <v>401</v>
      </c>
      <c r="B362" s="39">
        <f>288.77+286.77+313.11+206.6</f>
        <v>1095.25</v>
      </c>
      <c r="C362" s="39">
        <f>B362</f>
        <v>1095.25</v>
      </c>
      <c r="D362" s="39">
        <f>1.46*B362</f>
        <v>1599.0650000000001</v>
      </c>
      <c r="E362" s="39">
        <f>B362*0.05</f>
        <v>54.762500000000003</v>
      </c>
      <c r="F362" s="39">
        <f>B362</f>
        <v>1095.25</v>
      </c>
      <c r="G362" s="39">
        <v>0</v>
      </c>
      <c r="H362" s="39">
        <v>0</v>
      </c>
      <c r="I362" s="39">
        <v>0</v>
      </c>
      <c r="J362" s="39">
        <v>0</v>
      </c>
      <c r="K362" s="39">
        <v>0</v>
      </c>
      <c r="L362" s="39">
        <f>B362</f>
        <v>1095.25</v>
      </c>
      <c r="M362" s="52"/>
    </row>
    <row r="363" spans="1:13" ht="16.5">
      <c r="A363" s="37" t="s">
        <v>33</v>
      </c>
      <c r="B363" s="39">
        <v>66.98</v>
      </c>
      <c r="C363" s="39">
        <f t="shared" ref="C363:C366" si="68">B363</f>
        <v>66.98</v>
      </c>
      <c r="D363" s="39">
        <f t="shared" ref="D363:D366" si="69">1.46*B363</f>
        <v>97.790800000000004</v>
      </c>
      <c r="E363" s="39">
        <f t="shared" ref="E363:E366" si="70">B363*0.05</f>
        <v>3.3490000000000002</v>
      </c>
      <c r="F363" s="39">
        <f t="shared" ref="F363:F366" si="71">B363</f>
        <v>66.98</v>
      </c>
      <c r="G363" s="39">
        <v>0</v>
      </c>
      <c r="H363" s="39">
        <v>0</v>
      </c>
      <c r="I363" s="39">
        <v>0</v>
      </c>
      <c r="J363" s="39">
        <v>0</v>
      </c>
      <c r="K363" s="39">
        <v>0</v>
      </c>
      <c r="L363" s="39">
        <f t="shared" ref="L363:L364" si="72">B363</f>
        <v>66.98</v>
      </c>
      <c r="M363" s="52"/>
    </row>
    <row r="364" spans="1:13" ht="16.5">
      <c r="A364" s="37" t="s">
        <v>442</v>
      </c>
      <c r="B364" s="39">
        <v>23.78</v>
      </c>
      <c r="C364" s="39">
        <f t="shared" si="68"/>
        <v>23.78</v>
      </c>
      <c r="D364" s="39">
        <f t="shared" si="69"/>
        <v>34.718800000000002</v>
      </c>
      <c r="E364" s="39">
        <f t="shared" si="70"/>
        <v>1.1890000000000001</v>
      </c>
      <c r="F364" s="39">
        <f t="shared" si="71"/>
        <v>23.78</v>
      </c>
      <c r="G364" s="39">
        <v>0</v>
      </c>
      <c r="H364" s="39">
        <v>0</v>
      </c>
      <c r="I364" s="39">
        <v>0</v>
      </c>
      <c r="J364" s="39">
        <v>0</v>
      </c>
      <c r="K364" s="39">
        <v>0</v>
      </c>
      <c r="L364" s="39">
        <f t="shared" si="72"/>
        <v>23.78</v>
      </c>
      <c r="M364" s="52"/>
    </row>
    <row r="365" spans="1:13" ht="16.5">
      <c r="A365" s="37" t="s">
        <v>362</v>
      </c>
      <c r="B365" s="39">
        <v>6.34</v>
      </c>
      <c r="C365" s="39">
        <f t="shared" si="68"/>
        <v>6.34</v>
      </c>
      <c r="D365" s="39">
        <f t="shared" si="69"/>
        <v>9.2563999999999993</v>
      </c>
      <c r="E365" s="39">
        <f t="shared" si="70"/>
        <v>0.317</v>
      </c>
      <c r="F365" s="39">
        <f t="shared" si="71"/>
        <v>6.34</v>
      </c>
      <c r="G365" s="39">
        <v>0</v>
      </c>
      <c r="H365" s="39">
        <v>0</v>
      </c>
      <c r="I365" s="39">
        <v>0</v>
      </c>
      <c r="J365" s="39">
        <v>0</v>
      </c>
      <c r="K365" s="39">
        <v>0</v>
      </c>
      <c r="L365" s="39">
        <v>0</v>
      </c>
      <c r="M365" s="52"/>
    </row>
    <row r="366" spans="1:13" ht="16.5">
      <c r="A366" s="37" t="s">
        <v>443</v>
      </c>
      <c r="B366" s="39">
        <f>413.25+1190+214.84</f>
        <v>1818.09</v>
      </c>
      <c r="C366" s="39">
        <f t="shared" si="68"/>
        <v>1818.09</v>
      </c>
      <c r="D366" s="39">
        <f t="shared" si="69"/>
        <v>2654.4114</v>
      </c>
      <c r="E366" s="39">
        <f t="shared" si="70"/>
        <v>90.904499999999999</v>
      </c>
      <c r="F366" s="39">
        <f t="shared" si="71"/>
        <v>1818.09</v>
      </c>
      <c r="G366" s="39">
        <v>0</v>
      </c>
      <c r="H366" s="39">
        <v>0</v>
      </c>
      <c r="I366" s="39">
        <v>0</v>
      </c>
      <c r="J366" s="39">
        <v>0</v>
      </c>
      <c r="K366" s="39">
        <v>0</v>
      </c>
      <c r="L366" s="39">
        <f>B366-214.84</f>
        <v>1603.25</v>
      </c>
      <c r="M366" s="52" t="s">
        <v>444</v>
      </c>
    </row>
    <row r="367" spans="1:13" ht="16.5">
      <c r="A367" s="37" t="s">
        <v>445</v>
      </c>
      <c r="B367" s="39">
        <f>953.9+125+125</f>
        <v>1203.9000000000001</v>
      </c>
      <c r="C367" s="59">
        <v>0</v>
      </c>
      <c r="D367" s="59">
        <v>0</v>
      </c>
      <c r="E367" s="59">
        <v>0</v>
      </c>
      <c r="F367" s="59">
        <v>0</v>
      </c>
      <c r="G367" s="59">
        <v>155.69999999999999</v>
      </c>
      <c r="H367" s="59">
        <f>B367*0.3</f>
        <v>361.17</v>
      </c>
      <c r="I367" s="59">
        <f>B367</f>
        <v>1203.9000000000001</v>
      </c>
      <c r="J367" s="59">
        <f>B367</f>
        <v>1203.9000000000001</v>
      </c>
      <c r="K367" s="59">
        <f>B367</f>
        <v>1203.9000000000001</v>
      </c>
      <c r="L367" s="59">
        <v>0</v>
      </c>
      <c r="M367" s="39"/>
    </row>
    <row r="368" spans="1:13" ht="16.5">
      <c r="C368" s="38">
        <f>SUM(C362:C367)</f>
        <v>3010.4399999999996</v>
      </c>
      <c r="D368" s="38">
        <f t="shared" ref="D368:L368" si="73">SUM(D362:D367)</f>
        <v>4395.2424000000001</v>
      </c>
      <c r="E368" s="38">
        <f t="shared" si="73"/>
        <v>150.52199999999999</v>
      </c>
      <c r="F368" s="38">
        <f t="shared" si="73"/>
        <v>3010.4399999999996</v>
      </c>
      <c r="G368" s="38">
        <f t="shared" si="73"/>
        <v>155.69999999999999</v>
      </c>
      <c r="H368" s="38">
        <f t="shared" si="73"/>
        <v>361.17</v>
      </c>
      <c r="I368" s="38">
        <f t="shared" si="73"/>
        <v>1203.9000000000001</v>
      </c>
      <c r="J368" s="38">
        <f t="shared" si="73"/>
        <v>1203.9000000000001</v>
      </c>
      <c r="K368" s="38">
        <f t="shared" si="73"/>
        <v>1203.9000000000001</v>
      </c>
      <c r="L368" s="38">
        <f t="shared" si="73"/>
        <v>2789.26</v>
      </c>
    </row>
    <row r="369" spans="1:12" ht="16.5">
      <c r="C369" s="38"/>
      <c r="D369" s="38"/>
      <c r="E369" s="38"/>
      <c r="F369" s="38"/>
      <c r="G369" s="38"/>
      <c r="H369" s="38"/>
      <c r="I369" s="38"/>
      <c r="J369" s="38"/>
      <c r="K369" s="38"/>
      <c r="L369" s="38"/>
    </row>
    <row r="370" spans="1:12" ht="16.5">
      <c r="A370" s="252" t="s">
        <v>446</v>
      </c>
      <c r="B370" s="252" t="s">
        <v>127</v>
      </c>
      <c r="C370" s="252" t="s">
        <v>235</v>
      </c>
      <c r="D370" s="252" t="s">
        <v>447</v>
      </c>
      <c r="E370" s="252" t="s">
        <v>448</v>
      </c>
      <c r="F370" s="252" t="s">
        <v>449</v>
      </c>
      <c r="G370" s="38"/>
      <c r="H370" s="38"/>
      <c r="I370" s="38"/>
      <c r="J370" s="38"/>
      <c r="K370" s="38"/>
      <c r="L370" s="38"/>
    </row>
    <row r="371" spans="1:12" ht="16.5">
      <c r="A371" s="37" t="s">
        <v>293</v>
      </c>
      <c r="B371" s="39">
        <v>30</v>
      </c>
      <c r="C371" s="39">
        <v>3.08</v>
      </c>
      <c r="D371" s="39">
        <v>7.3</v>
      </c>
      <c r="E371" s="39">
        <v>0.2</v>
      </c>
      <c r="F371" s="39">
        <f>B371*(C371+(D371*E371))</f>
        <v>136.19999999999999</v>
      </c>
      <c r="G371" s="38"/>
      <c r="H371" s="38"/>
      <c r="I371" s="38"/>
      <c r="J371" s="38"/>
      <c r="K371" s="38"/>
      <c r="L371" s="38"/>
    </row>
    <row r="372" spans="1:12" ht="16.5">
      <c r="A372" s="37" t="s">
        <v>294</v>
      </c>
      <c r="B372" s="39">
        <v>14</v>
      </c>
      <c r="C372" s="39">
        <v>3.64</v>
      </c>
      <c r="D372" s="39">
        <v>8.1999999999999993</v>
      </c>
      <c r="E372" s="39">
        <v>0.2</v>
      </c>
      <c r="F372" s="39">
        <f t="shared" ref="F372:F381" si="74">B372*(C372+(D372*E372))</f>
        <v>73.92</v>
      </c>
      <c r="G372" s="38"/>
      <c r="H372" s="38"/>
      <c r="I372" s="38"/>
      <c r="J372" s="38"/>
      <c r="K372" s="38"/>
      <c r="L372" s="38"/>
    </row>
    <row r="373" spans="1:12" ht="16.5">
      <c r="A373" s="37" t="s">
        <v>295</v>
      </c>
      <c r="B373" s="39">
        <v>8</v>
      </c>
      <c r="C373" s="39">
        <v>5.4</v>
      </c>
      <c r="D373" s="39">
        <v>9.6</v>
      </c>
      <c r="E373" s="39">
        <v>0.2</v>
      </c>
      <c r="F373" s="39">
        <f t="shared" si="74"/>
        <v>58.56</v>
      </c>
      <c r="G373" s="38"/>
      <c r="H373" s="38"/>
      <c r="I373" s="38"/>
      <c r="J373" s="38"/>
      <c r="K373" s="38"/>
      <c r="L373" s="38"/>
    </row>
    <row r="374" spans="1:12" ht="16.5">
      <c r="A374" s="37" t="s">
        <v>33</v>
      </c>
      <c r="B374" s="39">
        <v>1</v>
      </c>
      <c r="C374" s="39">
        <f>18.9+10.8</f>
        <v>29.7</v>
      </c>
      <c r="D374" s="39">
        <f>19.4+13.4</f>
        <v>32.799999999999997</v>
      </c>
      <c r="E374" s="39">
        <v>0.2</v>
      </c>
      <c r="F374" s="39">
        <f t="shared" si="74"/>
        <v>36.26</v>
      </c>
      <c r="G374" s="38"/>
      <c r="H374" s="38"/>
      <c r="I374" s="38"/>
      <c r="J374" s="38"/>
      <c r="K374" s="38"/>
      <c r="L374" s="38"/>
    </row>
    <row r="375" spans="1:12" ht="16.5">
      <c r="A375" s="37" t="s">
        <v>450</v>
      </c>
      <c r="B375" s="39">
        <v>2</v>
      </c>
      <c r="C375" s="39">
        <v>3.12</v>
      </c>
      <c r="D375" s="39">
        <v>7.4</v>
      </c>
      <c r="E375" s="39">
        <v>0.2</v>
      </c>
      <c r="F375" s="39">
        <f t="shared" si="74"/>
        <v>9.2000000000000011</v>
      </c>
      <c r="G375" s="38"/>
      <c r="H375" s="38"/>
      <c r="I375" s="38"/>
      <c r="J375" s="38"/>
      <c r="K375" s="38"/>
      <c r="L375" s="38"/>
    </row>
    <row r="376" spans="1:12" ht="16.5">
      <c r="A376" s="37" t="s">
        <v>451</v>
      </c>
      <c r="B376" s="39">
        <v>1</v>
      </c>
      <c r="C376" s="39">
        <v>4.5999999999999996</v>
      </c>
      <c r="D376" s="39">
        <v>8.6</v>
      </c>
      <c r="E376" s="39">
        <v>0.2</v>
      </c>
      <c r="F376" s="39">
        <f t="shared" si="74"/>
        <v>6.3199999999999994</v>
      </c>
      <c r="G376" s="38"/>
      <c r="H376" s="38"/>
      <c r="I376" s="38"/>
      <c r="J376" s="38"/>
      <c r="K376" s="38"/>
      <c r="L376" s="38"/>
    </row>
    <row r="377" spans="1:12" ht="16.5">
      <c r="A377" s="37" t="s">
        <v>452</v>
      </c>
      <c r="B377" s="39">
        <v>1</v>
      </c>
      <c r="C377" s="39">
        <v>5.5</v>
      </c>
      <c r="D377" s="39">
        <v>9.5</v>
      </c>
      <c r="E377" s="39">
        <v>0.2</v>
      </c>
      <c r="F377" s="39">
        <f t="shared" si="74"/>
        <v>7.4</v>
      </c>
      <c r="G377" s="38"/>
      <c r="H377" s="38"/>
      <c r="I377" s="38"/>
      <c r="J377" s="38"/>
      <c r="K377" s="38"/>
      <c r="L377" s="38"/>
    </row>
    <row r="378" spans="1:12" ht="16.5">
      <c r="A378" s="37" t="s">
        <v>453</v>
      </c>
      <c r="B378" s="39">
        <v>1</v>
      </c>
      <c r="C378" s="39">
        <v>3.05</v>
      </c>
      <c r="D378" s="39">
        <v>7.1</v>
      </c>
      <c r="E378" s="39">
        <v>0.2</v>
      </c>
      <c r="F378" s="39">
        <f t="shared" si="74"/>
        <v>4.47</v>
      </c>
      <c r="G378" s="38"/>
      <c r="H378" s="38"/>
      <c r="I378" s="38"/>
      <c r="J378" s="38"/>
      <c r="K378" s="38"/>
      <c r="L378" s="38"/>
    </row>
    <row r="379" spans="1:12" ht="16.5">
      <c r="A379" s="37" t="s">
        <v>454</v>
      </c>
      <c r="B379" s="39">
        <v>2</v>
      </c>
      <c r="C379" s="39">
        <v>6.72</v>
      </c>
      <c r="D379" s="39">
        <v>10.4</v>
      </c>
      <c r="E379" s="39">
        <v>0.2</v>
      </c>
      <c r="F379" s="39">
        <f t="shared" si="74"/>
        <v>17.600000000000001</v>
      </c>
      <c r="G379" s="38"/>
      <c r="H379" s="38"/>
      <c r="I379" s="38"/>
      <c r="J379" s="38"/>
      <c r="K379" s="38"/>
      <c r="L379" s="38"/>
    </row>
    <row r="380" spans="1:12" ht="16.5">
      <c r="A380" s="37" t="s">
        <v>455</v>
      </c>
      <c r="B380" s="39">
        <v>1</v>
      </c>
      <c r="C380" s="39">
        <v>10.69</v>
      </c>
      <c r="D380" s="39">
        <v>13.8</v>
      </c>
      <c r="E380" s="39">
        <v>0.2</v>
      </c>
      <c r="F380" s="39">
        <f t="shared" si="74"/>
        <v>13.45</v>
      </c>
      <c r="G380" s="38"/>
      <c r="H380" s="38"/>
      <c r="I380" s="38"/>
      <c r="J380" s="38"/>
      <c r="K380" s="38"/>
      <c r="L380" s="38"/>
    </row>
    <row r="381" spans="1:12" ht="16.5">
      <c r="A381" s="37" t="s">
        <v>456</v>
      </c>
      <c r="B381" s="39">
        <v>2</v>
      </c>
      <c r="C381" s="39">
        <v>7.4</v>
      </c>
      <c r="D381" s="39">
        <v>10.9</v>
      </c>
      <c r="E381" s="39">
        <v>0.2</v>
      </c>
      <c r="F381" s="39">
        <f t="shared" si="74"/>
        <v>19.16</v>
      </c>
      <c r="G381" s="38"/>
      <c r="H381" s="38"/>
      <c r="I381" s="38"/>
      <c r="J381" s="38"/>
      <c r="K381" s="38"/>
      <c r="L381" s="38"/>
    </row>
    <row r="382" spans="1:12" ht="16.5">
      <c r="A382" s="37"/>
      <c r="B382" s="39"/>
      <c r="C382" s="38"/>
      <c r="D382" s="38"/>
      <c r="E382" s="38"/>
      <c r="F382" s="38">
        <f>SUM(F371:F381)</f>
        <v>382.54</v>
      </c>
      <c r="G382" s="38"/>
      <c r="H382" s="38"/>
      <c r="I382" s="38"/>
      <c r="J382" s="38"/>
      <c r="K382" s="38"/>
      <c r="L382" s="38"/>
    </row>
    <row r="384" spans="1:12" ht="16.5">
      <c r="A384" s="252" t="s">
        <v>457</v>
      </c>
      <c r="B384" s="252" t="s">
        <v>90</v>
      </c>
      <c r="C384" s="252" t="s">
        <v>235</v>
      </c>
      <c r="D384" s="54" t="s">
        <v>243</v>
      </c>
      <c r="E384" s="252" t="s">
        <v>158</v>
      </c>
      <c r="F384" s="252" t="s">
        <v>458</v>
      </c>
      <c r="G384" s="38"/>
      <c r="H384" s="38"/>
    </row>
    <row r="385" spans="1:8" ht="16.5">
      <c r="A385" s="37" t="s">
        <v>293</v>
      </c>
      <c r="B385" s="39" t="s">
        <v>95</v>
      </c>
      <c r="C385" s="39">
        <f>16.73</f>
        <v>16.73</v>
      </c>
      <c r="D385" s="39">
        <v>30</v>
      </c>
      <c r="E385" s="39">
        <f>ROUND(C385*D385,2)</f>
        <v>501.9</v>
      </c>
      <c r="F385" s="57" t="s">
        <v>459</v>
      </c>
      <c r="G385" s="52"/>
      <c r="H385" s="39"/>
    </row>
    <row r="386" spans="1:8" ht="16.5">
      <c r="A386" s="37" t="s">
        <v>294</v>
      </c>
      <c r="B386" s="39" t="s">
        <v>95</v>
      </c>
      <c r="C386" s="39">
        <f>19.88</f>
        <v>19.88</v>
      </c>
      <c r="D386" s="39">
        <v>14</v>
      </c>
      <c r="E386" s="39">
        <f t="shared" ref="E386:E402" si="75">ROUND(C386*D386,2)</f>
        <v>278.32</v>
      </c>
      <c r="F386" s="57" t="s">
        <v>459</v>
      </c>
      <c r="G386" s="52"/>
      <c r="H386" s="39"/>
    </row>
    <row r="387" spans="1:8" ht="16.5">
      <c r="A387" s="37" t="s">
        <v>295</v>
      </c>
      <c r="B387" s="39" t="s">
        <v>95</v>
      </c>
      <c r="C387" s="39">
        <f>21.2</f>
        <v>21.2</v>
      </c>
      <c r="D387" s="39">
        <v>8</v>
      </c>
      <c r="E387" s="39">
        <f t="shared" si="75"/>
        <v>169.6</v>
      </c>
      <c r="F387" s="57" t="s">
        <v>459</v>
      </c>
      <c r="G387" s="52"/>
      <c r="H387" s="39"/>
    </row>
    <row r="388" spans="1:8" ht="16.5">
      <c r="A388" s="37" t="s">
        <v>23</v>
      </c>
      <c r="B388" s="39" t="s">
        <v>95</v>
      </c>
      <c r="C388" s="39">
        <v>3.9</v>
      </c>
      <c r="D388" s="39">
        <v>1</v>
      </c>
      <c r="E388" s="39">
        <f t="shared" si="75"/>
        <v>3.9</v>
      </c>
      <c r="F388" s="57"/>
      <c r="G388" s="52"/>
      <c r="H388" s="39"/>
    </row>
    <row r="389" spans="1:8" ht="16.5">
      <c r="A389" s="37" t="s">
        <v>33</v>
      </c>
      <c r="B389" s="39" t="s">
        <v>95</v>
      </c>
      <c r="C389" s="39">
        <v>66.98</v>
      </c>
      <c r="D389" s="39">
        <v>1</v>
      </c>
      <c r="E389" s="39">
        <f t="shared" si="75"/>
        <v>66.98</v>
      </c>
      <c r="F389" s="37"/>
      <c r="G389" s="52"/>
      <c r="H389" s="39"/>
    </row>
    <row r="390" spans="1:8" ht="16.5">
      <c r="A390" s="37" t="s">
        <v>450</v>
      </c>
      <c r="B390" s="39" t="s">
        <v>95</v>
      </c>
      <c r="C390" s="39">
        <f>3.12</f>
        <v>3.12</v>
      </c>
      <c r="D390" s="39">
        <v>2</v>
      </c>
      <c r="E390" s="39">
        <f t="shared" si="75"/>
        <v>6.24</v>
      </c>
      <c r="F390" s="37"/>
      <c r="G390" s="52"/>
      <c r="H390" s="39"/>
    </row>
    <row r="391" spans="1:8" ht="16.5">
      <c r="A391" s="37" t="s">
        <v>460</v>
      </c>
      <c r="B391" s="39" t="s">
        <v>95</v>
      </c>
      <c r="C391" s="39">
        <v>4.8</v>
      </c>
      <c r="D391" s="39">
        <v>2</v>
      </c>
      <c r="E391" s="39">
        <f t="shared" si="75"/>
        <v>9.6</v>
      </c>
      <c r="F391" s="37"/>
      <c r="G391" s="52"/>
      <c r="H391" s="39"/>
    </row>
    <row r="392" spans="1:8" ht="16.5">
      <c r="A392" s="37" t="s">
        <v>461</v>
      </c>
      <c r="B392" s="39" t="s">
        <v>95</v>
      </c>
      <c r="C392" s="39">
        <v>7.32</v>
      </c>
      <c r="D392" s="39">
        <v>1</v>
      </c>
      <c r="E392" s="39">
        <f t="shared" si="75"/>
        <v>7.32</v>
      </c>
      <c r="F392" s="37"/>
      <c r="G392" s="52"/>
      <c r="H392" s="39"/>
    </row>
    <row r="393" spans="1:8" ht="16.5">
      <c r="A393" s="37" t="s">
        <v>462</v>
      </c>
      <c r="B393" s="39" t="s">
        <v>95</v>
      </c>
      <c r="C393" s="39">
        <v>5.8</v>
      </c>
      <c r="D393" s="39">
        <v>1</v>
      </c>
      <c r="E393" s="39">
        <f t="shared" si="75"/>
        <v>5.8</v>
      </c>
      <c r="F393" s="37"/>
      <c r="G393" s="52"/>
      <c r="H393" s="39"/>
    </row>
    <row r="394" spans="1:8" ht="16.5">
      <c r="A394" s="37" t="s">
        <v>463</v>
      </c>
      <c r="B394" s="39" t="s">
        <v>95</v>
      </c>
      <c r="C394" s="39">
        <v>2.64</v>
      </c>
      <c r="D394" s="39">
        <v>1</v>
      </c>
      <c r="E394" s="39">
        <f t="shared" si="75"/>
        <v>2.64</v>
      </c>
      <c r="F394" s="37"/>
      <c r="G394" s="52"/>
      <c r="H394" s="39"/>
    </row>
    <row r="395" spans="1:8" ht="16.5">
      <c r="A395" s="37" t="s">
        <v>464</v>
      </c>
      <c r="B395" s="39" t="s">
        <v>95</v>
      </c>
      <c r="C395" s="39">
        <v>5.76</v>
      </c>
      <c r="D395" s="39">
        <v>1</v>
      </c>
      <c r="E395" s="39">
        <f t="shared" si="75"/>
        <v>5.76</v>
      </c>
      <c r="F395" s="37"/>
      <c r="G395" s="52"/>
      <c r="H395" s="39"/>
    </row>
    <row r="396" spans="1:8" ht="16.5">
      <c r="A396" s="37" t="s">
        <v>465</v>
      </c>
      <c r="B396" s="39" t="s">
        <v>95</v>
      </c>
      <c r="C396" s="39">
        <v>37.82</v>
      </c>
      <c r="D396" s="39">
        <v>1</v>
      </c>
      <c r="E396" s="39">
        <f t="shared" si="75"/>
        <v>37.82</v>
      </c>
      <c r="F396" s="37"/>
      <c r="G396" s="52"/>
      <c r="H396" s="39"/>
    </row>
    <row r="397" spans="1:8" ht="16.5">
      <c r="A397" s="37" t="s">
        <v>466</v>
      </c>
      <c r="B397" s="39" t="s">
        <v>95</v>
      </c>
      <c r="C397" s="39">
        <v>8.8800000000000008</v>
      </c>
      <c r="D397" s="39">
        <v>1</v>
      </c>
      <c r="E397" s="39">
        <f t="shared" si="75"/>
        <v>8.8800000000000008</v>
      </c>
      <c r="F397" s="37"/>
      <c r="G397" s="52"/>
      <c r="H397" s="39"/>
    </row>
    <row r="398" spans="1:8" ht="16.5">
      <c r="A398" s="37" t="s">
        <v>467</v>
      </c>
      <c r="B398" s="39" t="s">
        <v>95</v>
      </c>
      <c r="C398" s="39">
        <v>21.09</v>
      </c>
      <c r="D398" s="39">
        <v>1</v>
      </c>
      <c r="E398" s="39">
        <f t="shared" si="75"/>
        <v>21.09</v>
      </c>
      <c r="F398" s="37"/>
      <c r="G398" s="52"/>
      <c r="H398" s="56"/>
    </row>
    <row r="399" spans="1:8" ht="16.5">
      <c r="A399" s="37" t="s">
        <v>468</v>
      </c>
      <c r="B399" s="39" t="s">
        <v>95</v>
      </c>
      <c r="C399" s="39">
        <v>20.25</v>
      </c>
      <c r="D399" s="39">
        <v>1</v>
      </c>
      <c r="E399" s="39">
        <f t="shared" si="75"/>
        <v>20.25</v>
      </c>
      <c r="F399" s="37"/>
      <c r="G399" s="52"/>
      <c r="H399" s="39"/>
    </row>
    <row r="400" spans="1:8" ht="16.5">
      <c r="A400" s="37" t="s">
        <v>407</v>
      </c>
      <c r="B400" s="39" t="s">
        <v>95</v>
      </c>
      <c r="C400" s="39">
        <v>20.09</v>
      </c>
      <c r="D400" s="39">
        <v>1</v>
      </c>
      <c r="E400" s="39">
        <f t="shared" si="75"/>
        <v>20.09</v>
      </c>
      <c r="F400" s="37"/>
      <c r="G400" s="52"/>
      <c r="H400" s="56"/>
    </row>
    <row r="401" spans="1:8" ht="16.5">
      <c r="A401" s="37" t="s">
        <v>409</v>
      </c>
      <c r="B401" s="39" t="s">
        <v>95</v>
      </c>
      <c r="C401" s="39">
        <v>217.06</v>
      </c>
      <c r="D401" s="39">
        <v>1</v>
      </c>
      <c r="E401" s="39">
        <f t="shared" si="75"/>
        <v>217.06</v>
      </c>
      <c r="F401" s="57"/>
      <c r="G401" s="52"/>
      <c r="H401" s="39"/>
    </row>
    <row r="402" spans="1:8" ht="16.5">
      <c r="A402" s="37" t="s">
        <v>21</v>
      </c>
      <c r="B402" s="39" t="s">
        <v>95</v>
      </c>
      <c r="C402" s="39">
        <v>13.33</v>
      </c>
      <c r="D402" s="39">
        <v>1</v>
      </c>
      <c r="E402" s="39">
        <f t="shared" si="75"/>
        <v>13.33</v>
      </c>
      <c r="F402" s="57"/>
      <c r="G402" s="52"/>
      <c r="H402" s="39"/>
    </row>
    <row r="403" spans="1:8" ht="16.5">
      <c r="A403" s="37" t="s">
        <v>411</v>
      </c>
      <c r="B403" s="39" t="s">
        <v>95</v>
      </c>
      <c r="C403" s="39">
        <v>12.52</v>
      </c>
      <c r="D403" s="39">
        <v>1</v>
      </c>
      <c r="E403" s="39">
        <f t="shared" ref="E403:E418" si="76">ROUND(C403*D403,2)</f>
        <v>12.52</v>
      </c>
      <c r="F403" s="57"/>
      <c r="G403" s="52"/>
      <c r="H403" s="39"/>
    </row>
    <row r="404" spans="1:8" ht="16.5">
      <c r="A404" s="37" t="s">
        <v>451</v>
      </c>
      <c r="B404" s="39" t="s">
        <v>95</v>
      </c>
      <c r="C404" s="39">
        <v>4.5999999999999996</v>
      </c>
      <c r="D404" s="39">
        <v>1</v>
      </c>
      <c r="E404" s="39">
        <f t="shared" si="76"/>
        <v>4.5999999999999996</v>
      </c>
      <c r="F404" s="57"/>
      <c r="G404" s="52"/>
      <c r="H404" s="39"/>
    </row>
    <row r="405" spans="1:8" ht="16.5">
      <c r="A405" s="37" t="s">
        <v>452</v>
      </c>
      <c r="B405" s="39" t="s">
        <v>95</v>
      </c>
      <c r="C405" s="39">
        <f>5.5</f>
        <v>5.5</v>
      </c>
      <c r="D405" s="39">
        <v>1</v>
      </c>
      <c r="E405" s="39">
        <f t="shared" si="76"/>
        <v>5.5</v>
      </c>
      <c r="F405" s="57"/>
      <c r="G405" s="52"/>
      <c r="H405" s="39"/>
    </row>
    <row r="406" spans="1:8" ht="16.5">
      <c r="A406" s="37" t="s">
        <v>453</v>
      </c>
      <c r="B406" s="39" t="s">
        <v>95</v>
      </c>
      <c r="C406" s="39">
        <f>3.05</f>
        <v>3.05</v>
      </c>
      <c r="D406" s="39">
        <v>1</v>
      </c>
      <c r="E406" s="39">
        <f t="shared" si="76"/>
        <v>3.05</v>
      </c>
      <c r="F406" s="57"/>
      <c r="G406" s="52"/>
      <c r="H406" s="39"/>
    </row>
    <row r="407" spans="1:8" ht="16.5">
      <c r="A407" s="37" t="s">
        <v>469</v>
      </c>
      <c r="B407" s="39" t="s">
        <v>95</v>
      </c>
      <c r="C407" s="39">
        <v>63.19</v>
      </c>
      <c r="D407" s="39">
        <v>1</v>
      </c>
      <c r="E407" s="39">
        <f t="shared" si="76"/>
        <v>63.19</v>
      </c>
      <c r="F407" s="57"/>
      <c r="G407" s="52"/>
      <c r="H407" s="39"/>
    </row>
    <row r="408" spans="1:8" ht="16.5">
      <c r="A408" s="37" t="s">
        <v>470</v>
      </c>
      <c r="B408" s="39" t="s">
        <v>95</v>
      </c>
      <c r="C408" s="39">
        <v>9</v>
      </c>
      <c r="D408" s="39">
        <v>1</v>
      </c>
      <c r="E408" s="39">
        <f t="shared" si="76"/>
        <v>9</v>
      </c>
      <c r="F408" s="57"/>
      <c r="G408" s="52"/>
      <c r="H408" s="39"/>
    </row>
    <row r="409" spans="1:8" ht="16.5">
      <c r="A409" s="37" t="s">
        <v>454</v>
      </c>
      <c r="B409" s="39" t="s">
        <v>95</v>
      </c>
      <c r="C409" s="39">
        <v>6.72</v>
      </c>
      <c r="D409" s="39">
        <v>2</v>
      </c>
      <c r="E409" s="39">
        <f t="shared" si="76"/>
        <v>13.44</v>
      </c>
      <c r="F409" s="57"/>
      <c r="G409" s="52"/>
      <c r="H409" s="39"/>
    </row>
    <row r="410" spans="1:8" ht="16.5">
      <c r="A410" s="37" t="s">
        <v>413</v>
      </c>
      <c r="B410" s="39" t="s">
        <v>95</v>
      </c>
      <c r="C410" s="39">
        <f>81.6</f>
        <v>81.599999999999994</v>
      </c>
      <c r="D410" s="39">
        <v>1</v>
      </c>
      <c r="E410" s="39">
        <f t="shared" si="76"/>
        <v>81.599999999999994</v>
      </c>
      <c r="F410" s="57"/>
      <c r="G410" s="52"/>
      <c r="H410" s="39"/>
    </row>
    <row r="411" spans="1:8" ht="16.5">
      <c r="A411" s="37" t="s">
        <v>415</v>
      </c>
      <c r="B411" s="39" t="s">
        <v>95</v>
      </c>
      <c r="C411" s="39">
        <v>29.58</v>
      </c>
      <c r="D411" s="39">
        <v>1</v>
      </c>
      <c r="E411" s="39">
        <f t="shared" si="76"/>
        <v>29.58</v>
      </c>
      <c r="F411" s="57"/>
      <c r="G411" s="52"/>
      <c r="H411" s="39"/>
    </row>
    <row r="412" spans="1:8" ht="16.5">
      <c r="A412" s="37" t="s">
        <v>455</v>
      </c>
      <c r="B412" s="39" t="s">
        <v>95</v>
      </c>
      <c r="C412" s="39">
        <v>10.69</v>
      </c>
      <c r="D412" s="39">
        <v>1</v>
      </c>
      <c r="E412" s="39">
        <f t="shared" si="76"/>
        <v>10.69</v>
      </c>
      <c r="F412" s="57"/>
      <c r="G412" s="52"/>
      <c r="H412" s="39"/>
    </row>
    <row r="413" spans="1:8" ht="16.5">
      <c r="A413" s="37" t="s">
        <v>456</v>
      </c>
      <c r="B413" s="39" t="s">
        <v>95</v>
      </c>
      <c r="C413" s="39">
        <f>7.4</f>
        <v>7.4</v>
      </c>
      <c r="D413" s="39">
        <v>2</v>
      </c>
      <c r="E413" s="39">
        <f t="shared" si="76"/>
        <v>14.8</v>
      </c>
      <c r="F413" s="57"/>
      <c r="G413" s="52"/>
      <c r="H413" s="39"/>
    </row>
    <row r="414" spans="1:8" ht="16.5">
      <c r="A414" s="37" t="s">
        <v>471</v>
      </c>
      <c r="B414" s="39" t="s">
        <v>95</v>
      </c>
      <c r="C414" s="39">
        <v>20</v>
      </c>
      <c r="D414" s="39">
        <v>2</v>
      </c>
      <c r="E414" s="39">
        <f t="shared" si="76"/>
        <v>40</v>
      </c>
      <c r="F414" s="57"/>
      <c r="G414" s="52"/>
      <c r="H414" s="39"/>
    </row>
    <row r="415" spans="1:8" ht="16.5">
      <c r="A415" s="37" t="s">
        <v>13</v>
      </c>
      <c r="B415" s="39" t="s">
        <v>95</v>
      </c>
      <c r="C415" s="39">
        <v>103.97</v>
      </c>
      <c r="D415" s="39">
        <v>1</v>
      </c>
      <c r="E415" s="39">
        <f t="shared" si="76"/>
        <v>103.97</v>
      </c>
      <c r="F415" s="57"/>
      <c r="G415" s="52"/>
      <c r="H415" s="39"/>
    </row>
    <row r="416" spans="1:8" ht="16.5">
      <c r="A416" s="37" t="s">
        <v>472</v>
      </c>
      <c r="B416" s="39" t="s">
        <v>95</v>
      </c>
      <c r="C416" s="39">
        <v>13.2</v>
      </c>
      <c r="D416" s="39">
        <v>1</v>
      </c>
      <c r="E416" s="39">
        <f t="shared" si="76"/>
        <v>13.2</v>
      </c>
      <c r="F416" s="57"/>
      <c r="G416" s="52"/>
      <c r="H416" s="39"/>
    </row>
    <row r="417" spans="1:12" ht="16.5">
      <c r="A417" s="37" t="s">
        <v>473</v>
      </c>
      <c r="B417" s="39" t="s">
        <v>95</v>
      </c>
      <c r="C417" s="39">
        <v>11.2</v>
      </c>
      <c r="D417" s="39">
        <v>1</v>
      </c>
      <c r="E417" s="39">
        <f t="shared" si="76"/>
        <v>11.2</v>
      </c>
      <c r="F417" s="57"/>
      <c r="G417" s="52"/>
      <c r="H417" s="39"/>
    </row>
    <row r="418" spans="1:12" ht="16.5">
      <c r="A418" s="37" t="s">
        <v>14</v>
      </c>
      <c r="B418" s="39" t="s">
        <v>95</v>
      </c>
      <c r="C418" s="39">
        <v>14.03</v>
      </c>
      <c r="D418" s="39">
        <v>1</v>
      </c>
      <c r="E418" s="39">
        <f t="shared" si="76"/>
        <v>14.03</v>
      </c>
      <c r="F418" s="57"/>
      <c r="G418" s="52"/>
      <c r="H418" s="39"/>
    </row>
    <row r="419" spans="1:12" ht="16.5">
      <c r="E419" s="38">
        <f>SUM(E385:E418)</f>
        <v>1826.9499999999996</v>
      </c>
    </row>
    <row r="421" spans="1:12" ht="16.5">
      <c r="A421" s="252" t="s">
        <v>474</v>
      </c>
      <c r="B421" s="252" t="s">
        <v>90</v>
      </c>
      <c r="C421" s="252" t="s">
        <v>475</v>
      </c>
      <c r="D421" s="252" t="s">
        <v>476</v>
      </c>
    </row>
    <row r="422" spans="1:12" ht="16.5">
      <c r="A422" s="37" t="s">
        <v>465</v>
      </c>
      <c r="B422" s="39" t="s">
        <v>151</v>
      </c>
      <c r="C422" s="39">
        <v>5</v>
      </c>
      <c r="D422" s="39">
        <v>3</v>
      </c>
    </row>
    <row r="423" spans="1:12" ht="16.5">
      <c r="A423" s="37" t="s">
        <v>469</v>
      </c>
      <c r="B423" s="39" t="s">
        <v>151</v>
      </c>
      <c r="C423" s="39">
        <v>1</v>
      </c>
      <c r="D423" s="39">
        <v>1</v>
      </c>
    </row>
    <row r="424" spans="1:12" ht="16.5">
      <c r="A424" s="37" t="s">
        <v>411</v>
      </c>
      <c r="B424" s="39" t="s">
        <v>151</v>
      </c>
      <c r="C424" s="39">
        <v>1</v>
      </c>
      <c r="D424" s="39">
        <v>1</v>
      </c>
    </row>
    <row r="425" spans="1:12" ht="16.5">
      <c r="A425" s="37" t="s">
        <v>467</v>
      </c>
      <c r="B425" s="39" t="s">
        <v>151</v>
      </c>
      <c r="C425" s="39">
        <v>1</v>
      </c>
      <c r="D425" s="39">
        <v>0</v>
      </c>
    </row>
    <row r="426" spans="1:12" ht="16.5">
      <c r="A426" s="37" t="s">
        <v>468</v>
      </c>
      <c r="B426" s="39" t="s">
        <v>151</v>
      </c>
      <c r="C426" s="39">
        <v>1</v>
      </c>
      <c r="D426" s="39">
        <v>0</v>
      </c>
    </row>
    <row r="427" spans="1:12" ht="16.5">
      <c r="A427" s="37" t="s">
        <v>470</v>
      </c>
      <c r="B427" s="39" t="s">
        <v>151</v>
      </c>
      <c r="C427" s="39">
        <v>1</v>
      </c>
      <c r="D427" s="39">
        <v>0</v>
      </c>
    </row>
    <row r="428" spans="1:12" ht="16.5">
      <c r="C428" s="38">
        <f>SUM(C422:C427)</f>
        <v>10</v>
      </c>
      <c r="D428" s="38">
        <f>SUM(D422:D427)</f>
        <v>5</v>
      </c>
    </row>
    <row r="430" spans="1:12" ht="16.5">
      <c r="A430" s="252" t="s">
        <v>477</v>
      </c>
      <c r="B430" s="252" t="s">
        <v>127</v>
      </c>
      <c r="C430" s="252" t="s">
        <v>478</v>
      </c>
      <c r="D430" s="252" t="s">
        <v>479</v>
      </c>
      <c r="E430" s="54" t="s">
        <v>480</v>
      </c>
      <c r="F430" s="252" t="s">
        <v>481</v>
      </c>
      <c r="G430" s="252" t="s">
        <v>482</v>
      </c>
      <c r="H430" s="252" t="s">
        <v>483</v>
      </c>
      <c r="I430" s="252" t="s">
        <v>484</v>
      </c>
      <c r="J430" s="252" t="s">
        <v>485</v>
      </c>
      <c r="K430" s="252" t="s">
        <v>486</v>
      </c>
      <c r="L430" s="252" t="s">
        <v>487</v>
      </c>
    </row>
    <row r="431" spans="1:12" ht="16.5">
      <c r="A431" s="37" t="s">
        <v>293</v>
      </c>
      <c r="B431" s="39">
        <v>30</v>
      </c>
      <c r="C431" s="39">
        <v>0</v>
      </c>
      <c r="D431" s="39">
        <v>2</v>
      </c>
      <c r="E431" s="39">
        <v>1</v>
      </c>
      <c r="F431" s="39">
        <v>0</v>
      </c>
      <c r="G431" s="39">
        <v>0</v>
      </c>
      <c r="H431" s="39">
        <v>0</v>
      </c>
      <c r="I431" s="39">
        <v>0</v>
      </c>
      <c r="J431" s="39">
        <v>0</v>
      </c>
      <c r="K431" s="39">
        <v>0</v>
      </c>
      <c r="L431" s="39">
        <v>0</v>
      </c>
    </row>
    <row r="432" spans="1:12" ht="16.5">
      <c r="A432" s="37" t="s">
        <v>294</v>
      </c>
      <c r="B432" s="39">
        <v>14</v>
      </c>
      <c r="C432" s="39">
        <v>0</v>
      </c>
      <c r="D432" s="39">
        <v>2</v>
      </c>
      <c r="E432" s="39">
        <v>0</v>
      </c>
      <c r="F432" s="39">
        <v>1</v>
      </c>
      <c r="G432" s="39">
        <v>0</v>
      </c>
      <c r="H432" s="39">
        <v>1</v>
      </c>
      <c r="I432" s="39">
        <v>0</v>
      </c>
      <c r="J432" s="39">
        <v>0</v>
      </c>
      <c r="K432" s="39">
        <v>0</v>
      </c>
      <c r="L432" s="39">
        <v>0</v>
      </c>
    </row>
    <row r="433" spans="1:12" ht="16.5">
      <c r="A433" s="37" t="s">
        <v>295</v>
      </c>
      <c r="B433" s="39">
        <v>8</v>
      </c>
      <c r="C433" s="39">
        <v>0</v>
      </c>
      <c r="D433" s="39">
        <v>2</v>
      </c>
      <c r="E433" s="39">
        <v>0</v>
      </c>
      <c r="F433" s="39">
        <v>0</v>
      </c>
      <c r="G433" s="39">
        <v>1</v>
      </c>
      <c r="H433" s="39">
        <v>0</v>
      </c>
      <c r="I433" s="39">
        <v>0</v>
      </c>
      <c r="J433" s="39">
        <v>0</v>
      </c>
      <c r="K433" s="39">
        <v>0</v>
      </c>
      <c r="L433" s="39">
        <v>0</v>
      </c>
    </row>
    <row r="434" spans="1:12" ht="16.5">
      <c r="A434" s="37" t="s">
        <v>488</v>
      </c>
      <c r="B434" s="39">
        <v>1</v>
      </c>
      <c r="C434" s="39">
        <v>13</v>
      </c>
      <c r="D434" s="39">
        <v>4</v>
      </c>
      <c r="E434" s="39">
        <v>12</v>
      </c>
      <c r="F434" s="39">
        <v>0</v>
      </c>
      <c r="G434" s="39">
        <v>1</v>
      </c>
      <c r="H434" s="39">
        <v>0</v>
      </c>
      <c r="I434" s="39">
        <v>1</v>
      </c>
      <c r="J434" s="39">
        <v>1</v>
      </c>
      <c r="K434" s="39">
        <v>0</v>
      </c>
      <c r="L434" s="39">
        <v>0</v>
      </c>
    </row>
    <row r="435" spans="1:12" ht="16.5">
      <c r="A435" s="37" t="s">
        <v>33</v>
      </c>
      <c r="B435" s="39">
        <v>1</v>
      </c>
      <c r="C435" s="39">
        <v>4</v>
      </c>
      <c r="D435" s="39">
        <v>0</v>
      </c>
      <c r="E435" s="39">
        <v>0</v>
      </c>
      <c r="F435" s="39">
        <v>0</v>
      </c>
      <c r="G435" s="39">
        <v>0</v>
      </c>
      <c r="H435" s="39">
        <v>0</v>
      </c>
      <c r="I435" s="39">
        <v>0</v>
      </c>
      <c r="J435" s="39">
        <v>0</v>
      </c>
      <c r="K435" s="39">
        <v>0</v>
      </c>
      <c r="L435" s="39">
        <v>0</v>
      </c>
    </row>
    <row r="436" spans="1:12" ht="16.5">
      <c r="A436" s="37" t="s">
        <v>169</v>
      </c>
      <c r="B436" s="39">
        <v>1</v>
      </c>
      <c r="C436" s="39">
        <v>0</v>
      </c>
      <c r="D436" s="39">
        <v>0</v>
      </c>
      <c r="E436" s="39">
        <v>0</v>
      </c>
      <c r="F436" s="39">
        <v>0</v>
      </c>
      <c r="G436" s="39">
        <v>0</v>
      </c>
      <c r="H436" s="39">
        <v>0</v>
      </c>
      <c r="I436" s="39">
        <v>0</v>
      </c>
      <c r="J436" s="39">
        <v>0</v>
      </c>
      <c r="K436" s="39">
        <v>0</v>
      </c>
      <c r="L436" s="39">
        <v>0</v>
      </c>
    </row>
    <row r="437" spans="1:12" ht="16.5">
      <c r="A437" s="37" t="s">
        <v>165</v>
      </c>
      <c r="B437" s="39">
        <v>4</v>
      </c>
      <c r="C437" s="39">
        <v>0</v>
      </c>
      <c r="D437" s="39">
        <v>0</v>
      </c>
      <c r="E437" s="39">
        <v>0</v>
      </c>
      <c r="F437" s="39">
        <v>0</v>
      </c>
      <c r="G437" s="39">
        <v>0</v>
      </c>
      <c r="H437" s="39">
        <v>0</v>
      </c>
      <c r="I437" s="39">
        <v>0</v>
      </c>
      <c r="J437" s="39">
        <v>0</v>
      </c>
      <c r="K437" s="39">
        <v>2</v>
      </c>
      <c r="L437" s="39">
        <v>0</v>
      </c>
    </row>
    <row r="438" spans="1:12" ht="16.5">
      <c r="A438" s="37" t="s">
        <v>362</v>
      </c>
      <c r="B438" s="39">
        <v>1</v>
      </c>
      <c r="C438" s="39">
        <v>0</v>
      </c>
      <c r="D438" s="39">
        <v>0</v>
      </c>
      <c r="E438" s="39">
        <v>0</v>
      </c>
      <c r="F438" s="39">
        <v>0</v>
      </c>
      <c r="G438" s="39">
        <v>0</v>
      </c>
      <c r="H438" s="39">
        <v>0</v>
      </c>
      <c r="I438" s="39">
        <v>0</v>
      </c>
      <c r="J438" s="39">
        <v>0</v>
      </c>
      <c r="K438" s="39">
        <v>0</v>
      </c>
      <c r="L438" s="39">
        <v>1</v>
      </c>
    </row>
    <row r="439" spans="1:12" ht="16.5">
      <c r="B439" s="38"/>
      <c r="C439" s="68">
        <f t="shared" ref="C439:J439" si="77">(C431*$B$505+C432*$B$506+C433*$B$507+C434*$B$508+C435*$B$509+C436*$B$510)</f>
        <v>17</v>
      </c>
      <c r="D439" s="68">
        <f t="shared" si="77"/>
        <v>108</v>
      </c>
      <c r="E439" s="68">
        <f t="shared" si="77"/>
        <v>42</v>
      </c>
      <c r="F439" s="68">
        <f t="shared" si="77"/>
        <v>14</v>
      </c>
      <c r="G439" s="68">
        <f t="shared" si="77"/>
        <v>9</v>
      </c>
      <c r="H439" s="68">
        <f t="shared" si="77"/>
        <v>14</v>
      </c>
      <c r="I439" s="68">
        <f t="shared" si="77"/>
        <v>1</v>
      </c>
      <c r="J439" s="68">
        <f t="shared" si="77"/>
        <v>1</v>
      </c>
      <c r="K439" s="68">
        <f>(K431*$B$505+K432*$B$506+K433*$B$507+K434*$B$508+K435*$B$509+K436*$B$510+K437*B437)</f>
        <v>8</v>
      </c>
      <c r="L439" s="68">
        <f>(L431*$B$505+L432*$B$506+L433*$B$507+L434*$B$508+L435*$B$509+L436*$B$510+L437*C437+L438*B438)</f>
        <v>1</v>
      </c>
    </row>
    <row r="440" spans="1:12" ht="16.5">
      <c r="B440" s="38"/>
      <c r="C440" s="68"/>
      <c r="D440" s="68"/>
      <c r="E440" s="68"/>
      <c r="F440" s="68"/>
      <c r="G440" s="68"/>
      <c r="H440" s="68"/>
      <c r="I440" s="68"/>
      <c r="J440" s="68"/>
      <c r="K440" s="68"/>
    </row>
    <row r="442" spans="1:12" ht="16.5">
      <c r="A442" s="252" t="s">
        <v>489</v>
      </c>
      <c r="B442" s="252" t="s">
        <v>127</v>
      </c>
      <c r="C442" s="252" t="s">
        <v>490</v>
      </c>
      <c r="D442" s="252" t="s">
        <v>491</v>
      </c>
      <c r="E442" s="54" t="s">
        <v>492</v>
      </c>
      <c r="F442" s="252" t="s">
        <v>493</v>
      </c>
      <c r="G442" s="252" t="s">
        <v>494</v>
      </c>
      <c r="H442" s="252" t="s">
        <v>495</v>
      </c>
      <c r="I442" s="252" t="s">
        <v>496</v>
      </c>
      <c r="J442" s="252" t="s">
        <v>497</v>
      </c>
      <c r="K442" s="252" t="s">
        <v>498</v>
      </c>
    </row>
    <row r="443" spans="1:12" ht="16.5">
      <c r="A443" s="37" t="s">
        <v>293</v>
      </c>
      <c r="B443" s="39">
        <v>30</v>
      </c>
      <c r="C443" s="39">
        <v>7.3</v>
      </c>
      <c r="D443" s="39">
        <v>17.5</v>
      </c>
      <c r="E443" s="39">
        <f>106.9*2</f>
        <v>213.8</v>
      </c>
      <c r="F443" s="39">
        <v>2.6</v>
      </c>
      <c r="G443" s="39">
        <v>2.8</v>
      </c>
      <c r="H443" s="39">
        <v>3</v>
      </c>
      <c r="I443" s="39">
        <f>ROUND(B443*C443*F443,2)</f>
        <v>569.4</v>
      </c>
      <c r="J443" s="39">
        <f>ROUND(B443*D443*G443,2)</f>
        <v>1470</v>
      </c>
      <c r="K443" s="39">
        <f t="shared" ref="K443:K478" si="78">ROUND(E443*H443,2)</f>
        <v>641.4</v>
      </c>
    </row>
    <row r="444" spans="1:12" ht="16.5">
      <c r="A444" s="37" t="s">
        <v>294</v>
      </c>
      <c r="B444" s="39">
        <v>14</v>
      </c>
      <c r="C444" s="39">
        <v>8.1999999999999993</v>
      </c>
      <c r="D444" s="39">
        <v>19.600000000000001</v>
      </c>
      <c r="E444" s="39">
        <v>102.7</v>
      </c>
      <c r="F444" s="39">
        <v>2.6</v>
      </c>
      <c r="G444" s="39">
        <v>2.8</v>
      </c>
      <c r="H444" s="39">
        <v>3</v>
      </c>
      <c r="I444" s="39">
        <f t="shared" ref="I444:I478" si="79">ROUND(B444*C444*F444,2)</f>
        <v>298.48</v>
      </c>
      <c r="J444" s="39">
        <f t="shared" ref="J444:J478" si="80">ROUND(B444*D444*G444,2)</f>
        <v>768.32</v>
      </c>
      <c r="K444" s="39">
        <f t="shared" si="78"/>
        <v>308.10000000000002</v>
      </c>
    </row>
    <row r="445" spans="1:12" ht="16.5">
      <c r="A445" s="37" t="s">
        <v>295</v>
      </c>
      <c r="B445" s="39">
        <v>8</v>
      </c>
      <c r="C445" s="39">
        <v>9.6</v>
      </c>
      <c r="D445" s="39">
        <v>18.399999999999999</v>
      </c>
      <c r="E445" s="39">
        <v>58.85</v>
      </c>
      <c r="F445" s="39">
        <v>2.6</v>
      </c>
      <c r="G445" s="39">
        <v>2.8</v>
      </c>
      <c r="H445" s="39">
        <v>3</v>
      </c>
      <c r="I445" s="39">
        <f t="shared" si="79"/>
        <v>199.68</v>
      </c>
      <c r="J445" s="39">
        <f t="shared" si="80"/>
        <v>412.16</v>
      </c>
      <c r="K445" s="39">
        <f t="shared" si="78"/>
        <v>176.55</v>
      </c>
    </row>
    <row r="446" spans="1:12" ht="16.5">
      <c r="A446" s="37" t="s">
        <v>23</v>
      </c>
      <c r="B446" s="39">
        <v>1</v>
      </c>
      <c r="C446" s="39">
        <v>8.6</v>
      </c>
      <c r="D446" s="39">
        <v>0</v>
      </c>
      <c r="E446" s="39">
        <v>3</v>
      </c>
      <c r="F446" s="39">
        <v>2.6</v>
      </c>
      <c r="G446" s="39">
        <v>2.8</v>
      </c>
      <c r="H446" s="39">
        <v>3</v>
      </c>
      <c r="I446" s="39">
        <f t="shared" si="79"/>
        <v>22.36</v>
      </c>
      <c r="J446" s="39">
        <f t="shared" si="80"/>
        <v>0</v>
      </c>
      <c r="K446" s="39">
        <f t="shared" si="78"/>
        <v>9</v>
      </c>
    </row>
    <row r="447" spans="1:12" ht="16.5">
      <c r="A447" s="37" t="s">
        <v>33</v>
      </c>
      <c r="B447" s="39">
        <v>1</v>
      </c>
      <c r="C447" s="39">
        <f>19.4+13.4</f>
        <v>32.799999999999997</v>
      </c>
      <c r="D447" s="39">
        <f>(31.3)</f>
        <v>31.3</v>
      </c>
      <c r="E447" s="39">
        <v>23.15</v>
      </c>
      <c r="F447" s="39">
        <v>2.6</v>
      </c>
      <c r="G447" s="39">
        <v>2.8</v>
      </c>
      <c r="H447" s="39">
        <v>3</v>
      </c>
      <c r="I447" s="39">
        <f t="shared" si="79"/>
        <v>85.28</v>
      </c>
      <c r="J447" s="39">
        <f t="shared" si="80"/>
        <v>87.64</v>
      </c>
      <c r="K447" s="39">
        <f t="shared" si="78"/>
        <v>69.45</v>
      </c>
    </row>
    <row r="448" spans="1:12" ht="16.5">
      <c r="A448" s="37" t="s">
        <v>450</v>
      </c>
      <c r="B448" s="39">
        <v>2</v>
      </c>
      <c r="C448" s="39">
        <v>7.4</v>
      </c>
      <c r="D448" s="39">
        <v>0</v>
      </c>
      <c r="E448" s="39">
        <f>4.4+1.45</f>
        <v>5.8500000000000005</v>
      </c>
      <c r="F448" s="39">
        <v>2.6</v>
      </c>
      <c r="G448" s="39">
        <v>2.8</v>
      </c>
      <c r="H448" s="39">
        <v>3.5</v>
      </c>
      <c r="I448" s="39">
        <f t="shared" si="79"/>
        <v>38.479999999999997</v>
      </c>
      <c r="J448" s="39">
        <f t="shared" si="80"/>
        <v>0</v>
      </c>
      <c r="K448" s="39">
        <f t="shared" si="78"/>
        <v>20.48</v>
      </c>
    </row>
    <row r="449" spans="1:11" ht="16.5">
      <c r="A449" s="37" t="s">
        <v>460</v>
      </c>
      <c r="B449" s="39">
        <v>2</v>
      </c>
      <c r="C449" s="39">
        <v>0</v>
      </c>
      <c r="D449" s="39">
        <v>8.8000000000000007</v>
      </c>
      <c r="E449" s="39">
        <f>2.05+2.15</f>
        <v>4.1999999999999993</v>
      </c>
      <c r="F449" s="39">
        <v>2.6</v>
      </c>
      <c r="G449" s="39">
        <v>2.8</v>
      </c>
      <c r="H449" s="39">
        <v>3.5</v>
      </c>
      <c r="I449" s="39">
        <f t="shared" si="79"/>
        <v>0</v>
      </c>
      <c r="J449" s="39">
        <f t="shared" si="80"/>
        <v>49.28</v>
      </c>
      <c r="K449" s="39">
        <f t="shared" si="78"/>
        <v>14.7</v>
      </c>
    </row>
    <row r="450" spans="1:11" ht="16.5">
      <c r="A450" s="37" t="s">
        <v>461</v>
      </c>
      <c r="B450" s="39">
        <v>1</v>
      </c>
      <c r="C450" s="39">
        <v>0</v>
      </c>
      <c r="D450" s="39">
        <v>10.9</v>
      </c>
      <c r="E450" s="39">
        <v>3.45</v>
      </c>
      <c r="F450" s="39">
        <v>2.6</v>
      </c>
      <c r="G450" s="39">
        <v>2.8</v>
      </c>
      <c r="H450" s="39">
        <v>3.5</v>
      </c>
      <c r="I450" s="39">
        <f t="shared" si="79"/>
        <v>0</v>
      </c>
      <c r="J450" s="39">
        <f t="shared" si="80"/>
        <v>30.52</v>
      </c>
      <c r="K450" s="39">
        <f t="shared" si="78"/>
        <v>12.08</v>
      </c>
    </row>
    <row r="451" spans="1:11" ht="16.5">
      <c r="A451" s="37" t="s">
        <v>462</v>
      </c>
      <c r="B451" s="39">
        <v>1</v>
      </c>
      <c r="C451" s="39">
        <v>0</v>
      </c>
      <c r="D451" s="39">
        <v>9.5</v>
      </c>
      <c r="E451" s="39">
        <v>2.5</v>
      </c>
      <c r="F451" s="39">
        <v>2.6</v>
      </c>
      <c r="G451" s="39">
        <v>2.8</v>
      </c>
      <c r="H451" s="39">
        <v>3.5</v>
      </c>
      <c r="I451" s="39">
        <f t="shared" si="79"/>
        <v>0</v>
      </c>
      <c r="J451" s="39">
        <f t="shared" si="80"/>
        <v>26.6</v>
      </c>
      <c r="K451" s="39">
        <f t="shared" si="78"/>
        <v>8.75</v>
      </c>
    </row>
    <row r="452" spans="1:11" ht="16.5">
      <c r="A452" s="37" t="s">
        <v>463</v>
      </c>
      <c r="B452" s="39">
        <v>1</v>
      </c>
      <c r="C452" s="39">
        <v>0</v>
      </c>
      <c r="D452" s="39">
        <v>7</v>
      </c>
      <c r="E452" s="39">
        <v>1.1000000000000001</v>
      </c>
      <c r="F452" s="39">
        <v>2.6</v>
      </c>
      <c r="G452" s="39">
        <v>2.8</v>
      </c>
      <c r="H452" s="39">
        <v>3.5</v>
      </c>
      <c r="I452" s="39">
        <f t="shared" si="79"/>
        <v>0</v>
      </c>
      <c r="J452" s="39">
        <f t="shared" si="80"/>
        <v>19.600000000000001</v>
      </c>
      <c r="K452" s="39">
        <f t="shared" si="78"/>
        <v>3.85</v>
      </c>
    </row>
    <row r="453" spans="1:11" ht="16.5">
      <c r="A453" s="37" t="s">
        <v>464</v>
      </c>
      <c r="B453" s="39">
        <v>1</v>
      </c>
      <c r="C453" s="39">
        <v>9.6</v>
      </c>
      <c r="D453" s="39">
        <v>0</v>
      </c>
      <c r="E453" s="39">
        <v>2.7</v>
      </c>
      <c r="F453" s="39">
        <v>2.6</v>
      </c>
      <c r="G453" s="39">
        <v>2.8</v>
      </c>
      <c r="H453" s="39">
        <v>3.5</v>
      </c>
      <c r="I453" s="39">
        <f t="shared" si="79"/>
        <v>24.96</v>
      </c>
      <c r="J453" s="39">
        <f t="shared" si="80"/>
        <v>0</v>
      </c>
      <c r="K453" s="39">
        <f t="shared" si="78"/>
        <v>9.4499999999999993</v>
      </c>
    </row>
    <row r="454" spans="1:11" ht="16.5">
      <c r="A454" s="37" t="s">
        <v>465</v>
      </c>
      <c r="B454" s="39">
        <v>1</v>
      </c>
      <c r="C454" s="39">
        <v>24.6</v>
      </c>
      <c r="D454" s="39">
        <v>0</v>
      </c>
      <c r="E454" s="39">
        <v>0</v>
      </c>
      <c r="F454" s="39">
        <v>2.8</v>
      </c>
      <c r="G454" s="39">
        <v>2.8</v>
      </c>
      <c r="H454" s="39">
        <v>3.5</v>
      </c>
      <c r="I454" s="39">
        <f t="shared" si="79"/>
        <v>68.88</v>
      </c>
      <c r="J454" s="39">
        <f t="shared" si="80"/>
        <v>0</v>
      </c>
      <c r="K454" s="39">
        <f t="shared" si="78"/>
        <v>0</v>
      </c>
    </row>
    <row r="455" spans="1:11" ht="16.5">
      <c r="A455" s="37" t="s">
        <v>466</v>
      </c>
      <c r="B455" s="39">
        <v>1</v>
      </c>
      <c r="C455" s="39">
        <v>8.5</v>
      </c>
      <c r="D455" s="39">
        <v>0</v>
      </c>
      <c r="E455" s="39">
        <v>0</v>
      </c>
      <c r="F455" s="39">
        <v>2.8</v>
      </c>
      <c r="G455" s="39">
        <v>2.8</v>
      </c>
      <c r="H455" s="39">
        <v>3.5</v>
      </c>
      <c r="I455" s="39">
        <f t="shared" si="79"/>
        <v>23.8</v>
      </c>
      <c r="J455" s="39">
        <f t="shared" si="80"/>
        <v>0</v>
      </c>
      <c r="K455" s="39">
        <f t="shared" si="78"/>
        <v>0</v>
      </c>
    </row>
    <row r="456" spans="1:11" ht="16.5">
      <c r="A456" s="37" t="s">
        <v>467</v>
      </c>
      <c r="B456" s="39">
        <v>1</v>
      </c>
      <c r="C456" s="39">
        <v>19.899999999999999</v>
      </c>
      <c r="D456" s="39">
        <v>0</v>
      </c>
      <c r="E456" s="39">
        <v>2.8</v>
      </c>
      <c r="F456" s="39">
        <v>2.6</v>
      </c>
      <c r="G456" s="39">
        <v>2.8</v>
      </c>
      <c r="H456" s="39">
        <v>3.5</v>
      </c>
      <c r="I456" s="39">
        <f t="shared" si="79"/>
        <v>51.74</v>
      </c>
      <c r="J456" s="39">
        <f t="shared" si="80"/>
        <v>0</v>
      </c>
      <c r="K456" s="39">
        <f t="shared" si="78"/>
        <v>9.8000000000000007</v>
      </c>
    </row>
    <row r="457" spans="1:11" ht="16.5">
      <c r="A457" s="37" t="s">
        <v>468</v>
      </c>
      <c r="B457" s="39">
        <v>1</v>
      </c>
      <c r="C457" s="39">
        <v>21.1</v>
      </c>
      <c r="D457" s="39">
        <v>0</v>
      </c>
      <c r="E457" s="39">
        <v>0</v>
      </c>
      <c r="F457" s="39">
        <v>2.8</v>
      </c>
      <c r="G457" s="39">
        <v>2.8</v>
      </c>
      <c r="H457" s="39">
        <v>0</v>
      </c>
      <c r="I457" s="39">
        <f t="shared" si="79"/>
        <v>59.08</v>
      </c>
      <c r="J457" s="39">
        <f t="shared" si="80"/>
        <v>0</v>
      </c>
      <c r="K457" s="39">
        <f t="shared" si="78"/>
        <v>0</v>
      </c>
    </row>
    <row r="458" spans="1:11" ht="16.5">
      <c r="A458" s="37" t="s">
        <v>407</v>
      </c>
      <c r="B458" s="39">
        <v>1</v>
      </c>
      <c r="C458" s="39">
        <v>0</v>
      </c>
      <c r="D458" s="39">
        <v>19.8</v>
      </c>
      <c r="E458" s="39">
        <v>2.9</v>
      </c>
      <c r="F458" s="39">
        <v>2.6</v>
      </c>
      <c r="G458" s="39">
        <v>2.8</v>
      </c>
      <c r="H458" s="39">
        <v>3.5</v>
      </c>
      <c r="I458" s="39">
        <f t="shared" si="79"/>
        <v>0</v>
      </c>
      <c r="J458" s="39">
        <f t="shared" si="80"/>
        <v>55.44</v>
      </c>
      <c r="K458" s="39">
        <f t="shared" si="78"/>
        <v>10.15</v>
      </c>
    </row>
    <row r="459" spans="1:11" ht="16.5">
      <c r="A459" s="37" t="s">
        <v>409</v>
      </c>
      <c r="B459" s="39">
        <v>1</v>
      </c>
      <c r="C459" s="39">
        <v>0</v>
      </c>
      <c r="D459" s="39">
        <v>65.709999999999994</v>
      </c>
      <c r="E459" s="39">
        <v>29.15</v>
      </c>
      <c r="F459" s="39">
        <v>2.6</v>
      </c>
      <c r="G459" s="39">
        <v>2.8</v>
      </c>
      <c r="H459" s="39">
        <v>3.5</v>
      </c>
      <c r="I459" s="39">
        <f t="shared" si="79"/>
        <v>0</v>
      </c>
      <c r="J459" s="39">
        <f t="shared" si="80"/>
        <v>183.99</v>
      </c>
      <c r="K459" s="39">
        <f t="shared" si="78"/>
        <v>102.03</v>
      </c>
    </row>
    <row r="460" spans="1:11" ht="16.5">
      <c r="A460" s="37" t="s">
        <v>21</v>
      </c>
      <c r="B460" s="39">
        <v>1</v>
      </c>
      <c r="C460" s="39">
        <v>0</v>
      </c>
      <c r="D460" s="39">
        <v>17.100000000000001</v>
      </c>
      <c r="E460" s="39">
        <v>0</v>
      </c>
      <c r="F460" s="39">
        <v>2.6</v>
      </c>
      <c r="G460" s="39">
        <v>2.8</v>
      </c>
      <c r="H460" s="39">
        <v>0</v>
      </c>
      <c r="I460" s="39">
        <f t="shared" si="79"/>
        <v>0</v>
      </c>
      <c r="J460" s="39">
        <f t="shared" si="80"/>
        <v>47.88</v>
      </c>
      <c r="K460" s="39">
        <f t="shared" si="78"/>
        <v>0</v>
      </c>
    </row>
    <row r="461" spans="1:11" ht="16.5">
      <c r="A461" s="37" t="s">
        <v>411</v>
      </c>
      <c r="B461" s="39">
        <v>1</v>
      </c>
      <c r="C461" s="39">
        <v>7.69</v>
      </c>
      <c r="D461" s="39">
        <v>6.81</v>
      </c>
      <c r="E461" s="39">
        <v>0</v>
      </c>
      <c r="F461" s="39">
        <v>2.8</v>
      </c>
      <c r="G461" s="39">
        <v>1.5</v>
      </c>
      <c r="H461" s="39">
        <v>0</v>
      </c>
      <c r="I461" s="39">
        <f t="shared" si="79"/>
        <v>21.53</v>
      </c>
      <c r="J461" s="39">
        <f t="shared" si="80"/>
        <v>10.220000000000001</v>
      </c>
      <c r="K461" s="39">
        <f t="shared" si="78"/>
        <v>0</v>
      </c>
    </row>
    <row r="462" spans="1:11" ht="16.5">
      <c r="A462" s="37" t="s">
        <v>451</v>
      </c>
      <c r="B462" s="39">
        <v>1</v>
      </c>
      <c r="C462" s="39">
        <v>8.6</v>
      </c>
      <c r="D462" s="39">
        <v>0</v>
      </c>
      <c r="E462" s="39">
        <v>0</v>
      </c>
      <c r="F462" s="39">
        <v>2.6</v>
      </c>
      <c r="G462" s="39">
        <v>2.8</v>
      </c>
      <c r="H462" s="39">
        <v>0</v>
      </c>
      <c r="I462" s="39">
        <f t="shared" si="79"/>
        <v>22.36</v>
      </c>
      <c r="J462" s="39">
        <f t="shared" si="80"/>
        <v>0</v>
      </c>
      <c r="K462" s="39">
        <f t="shared" si="78"/>
        <v>0</v>
      </c>
    </row>
    <row r="463" spans="1:11" ht="16.5">
      <c r="A463" s="37" t="s">
        <v>452</v>
      </c>
      <c r="B463" s="39">
        <v>1</v>
      </c>
      <c r="C463" s="39">
        <v>9.5</v>
      </c>
      <c r="D463" s="39">
        <v>0</v>
      </c>
      <c r="E463" s="39">
        <v>0</v>
      </c>
      <c r="F463" s="39">
        <v>2.6</v>
      </c>
      <c r="G463" s="39">
        <v>2.8</v>
      </c>
      <c r="H463" s="39">
        <v>0</v>
      </c>
      <c r="I463" s="39">
        <f t="shared" si="79"/>
        <v>24.7</v>
      </c>
      <c r="J463" s="39">
        <f t="shared" si="80"/>
        <v>0</v>
      </c>
      <c r="K463" s="39">
        <f t="shared" si="78"/>
        <v>0</v>
      </c>
    </row>
    <row r="464" spans="1:11" ht="16.5">
      <c r="A464" s="37" t="s">
        <v>453</v>
      </c>
      <c r="B464" s="39">
        <v>1</v>
      </c>
      <c r="C464" s="39">
        <v>7.08</v>
      </c>
      <c r="D464" s="39">
        <v>0</v>
      </c>
      <c r="E464" s="39">
        <v>0</v>
      </c>
      <c r="F464" s="39">
        <v>2.6</v>
      </c>
      <c r="G464" s="39">
        <v>2.8</v>
      </c>
      <c r="H464" s="39">
        <v>0</v>
      </c>
      <c r="I464" s="39">
        <f t="shared" si="79"/>
        <v>18.41</v>
      </c>
      <c r="J464" s="39">
        <f t="shared" si="80"/>
        <v>0</v>
      </c>
      <c r="K464" s="39">
        <f t="shared" si="78"/>
        <v>0</v>
      </c>
    </row>
    <row r="465" spans="1:11" ht="16.5">
      <c r="A465" s="37" t="s">
        <v>469</v>
      </c>
      <c r="B465" s="39">
        <v>1</v>
      </c>
      <c r="C465" s="39">
        <v>9.5</v>
      </c>
      <c r="D465" s="39">
        <v>6.84</v>
      </c>
      <c r="E465" s="39">
        <v>16.5</v>
      </c>
      <c r="F465" s="39">
        <v>2.6</v>
      </c>
      <c r="G465" s="39">
        <v>1.5</v>
      </c>
      <c r="H465" s="39">
        <v>3.5</v>
      </c>
      <c r="I465" s="39">
        <f t="shared" si="79"/>
        <v>24.7</v>
      </c>
      <c r="J465" s="39">
        <f t="shared" si="80"/>
        <v>10.26</v>
      </c>
      <c r="K465" s="39">
        <f t="shared" si="78"/>
        <v>57.75</v>
      </c>
    </row>
    <row r="466" spans="1:11" ht="16.5">
      <c r="A466" s="37" t="s">
        <v>470</v>
      </c>
      <c r="B466" s="39">
        <v>1</v>
      </c>
      <c r="C466" s="39">
        <v>0</v>
      </c>
      <c r="D466" s="39">
        <v>0</v>
      </c>
      <c r="E466" s="39">
        <v>8.9499999999999993</v>
      </c>
      <c r="F466" s="39">
        <v>2.6</v>
      </c>
      <c r="G466" s="39">
        <v>2.8</v>
      </c>
      <c r="H466" s="39">
        <v>3.5</v>
      </c>
      <c r="I466" s="39">
        <f t="shared" si="79"/>
        <v>0</v>
      </c>
      <c r="J466" s="39">
        <f t="shared" si="80"/>
        <v>0</v>
      </c>
      <c r="K466" s="39">
        <f t="shared" si="78"/>
        <v>31.33</v>
      </c>
    </row>
    <row r="467" spans="1:11" ht="16.5">
      <c r="A467" s="37" t="s">
        <v>454</v>
      </c>
      <c r="B467" s="39">
        <v>2</v>
      </c>
      <c r="C467" s="39">
        <v>10.4</v>
      </c>
      <c r="D467" s="39">
        <v>0</v>
      </c>
      <c r="E467" s="39">
        <v>0</v>
      </c>
      <c r="F467" s="39">
        <v>2.6</v>
      </c>
      <c r="G467" s="39">
        <v>2.8</v>
      </c>
      <c r="H467" s="39">
        <v>0</v>
      </c>
      <c r="I467" s="39">
        <f t="shared" si="79"/>
        <v>54.08</v>
      </c>
      <c r="J467" s="39">
        <f t="shared" si="80"/>
        <v>0</v>
      </c>
      <c r="K467" s="39">
        <f t="shared" si="78"/>
        <v>0</v>
      </c>
    </row>
    <row r="468" spans="1:11" ht="16.5">
      <c r="A468" s="37" t="s">
        <v>413</v>
      </c>
      <c r="B468" s="39">
        <v>1</v>
      </c>
      <c r="C468" s="39">
        <v>0</v>
      </c>
      <c r="D468" s="39">
        <v>36.4</v>
      </c>
      <c r="E468" s="39">
        <v>7.25</v>
      </c>
      <c r="F468" s="39">
        <v>2.6</v>
      </c>
      <c r="G468" s="39">
        <v>2.8</v>
      </c>
      <c r="H468" s="39">
        <v>3.5</v>
      </c>
      <c r="I468" s="39">
        <f t="shared" si="79"/>
        <v>0</v>
      </c>
      <c r="J468" s="39">
        <f t="shared" si="80"/>
        <v>101.92</v>
      </c>
      <c r="K468" s="39">
        <f t="shared" si="78"/>
        <v>25.38</v>
      </c>
    </row>
    <row r="469" spans="1:11" ht="16.5">
      <c r="A469" s="37" t="s">
        <v>415</v>
      </c>
      <c r="B469" s="39">
        <v>1</v>
      </c>
      <c r="C469" s="39">
        <v>0</v>
      </c>
      <c r="D469" s="39">
        <v>22.1</v>
      </c>
      <c r="E469" s="39">
        <v>14.83</v>
      </c>
      <c r="F469" s="39">
        <v>2.6</v>
      </c>
      <c r="G469" s="39">
        <v>2.8</v>
      </c>
      <c r="H469" s="39">
        <v>3.5</v>
      </c>
      <c r="I469" s="39">
        <f t="shared" si="79"/>
        <v>0</v>
      </c>
      <c r="J469" s="39">
        <f t="shared" si="80"/>
        <v>61.88</v>
      </c>
      <c r="K469" s="39">
        <f t="shared" si="78"/>
        <v>51.91</v>
      </c>
    </row>
    <row r="470" spans="1:11" ht="16.5">
      <c r="A470" s="37" t="s">
        <v>455</v>
      </c>
      <c r="B470" s="39">
        <v>1</v>
      </c>
      <c r="C470" s="39">
        <v>13.8</v>
      </c>
      <c r="D470" s="39">
        <v>0</v>
      </c>
      <c r="E470" s="39">
        <v>2.5299999999999998</v>
      </c>
      <c r="F470" s="39">
        <v>2.6</v>
      </c>
      <c r="G470" s="39">
        <v>2.8</v>
      </c>
      <c r="H470" s="39">
        <v>3.5</v>
      </c>
      <c r="I470" s="39">
        <f t="shared" si="79"/>
        <v>35.880000000000003</v>
      </c>
      <c r="J470" s="39">
        <f t="shared" si="80"/>
        <v>0</v>
      </c>
      <c r="K470" s="39">
        <f t="shared" si="78"/>
        <v>8.86</v>
      </c>
    </row>
    <row r="471" spans="1:11" ht="16.5">
      <c r="A471" s="37" t="s">
        <v>456</v>
      </c>
      <c r="B471" s="39">
        <v>2</v>
      </c>
      <c r="C471" s="39">
        <v>10.9</v>
      </c>
      <c r="D471" s="39">
        <v>0</v>
      </c>
      <c r="E471" s="39">
        <v>2.5499999999999998</v>
      </c>
      <c r="F471" s="39">
        <v>2.6</v>
      </c>
      <c r="G471" s="39">
        <v>2.8</v>
      </c>
      <c r="H471" s="39">
        <v>3.5</v>
      </c>
      <c r="I471" s="39">
        <f t="shared" si="79"/>
        <v>56.68</v>
      </c>
      <c r="J471" s="39">
        <f t="shared" si="80"/>
        <v>0</v>
      </c>
      <c r="K471" s="39">
        <f>ROUND(2*E471*H471,2)</f>
        <v>17.850000000000001</v>
      </c>
    </row>
    <row r="472" spans="1:11" ht="16.5">
      <c r="A472" s="37" t="s">
        <v>471</v>
      </c>
      <c r="B472" s="39">
        <v>2</v>
      </c>
      <c r="C472" s="39">
        <v>0</v>
      </c>
      <c r="D472" s="39">
        <v>18</v>
      </c>
      <c r="E472" s="39">
        <v>5.15</v>
      </c>
      <c r="F472" s="39">
        <v>2.6</v>
      </c>
      <c r="G472" s="39">
        <v>2.8</v>
      </c>
      <c r="H472" s="39">
        <v>3.5</v>
      </c>
      <c r="I472" s="39">
        <f t="shared" si="79"/>
        <v>0</v>
      </c>
      <c r="J472" s="39">
        <f t="shared" si="80"/>
        <v>100.8</v>
      </c>
      <c r="K472" s="39">
        <f t="shared" si="78"/>
        <v>18.03</v>
      </c>
    </row>
    <row r="473" spans="1:11" ht="16.5">
      <c r="A473" s="37" t="s">
        <v>13</v>
      </c>
      <c r="B473" s="39">
        <v>1</v>
      </c>
      <c r="C473" s="39">
        <v>0</v>
      </c>
      <c r="D473" s="39">
        <v>43.07</v>
      </c>
      <c r="E473" s="39">
        <v>9.75</v>
      </c>
      <c r="F473" s="39">
        <v>2.6</v>
      </c>
      <c r="G473" s="39">
        <v>2.8</v>
      </c>
      <c r="H473" s="39">
        <v>3.5</v>
      </c>
      <c r="I473" s="39">
        <f t="shared" si="79"/>
        <v>0</v>
      </c>
      <c r="J473" s="39">
        <f t="shared" si="80"/>
        <v>120.6</v>
      </c>
      <c r="K473" s="39">
        <f t="shared" si="78"/>
        <v>34.130000000000003</v>
      </c>
    </row>
    <row r="474" spans="1:11" ht="16.5">
      <c r="A474" s="37" t="s">
        <v>472</v>
      </c>
      <c r="B474" s="39">
        <v>1</v>
      </c>
      <c r="C474" s="39">
        <v>0</v>
      </c>
      <c r="D474" s="39">
        <v>14.6</v>
      </c>
      <c r="E474" s="39">
        <v>10.75</v>
      </c>
      <c r="F474" s="39">
        <v>2.6</v>
      </c>
      <c r="G474" s="39">
        <v>2.8</v>
      </c>
      <c r="H474" s="39">
        <v>3.5</v>
      </c>
      <c r="I474" s="39">
        <f t="shared" si="79"/>
        <v>0</v>
      </c>
      <c r="J474" s="39">
        <f t="shared" si="80"/>
        <v>40.880000000000003</v>
      </c>
      <c r="K474" s="39">
        <f t="shared" si="78"/>
        <v>37.630000000000003</v>
      </c>
    </row>
    <row r="475" spans="1:11" ht="16.5">
      <c r="A475" s="37" t="s">
        <v>473</v>
      </c>
      <c r="B475" s="39">
        <v>1</v>
      </c>
      <c r="C475" s="39">
        <v>0</v>
      </c>
      <c r="D475" s="39">
        <v>13.6</v>
      </c>
      <c r="E475" s="39">
        <v>7.15</v>
      </c>
      <c r="F475" s="39">
        <v>2.6</v>
      </c>
      <c r="G475" s="39">
        <v>2.8</v>
      </c>
      <c r="H475" s="39">
        <v>3.5</v>
      </c>
      <c r="I475" s="39">
        <f t="shared" si="79"/>
        <v>0</v>
      </c>
      <c r="J475" s="39">
        <f t="shared" si="80"/>
        <v>38.08</v>
      </c>
      <c r="K475" s="39">
        <f t="shared" si="78"/>
        <v>25.03</v>
      </c>
    </row>
    <row r="476" spans="1:11" ht="16.5">
      <c r="A476" s="37" t="s">
        <v>14</v>
      </c>
      <c r="B476" s="39">
        <v>1</v>
      </c>
      <c r="C476" s="39">
        <v>0</v>
      </c>
      <c r="D476" s="39">
        <v>14</v>
      </c>
      <c r="E476" s="39">
        <v>7.7</v>
      </c>
      <c r="F476" s="39">
        <v>2.6</v>
      </c>
      <c r="G476" s="39">
        <v>2.8</v>
      </c>
      <c r="H476" s="39">
        <v>3.5</v>
      </c>
      <c r="I476" s="39">
        <f t="shared" si="79"/>
        <v>0</v>
      </c>
      <c r="J476" s="39">
        <f t="shared" si="80"/>
        <v>39.200000000000003</v>
      </c>
      <c r="K476" s="39">
        <f t="shared" si="78"/>
        <v>26.95</v>
      </c>
    </row>
    <row r="477" spans="1:11" ht="16.5">
      <c r="A477" s="37" t="s">
        <v>499</v>
      </c>
      <c r="B477" s="39">
        <v>1</v>
      </c>
      <c r="C477" s="39">
        <v>19.149999999999999</v>
      </c>
      <c r="D477" s="39">
        <v>0</v>
      </c>
      <c r="E477" s="39">
        <v>30.35</v>
      </c>
      <c r="F477" s="39">
        <v>3.5</v>
      </c>
      <c r="G477" s="39">
        <v>0</v>
      </c>
      <c r="H477" s="39">
        <v>3.5</v>
      </c>
      <c r="I477" s="39">
        <f>ROUND(B477*C477*F477,2)</f>
        <v>67.03</v>
      </c>
      <c r="J477" s="39">
        <f>ROUND(B477*D477*G477,2)</f>
        <v>0</v>
      </c>
      <c r="K477" s="39">
        <f>ROUND(E477*H477,2)</f>
        <v>106.23</v>
      </c>
    </row>
    <row r="478" spans="1:11" ht="16.5">
      <c r="A478" s="37" t="s">
        <v>168</v>
      </c>
      <c r="B478" s="39">
        <v>2</v>
      </c>
      <c r="C478" s="39">
        <v>0</v>
      </c>
      <c r="D478" s="39">
        <v>0</v>
      </c>
      <c r="E478" s="39">
        <v>241.45</v>
      </c>
      <c r="F478" s="39">
        <v>3.5</v>
      </c>
      <c r="G478" s="39">
        <v>3.5</v>
      </c>
      <c r="H478" s="39">
        <v>3.5</v>
      </c>
      <c r="I478" s="39">
        <f t="shared" si="79"/>
        <v>0</v>
      </c>
      <c r="J478" s="39">
        <f t="shared" si="80"/>
        <v>0</v>
      </c>
      <c r="K478" s="39">
        <f t="shared" si="78"/>
        <v>845.08</v>
      </c>
    </row>
    <row r="479" spans="1:11" ht="16.5">
      <c r="F479" s="38"/>
      <c r="I479" s="38">
        <f>SUM(I443:I478)</f>
        <v>1767.51</v>
      </c>
      <c r="J479" s="38">
        <f>SUM(J443:J478)</f>
        <v>3675.2700000000004</v>
      </c>
      <c r="K479" s="38">
        <f>SUM(K443:K478)</f>
        <v>2681.9500000000003</v>
      </c>
    </row>
    <row r="480" spans="1:11" ht="16.5">
      <c r="B480" s="67" t="s">
        <v>500</v>
      </c>
      <c r="C480" s="67" t="s">
        <v>95</v>
      </c>
    </row>
    <row r="481" spans="1:13" ht="16.5">
      <c r="A481" s="267" t="s">
        <v>501</v>
      </c>
      <c r="B481" s="39" t="s">
        <v>502</v>
      </c>
      <c r="C481" s="39">
        <v>48.82</v>
      </c>
      <c r="H481" s="65" t="s">
        <v>503</v>
      </c>
      <c r="I481" s="65" t="s">
        <v>504</v>
      </c>
      <c r="J481" s="65" t="s">
        <v>505</v>
      </c>
      <c r="K481" s="66" t="s">
        <v>158</v>
      </c>
    </row>
    <row r="482" spans="1:13" ht="16.5">
      <c r="A482" s="267"/>
      <c r="B482" s="39" t="s">
        <v>504</v>
      </c>
      <c r="C482" s="39">
        <f>34*1.3</f>
        <v>44.2</v>
      </c>
      <c r="H482" s="63" t="s">
        <v>506</v>
      </c>
      <c r="I482" s="63">
        <f>J479+K479</f>
        <v>6357.2200000000012</v>
      </c>
      <c r="J482" s="63">
        <f>E419</f>
        <v>1826.9499999999996</v>
      </c>
      <c r="K482" s="63">
        <f>J482+I482</f>
        <v>8184.170000000001</v>
      </c>
    </row>
    <row r="483" spans="1:13" ht="16.5">
      <c r="B483" s="39" t="s">
        <v>158</v>
      </c>
      <c r="C483" s="39">
        <f>C481+C482</f>
        <v>93.02000000000001</v>
      </c>
      <c r="H483" s="62" t="s">
        <v>507</v>
      </c>
      <c r="I483" s="62">
        <f>J479</f>
        <v>3675.2700000000004</v>
      </c>
      <c r="J483" s="62">
        <f>E419</f>
        <v>1826.9499999999996</v>
      </c>
      <c r="K483" s="62">
        <f t="shared" ref="K483:K485" si="81">J483+I483</f>
        <v>5502.22</v>
      </c>
    </row>
    <row r="484" spans="1:13" ht="16.5">
      <c r="H484" s="62" t="s">
        <v>508</v>
      </c>
      <c r="I484" s="62">
        <f>J479</f>
        <v>3675.2700000000004</v>
      </c>
      <c r="J484" s="62">
        <f>E419</f>
        <v>1826.9499999999996</v>
      </c>
      <c r="K484" s="62">
        <f t="shared" si="81"/>
        <v>5502.22</v>
      </c>
    </row>
    <row r="485" spans="1:13" ht="16.5">
      <c r="H485" s="62" t="s">
        <v>509</v>
      </c>
      <c r="I485" s="62">
        <f>K479</f>
        <v>2681.9500000000003</v>
      </c>
      <c r="J485" s="62">
        <f>0</f>
        <v>0</v>
      </c>
      <c r="K485" s="62">
        <f t="shared" si="81"/>
        <v>2681.9500000000003</v>
      </c>
    </row>
    <row r="488" spans="1:13" ht="33">
      <c r="A488" s="252" t="s">
        <v>510</v>
      </c>
      <c r="B488" s="252" t="s">
        <v>511</v>
      </c>
      <c r="C488" s="252" t="s">
        <v>512</v>
      </c>
      <c r="D488" s="252" t="s">
        <v>513</v>
      </c>
      <c r="E488" s="54" t="s">
        <v>514</v>
      </c>
      <c r="F488" s="252" t="s">
        <v>515</v>
      </c>
      <c r="G488" s="252" t="s">
        <v>516</v>
      </c>
      <c r="H488" s="54" t="s">
        <v>517</v>
      </c>
      <c r="I488" s="54" t="s">
        <v>518</v>
      </c>
      <c r="J488" s="252"/>
      <c r="K488" s="252"/>
    </row>
    <row r="489" spans="1:13" ht="16.5">
      <c r="A489" s="37" t="s">
        <v>293</v>
      </c>
      <c r="B489" s="39">
        <v>30</v>
      </c>
      <c r="C489" s="39">
        <v>0</v>
      </c>
      <c r="D489" s="39">
        <f>C489*2</f>
        <v>0</v>
      </c>
      <c r="E489" s="39">
        <v>30</v>
      </c>
      <c r="F489" s="39">
        <v>30</v>
      </c>
      <c r="G489" s="39">
        <v>30</v>
      </c>
      <c r="H489" s="39">
        <v>30</v>
      </c>
      <c r="I489" s="39">
        <v>30</v>
      </c>
      <c r="J489" s="39"/>
      <c r="K489" s="39"/>
    </row>
    <row r="490" spans="1:13" ht="16.5">
      <c r="A490" s="37" t="s">
        <v>294</v>
      </c>
      <c r="B490" s="39">
        <v>14</v>
      </c>
      <c r="C490" s="39">
        <v>0</v>
      </c>
      <c r="D490" s="39">
        <f t="shared" ref="D490:D492" si="82">C490*2</f>
        <v>0</v>
      </c>
      <c r="E490" s="39">
        <v>14</v>
      </c>
      <c r="F490" s="39">
        <v>14</v>
      </c>
      <c r="G490" s="39">
        <v>14</v>
      </c>
      <c r="H490" s="39">
        <v>14</v>
      </c>
      <c r="I490" s="39">
        <v>14</v>
      </c>
      <c r="J490" s="39"/>
      <c r="K490" s="39"/>
    </row>
    <row r="491" spans="1:13" ht="16.5">
      <c r="A491" s="37" t="s">
        <v>295</v>
      </c>
      <c r="B491" s="39">
        <v>0</v>
      </c>
      <c r="C491" s="39">
        <v>8</v>
      </c>
      <c r="D491" s="39">
        <f t="shared" si="82"/>
        <v>16</v>
      </c>
      <c r="E491" s="39">
        <v>8</v>
      </c>
      <c r="F491" s="39">
        <v>8</v>
      </c>
      <c r="G491" s="39">
        <v>8</v>
      </c>
      <c r="H491" s="39">
        <v>8</v>
      </c>
      <c r="I491" s="39">
        <v>8</v>
      </c>
      <c r="J491" s="39"/>
      <c r="K491" s="39"/>
    </row>
    <row r="492" spans="1:13" ht="16.5">
      <c r="A492" s="37" t="s">
        <v>488</v>
      </c>
      <c r="B492" s="39">
        <v>9</v>
      </c>
      <c r="C492" s="39">
        <v>5</v>
      </c>
      <c r="D492" s="39">
        <f t="shared" si="82"/>
        <v>10</v>
      </c>
      <c r="E492" s="39">
        <v>4</v>
      </c>
      <c r="F492" s="39">
        <f>20-3</f>
        <v>17</v>
      </c>
      <c r="G492" s="39">
        <f>B492+C492</f>
        <v>14</v>
      </c>
      <c r="H492" s="39">
        <f>11</f>
        <v>11</v>
      </c>
      <c r="I492" s="39">
        <f>E492</f>
        <v>4</v>
      </c>
      <c r="J492" s="39"/>
      <c r="K492" s="39"/>
    </row>
    <row r="493" spans="1:13" ht="16.5">
      <c r="B493" s="38">
        <f t="shared" ref="B493:I493" si="83">SUM(B489:B492)</f>
        <v>53</v>
      </c>
      <c r="C493" s="38">
        <f t="shared" si="83"/>
        <v>13</v>
      </c>
      <c r="D493" s="38">
        <f t="shared" si="83"/>
        <v>26</v>
      </c>
      <c r="E493" s="38">
        <f t="shared" si="83"/>
        <v>56</v>
      </c>
      <c r="F493" s="38">
        <f t="shared" si="83"/>
        <v>69</v>
      </c>
      <c r="G493" s="38">
        <f t="shared" si="83"/>
        <v>66</v>
      </c>
      <c r="H493" s="38">
        <f t="shared" si="83"/>
        <v>63</v>
      </c>
      <c r="I493" s="38">
        <f t="shared" si="83"/>
        <v>56</v>
      </c>
      <c r="J493" s="38"/>
      <c r="K493" s="38"/>
    </row>
    <row r="495" spans="1:13" ht="33">
      <c r="A495" s="252" t="s">
        <v>519</v>
      </c>
      <c r="B495" s="252" t="s">
        <v>127</v>
      </c>
      <c r="C495" s="54" t="s">
        <v>520</v>
      </c>
      <c r="D495" s="54" t="s">
        <v>521</v>
      </c>
      <c r="E495" s="54" t="s">
        <v>522</v>
      </c>
      <c r="F495" s="252" t="s">
        <v>523</v>
      </c>
      <c r="G495" s="54" t="s">
        <v>524</v>
      </c>
      <c r="H495" s="54" t="s">
        <v>525</v>
      </c>
      <c r="I495" s="54" t="s">
        <v>526</v>
      </c>
      <c r="J495" s="252" t="s">
        <v>527</v>
      </c>
      <c r="K495" s="252" t="s">
        <v>528</v>
      </c>
      <c r="L495" s="252" t="s">
        <v>529</v>
      </c>
      <c r="M495" s="252" t="s">
        <v>530</v>
      </c>
    </row>
    <row r="496" spans="1:13" ht="16.5">
      <c r="A496" s="37" t="s">
        <v>293</v>
      </c>
      <c r="B496" s="39">
        <v>30</v>
      </c>
      <c r="C496" s="39">
        <v>2</v>
      </c>
      <c r="D496" s="39">
        <v>2</v>
      </c>
      <c r="E496" s="39">
        <v>1</v>
      </c>
      <c r="F496" s="39">
        <v>1</v>
      </c>
      <c r="G496" s="39">
        <v>0</v>
      </c>
      <c r="H496" s="39">
        <v>0</v>
      </c>
      <c r="I496" s="39">
        <v>0</v>
      </c>
      <c r="J496" s="39">
        <v>1</v>
      </c>
      <c r="K496" s="39">
        <v>0</v>
      </c>
      <c r="L496" s="39">
        <v>0</v>
      </c>
      <c r="M496" s="39">
        <v>0</v>
      </c>
    </row>
    <row r="497" spans="1:13" ht="16.5">
      <c r="A497" s="37" t="s">
        <v>294</v>
      </c>
      <c r="B497" s="39">
        <v>14</v>
      </c>
      <c r="C497" s="39">
        <v>3</v>
      </c>
      <c r="D497" s="39">
        <v>2</v>
      </c>
      <c r="E497" s="39">
        <v>1</v>
      </c>
      <c r="F497" s="39">
        <v>1</v>
      </c>
      <c r="G497" s="39">
        <v>0</v>
      </c>
      <c r="H497" s="39">
        <v>0</v>
      </c>
      <c r="I497" s="39">
        <v>0</v>
      </c>
      <c r="J497" s="39">
        <v>1</v>
      </c>
      <c r="K497" s="39">
        <v>0</v>
      </c>
      <c r="L497" s="39">
        <v>0</v>
      </c>
      <c r="M497" s="39">
        <v>0</v>
      </c>
    </row>
    <row r="498" spans="1:13" ht="16.5">
      <c r="A498" s="37" t="s">
        <v>295</v>
      </c>
      <c r="B498" s="39">
        <v>8</v>
      </c>
      <c r="C498" s="39">
        <v>3</v>
      </c>
      <c r="D498" s="39">
        <v>2</v>
      </c>
      <c r="E498" s="39">
        <v>1</v>
      </c>
      <c r="F498" s="39">
        <v>1</v>
      </c>
      <c r="G498" s="39">
        <v>0</v>
      </c>
      <c r="H498" s="39">
        <v>0</v>
      </c>
      <c r="I498" s="39">
        <v>0</v>
      </c>
      <c r="J498" s="39">
        <v>0</v>
      </c>
      <c r="K498" s="39">
        <v>0</v>
      </c>
      <c r="L498" s="39">
        <v>0</v>
      </c>
      <c r="M498" s="39">
        <v>0</v>
      </c>
    </row>
    <row r="499" spans="1:13" ht="16.5">
      <c r="A499" s="37" t="s">
        <v>488</v>
      </c>
      <c r="B499" s="39">
        <v>1</v>
      </c>
      <c r="C499" s="39">
        <v>5</v>
      </c>
      <c r="D499" s="39">
        <v>0</v>
      </c>
      <c r="E499" s="39">
        <v>4</v>
      </c>
      <c r="F499" s="39">
        <v>1</v>
      </c>
      <c r="G499" s="39">
        <v>11</v>
      </c>
      <c r="H499" s="39">
        <v>6</v>
      </c>
      <c r="I499" s="39">
        <v>7</v>
      </c>
      <c r="J499" s="39">
        <v>34</v>
      </c>
      <c r="K499" s="39">
        <f>77+20+14</f>
        <v>111</v>
      </c>
      <c r="L499" s="39">
        <v>3</v>
      </c>
      <c r="M499" s="39">
        <v>24</v>
      </c>
    </row>
    <row r="500" spans="1:13" ht="16.5">
      <c r="A500" s="37" t="s">
        <v>33</v>
      </c>
      <c r="B500" s="39">
        <v>1</v>
      </c>
      <c r="C500" s="39">
        <v>0</v>
      </c>
      <c r="D500" s="39">
        <v>0</v>
      </c>
      <c r="E500" s="39">
        <v>3</v>
      </c>
      <c r="F500" s="39">
        <v>0</v>
      </c>
      <c r="G500" s="39">
        <v>0</v>
      </c>
      <c r="H500" s="39">
        <v>0</v>
      </c>
      <c r="I500" s="39">
        <v>0</v>
      </c>
      <c r="J500" s="39">
        <v>0</v>
      </c>
      <c r="K500" s="39">
        <v>0</v>
      </c>
      <c r="L500" s="39">
        <v>0</v>
      </c>
      <c r="M500" s="39">
        <v>0</v>
      </c>
    </row>
    <row r="501" spans="1:13" ht="16.5">
      <c r="A501" s="37" t="s">
        <v>169</v>
      </c>
      <c r="B501" s="39">
        <v>1</v>
      </c>
      <c r="C501" s="39">
        <v>0</v>
      </c>
      <c r="D501" s="39">
        <v>0</v>
      </c>
      <c r="E501" s="39">
        <v>0</v>
      </c>
      <c r="F501" s="39">
        <v>0</v>
      </c>
      <c r="G501" s="39">
        <v>0</v>
      </c>
      <c r="H501" s="39">
        <v>0</v>
      </c>
      <c r="I501" s="39">
        <v>0</v>
      </c>
      <c r="J501" s="39">
        <v>0</v>
      </c>
      <c r="K501" s="39">
        <v>0</v>
      </c>
      <c r="L501" s="39">
        <v>0</v>
      </c>
      <c r="M501" s="39">
        <v>0</v>
      </c>
    </row>
    <row r="502" spans="1:13" ht="16.5">
      <c r="B502" s="38">
        <f>SUM(B496:B499)</f>
        <v>53</v>
      </c>
      <c r="C502" s="68">
        <f>(C496*$B$496+C497*$B$497+C498*$B$498+C499*$B$499+C500*$B$500+C501*$B$501)</f>
        <v>131</v>
      </c>
      <c r="D502" s="68">
        <f t="shared" ref="D502:M502" si="84">(D496*$B$496+D497*$B$497+D498*$B$498+D499*$B$499+D500*$B$500+D501*$B$501)</f>
        <v>104</v>
      </c>
      <c r="E502" s="68">
        <f t="shared" si="84"/>
        <v>59</v>
      </c>
      <c r="F502" s="68">
        <f t="shared" si="84"/>
        <v>53</v>
      </c>
      <c r="G502" s="68">
        <f t="shared" si="84"/>
        <v>11</v>
      </c>
      <c r="H502" s="68">
        <f t="shared" si="84"/>
        <v>6</v>
      </c>
      <c r="I502" s="68">
        <f t="shared" si="84"/>
        <v>7</v>
      </c>
      <c r="J502" s="68">
        <f t="shared" si="84"/>
        <v>78</v>
      </c>
      <c r="K502" s="68">
        <f t="shared" si="84"/>
        <v>111</v>
      </c>
      <c r="L502" s="68">
        <f t="shared" si="84"/>
        <v>3</v>
      </c>
      <c r="M502" s="68">
        <f t="shared" si="84"/>
        <v>24</v>
      </c>
    </row>
    <row r="504" spans="1:13" ht="16.5">
      <c r="A504" s="252" t="s">
        <v>531</v>
      </c>
      <c r="B504" s="252" t="s">
        <v>127</v>
      </c>
      <c r="C504" s="54" t="s">
        <v>532</v>
      </c>
      <c r="D504" s="54" t="s">
        <v>533</v>
      </c>
      <c r="E504" s="54" t="s">
        <v>534</v>
      </c>
      <c r="F504" s="252" t="s">
        <v>535</v>
      </c>
      <c r="G504" s="252" t="s">
        <v>536</v>
      </c>
      <c r="H504" s="252" t="s">
        <v>537</v>
      </c>
      <c r="I504" s="252" t="s">
        <v>538</v>
      </c>
      <c r="J504" s="252" t="s">
        <v>539</v>
      </c>
      <c r="K504" s="252" t="s">
        <v>540</v>
      </c>
    </row>
    <row r="505" spans="1:13" ht="16.5">
      <c r="A505" s="37" t="s">
        <v>293</v>
      </c>
      <c r="B505" s="39">
        <v>30</v>
      </c>
      <c r="C505" s="39">
        <v>1</v>
      </c>
      <c r="D505" s="39">
        <v>1</v>
      </c>
      <c r="E505" s="39">
        <v>0</v>
      </c>
      <c r="F505" s="39">
        <v>0</v>
      </c>
      <c r="G505" s="39">
        <v>0</v>
      </c>
      <c r="H505" s="39">
        <v>0</v>
      </c>
      <c r="I505" s="39">
        <v>0</v>
      </c>
      <c r="J505" s="39">
        <v>0</v>
      </c>
    </row>
    <row r="506" spans="1:13" ht="16.5">
      <c r="A506" s="37" t="s">
        <v>294</v>
      </c>
      <c r="B506" s="39">
        <v>14</v>
      </c>
      <c r="C506" s="39">
        <v>1</v>
      </c>
      <c r="D506" s="39">
        <v>1</v>
      </c>
      <c r="E506" s="39">
        <v>0</v>
      </c>
      <c r="F506" s="39">
        <v>0</v>
      </c>
      <c r="G506" s="39">
        <v>0</v>
      </c>
      <c r="H506" s="39">
        <v>0</v>
      </c>
      <c r="I506" s="39">
        <v>0</v>
      </c>
      <c r="J506" s="39">
        <v>0</v>
      </c>
    </row>
    <row r="507" spans="1:13" ht="16.5">
      <c r="A507" s="37" t="s">
        <v>295</v>
      </c>
      <c r="B507" s="39">
        <v>8</v>
      </c>
      <c r="C507" s="39">
        <v>1</v>
      </c>
      <c r="D507" s="39">
        <v>1</v>
      </c>
      <c r="E507" s="39">
        <v>0</v>
      </c>
      <c r="F507" s="39">
        <v>0</v>
      </c>
      <c r="G507" s="39">
        <v>0</v>
      </c>
      <c r="H507" s="39">
        <v>0</v>
      </c>
      <c r="I507" s="39">
        <v>0</v>
      </c>
      <c r="J507" s="39">
        <v>0</v>
      </c>
    </row>
    <row r="508" spans="1:13" ht="16.5">
      <c r="A508" s="37" t="s">
        <v>488</v>
      </c>
      <c r="B508" s="39">
        <v>1</v>
      </c>
      <c r="C508" s="39">
        <v>1</v>
      </c>
      <c r="D508" s="39">
        <v>0</v>
      </c>
      <c r="E508" s="39">
        <v>6</v>
      </c>
      <c r="F508" s="39">
        <v>0</v>
      </c>
      <c r="G508" s="39">
        <v>1</v>
      </c>
      <c r="H508" s="39">
        <v>1</v>
      </c>
      <c r="I508" s="39">
        <v>6</v>
      </c>
      <c r="J508" s="39">
        <v>0</v>
      </c>
    </row>
    <row r="509" spans="1:13" ht="16.5">
      <c r="A509" s="37" t="s">
        <v>33</v>
      </c>
      <c r="B509" s="39">
        <v>1</v>
      </c>
      <c r="C509" s="39">
        <v>0</v>
      </c>
      <c r="D509" s="39">
        <v>0</v>
      </c>
      <c r="E509" s="39">
        <v>0</v>
      </c>
      <c r="F509" s="39">
        <v>5</v>
      </c>
      <c r="G509" s="39">
        <v>0</v>
      </c>
      <c r="H509" s="39">
        <v>0</v>
      </c>
      <c r="I509" s="39">
        <v>0</v>
      </c>
      <c r="J509" s="39"/>
    </row>
    <row r="510" spans="1:13" ht="16.5">
      <c r="A510" s="37" t="s">
        <v>169</v>
      </c>
      <c r="B510" s="39">
        <v>1</v>
      </c>
      <c r="C510" s="39">
        <v>0</v>
      </c>
      <c r="D510" s="39">
        <v>0</v>
      </c>
      <c r="E510" s="39">
        <v>0</v>
      </c>
      <c r="F510" s="39">
        <v>0</v>
      </c>
      <c r="G510" s="39">
        <v>0</v>
      </c>
      <c r="H510" s="39">
        <v>0</v>
      </c>
      <c r="I510" s="39">
        <v>0</v>
      </c>
      <c r="J510" s="39"/>
    </row>
    <row r="511" spans="1:13" ht="16.5">
      <c r="B511" s="38"/>
      <c r="C511" s="68">
        <f t="shared" ref="C511:J511" si="85">(C505*$B$505+C506*$B$506+C507*$B$507+C508*$B$508+C509*$B$509+C510*$B$510)</f>
        <v>53</v>
      </c>
      <c r="D511" s="68">
        <f t="shared" si="85"/>
        <v>52</v>
      </c>
      <c r="E511" s="68">
        <f t="shared" si="85"/>
        <v>6</v>
      </c>
      <c r="F511" s="68">
        <f t="shared" si="85"/>
        <v>5</v>
      </c>
      <c r="G511" s="68">
        <f t="shared" si="85"/>
        <v>1</v>
      </c>
      <c r="H511" s="68">
        <f t="shared" si="85"/>
        <v>1</v>
      </c>
      <c r="I511" s="68">
        <f t="shared" si="85"/>
        <v>6</v>
      </c>
      <c r="J511" s="68">
        <f t="shared" si="85"/>
        <v>0</v>
      </c>
    </row>
    <row r="514" spans="3:7" ht="16.5">
      <c r="C514" s="252" t="s">
        <v>9</v>
      </c>
      <c r="D514" s="252" t="s">
        <v>127</v>
      </c>
      <c r="E514" s="252" t="s">
        <v>541</v>
      </c>
      <c r="F514" s="252" t="s">
        <v>542</v>
      </c>
    </row>
    <row r="515" spans="3:7" ht="16.5">
      <c r="C515" s="37" t="str">
        <f>C495</f>
        <v>Cama solteiro</v>
      </c>
      <c r="D515" s="39">
        <f>C502</f>
        <v>131</v>
      </c>
      <c r="E515" s="69">
        <v>436.91</v>
      </c>
      <c r="F515" s="69">
        <f>TRUNC(D515*E515,2)</f>
        <v>57235.21</v>
      </c>
      <c r="G515" s="71" t="s">
        <v>543</v>
      </c>
    </row>
    <row r="516" spans="3:7" ht="16.5">
      <c r="C516" s="37" t="str">
        <f>D495</f>
        <v>Movel cabec</v>
      </c>
      <c r="D516" s="39">
        <f>D502</f>
        <v>104</v>
      </c>
      <c r="E516" s="69">
        <v>78.900000000000006</v>
      </c>
      <c r="F516" s="69">
        <f t="shared" ref="F516:F546" si="86">TRUNC(D516*E516,2)</f>
        <v>8205.6</v>
      </c>
      <c r="G516" s="71" t="s">
        <v>544</v>
      </c>
    </row>
    <row r="517" spans="3:7" ht="16.5">
      <c r="C517" s="37" t="str">
        <f>E495</f>
        <v>Armário</v>
      </c>
      <c r="D517" s="39">
        <f>E502</f>
        <v>59</v>
      </c>
      <c r="E517" s="69">
        <v>299</v>
      </c>
      <c r="F517" s="69">
        <f t="shared" si="86"/>
        <v>17641</v>
      </c>
      <c r="G517" s="71" t="s">
        <v>545</v>
      </c>
    </row>
    <row r="518" spans="3:7" ht="16.5">
      <c r="C518" s="37" t="str">
        <f>F495</f>
        <v>Painel tv</v>
      </c>
      <c r="D518" s="39">
        <f>F502</f>
        <v>53</v>
      </c>
      <c r="E518" s="69">
        <v>170.49</v>
      </c>
      <c r="F518" s="69">
        <f t="shared" si="86"/>
        <v>9035.9699999999993</v>
      </c>
      <c r="G518" s="71" t="s">
        <v>546</v>
      </c>
    </row>
    <row r="519" spans="3:7" ht="16.5">
      <c r="C519" s="37" t="str">
        <f>G495</f>
        <v>Armario inox</v>
      </c>
      <c r="D519" s="39">
        <f>G502</f>
        <v>11</v>
      </c>
      <c r="E519" s="69">
        <v>549.99</v>
      </c>
      <c r="F519" s="69">
        <f t="shared" si="86"/>
        <v>6049.89</v>
      </c>
      <c r="G519" s="71" t="s">
        <v>547</v>
      </c>
    </row>
    <row r="520" spans="3:7" ht="16.5">
      <c r="C520" s="37" t="str">
        <f>H495</f>
        <v>Prateleira inox</v>
      </c>
      <c r="D520" s="39">
        <f>H502</f>
        <v>6</v>
      </c>
      <c r="E520" s="69">
        <v>45.12</v>
      </c>
      <c r="F520" s="69">
        <f t="shared" si="86"/>
        <v>270.72000000000003</v>
      </c>
      <c r="G520" s="71" t="s">
        <v>548</v>
      </c>
    </row>
    <row r="521" spans="3:7" ht="16.5">
      <c r="C521" s="37" t="str">
        <f>I495</f>
        <v>Mesa esc</v>
      </c>
      <c r="D521" s="39">
        <f>I502</f>
        <v>7</v>
      </c>
      <c r="E521" s="69">
        <v>187.15</v>
      </c>
      <c r="F521" s="69">
        <f t="shared" si="86"/>
        <v>1310.05</v>
      </c>
      <c r="G521" s="71" t="s">
        <v>549</v>
      </c>
    </row>
    <row r="522" spans="3:7" ht="16.5">
      <c r="C522" s="37" t="str">
        <f>J495</f>
        <v>Cadeira esc</v>
      </c>
      <c r="D522" s="39">
        <f>J502</f>
        <v>78</v>
      </c>
      <c r="E522" s="69">
        <v>199</v>
      </c>
      <c r="F522" s="69">
        <f t="shared" si="86"/>
        <v>15522</v>
      </c>
      <c r="G522" s="71" t="s">
        <v>550</v>
      </c>
    </row>
    <row r="523" spans="3:7" ht="16.5">
      <c r="C523" s="37" t="str">
        <f>K495</f>
        <v>Cadeira audit</v>
      </c>
      <c r="D523" s="39">
        <f>K502</f>
        <v>111</v>
      </c>
      <c r="E523" s="69">
        <v>212</v>
      </c>
      <c r="F523" s="69">
        <f t="shared" si="86"/>
        <v>23532</v>
      </c>
      <c r="G523" s="71" t="s">
        <v>551</v>
      </c>
    </row>
    <row r="524" spans="3:7" ht="16.5">
      <c r="C524" s="37" t="str">
        <f>L495</f>
        <v>mesa refeit</v>
      </c>
      <c r="D524" s="39">
        <f>L502</f>
        <v>3</v>
      </c>
      <c r="E524" s="69">
        <v>971.85</v>
      </c>
      <c r="F524" s="69">
        <f t="shared" si="86"/>
        <v>2915.55</v>
      </c>
      <c r="G524" s="71" t="s">
        <v>552</v>
      </c>
    </row>
    <row r="525" spans="3:7" ht="16.5">
      <c r="C525" s="37" t="s">
        <v>530</v>
      </c>
      <c r="D525" s="39">
        <f>M502</f>
        <v>24</v>
      </c>
      <c r="E525" s="69">
        <v>996.06</v>
      </c>
      <c r="F525" s="69">
        <f t="shared" si="86"/>
        <v>23905.439999999999</v>
      </c>
      <c r="G525" s="71" t="s">
        <v>553</v>
      </c>
    </row>
    <row r="526" spans="3:7" ht="16.5">
      <c r="C526" s="37" t="s">
        <v>554</v>
      </c>
      <c r="D526" s="39">
        <v>12</v>
      </c>
      <c r="E526" s="69">
        <v>129</v>
      </c>
      <c r="F526" s="69">
        <f t="shared" si="86"/>
        <v>1548</v>
      </c>
      <c r="G526" s="71" t="s">
        <v>555</v>
      </c>
    </row>
    <row r="527" spans="3:7" ht="16.5">
      <c r="C527" s="37" t="s">
        <v>556</v>
      </c>
      <c r="D527" s="39">
        <v>5</v>
      </c>
      <c r="E527" s="69">
        <v>736.25</v>
      </c>
      <c r="F527" s="69">
        <f t="shared" si="86"/>
        <v>3681.25</v>
      </c>
      <c r="G527" s="71" t="s">
        <v>557</v>
      </c>
    </row>
    <row r="528" spans="3:7" ht="16.5">
      <c r="C528" s="37" t="s">
        <v>558</v>
      </c>
      <c r="D528" s="39">
        <v>3</v>
      </c>
      <c r="E528" s="69">
        <v>888.44</v>
      </c>
      <c r="F528" s="69">
        <f t="shared" si="86"/>
        <v>2665.32</v>
      </c>
      <c r="G528" s="71" t="s">
        <v>559</v>
      </c>
    </row>
    <row r="529" spans="3:7" ht="16.5">
      <c r="C529" s="37" t="s">
        <v>560</v>
      </c>
      <c r="D529" s="39">
        <v>1</v>
      </c>
      <c r="E529" s="69">
        <v>2052</v>
      </c>
      <c r="F529" s="69">
        <f t="shared" si="86"/>
        <v>2052</v>
      </c>
      <c r="G529" s="71" t="s">
        <v>561</v>
      </c>
    </row>
    <row r="530" spans="3:7" ht="16.5">
      <c r="C530" s="37" t="str">
        <f>C504</f>
        <v>TV 40"</v>
      </c>
      <c r="D530" s="39">
        <f>C511</f>
        <v>53</v>
      </c>
      <c r="E530" s="69">
        <v>1424.05</v>
      </c>
      <c r="F530" s="69">
        <f t="shared" si="86"/>
        <v>75474.649999999994</v>
      </c>
      <c r="G530" s="71" t="s">
        <v>562</v>
      </c>
    </row>
    <row r="531" spans="3:7" ht="16.5">
      <c r="C531" s="37" t="str">
        <f>D504</f>
        <v>Frigobar</v>
      </c>
      <c r="D531" s="39">
        <f>D511</f>
        <v>52</v>
      </c>
      <c r="E531" s="69">
        <v>959.53</v>
      </c>
      <c r="F531" s="69">
        <f t="shared" si="86"/>
        <v>49895.56</v>
      </c>
      <c r="G531" s="71" t="s">
        <v>563</v>
      </c>
    </row>
    <row r="532" spans="3:7" ht="16.5">
      <c r="C532" s="37" t="str">
        <f>E504</f>
        <v>Freezer V</v>
      </c>
      <c r="D532" s="39">
        <f>E511</f>
        <v>6</v>
      </c>
      <c r="E532" s="69">
        <v>1809</v>
      </c>
      <c r="F532" s="69">
        <f t="shared" si="86"/>
        <v>10854</v>
      </c>
      <c r="G532" s="71" t="s">
        <v>564</v>
      </c>
    </row>
    <row r="533" spans="3:7" ht="16.5">
      <c r="C533" s="37" t="str">
        <f>F504</f>
        <v>Máq. Lavar</v>
      </c>
      <c r="D533" s="39">
        <f>F511</f>
        <v>5</v>
      </c>
      <c r="E533" s="69">
        <v>2969</v>
      </c>
      <c r="F533" s="69">
        <f t="shared" si="86"/>
        <v>14845</v>
      </c>
      <c r="G533" s="71" t="s">
        <v>565</v>
      </c>
    </row>
    <row r="534" spans="3:7" ht="16.5">
      <c r="C534" s="37" t="str">
        <f>G504</f>
        <v>Microondas</v>
      </c>
      <c r="D534" s="39">
        <f>G511</f>
        <v>1</v>
      </c>
      <c r="E534" s="69">
        <v>502</v>
      </c>
      <c r="F534" s="69">
        <f t="shared" si="86"/>
        <v>502</v>
      </c>
      <c r="G534" s="71" t="s">
        <v>566</v>
      </c>
    </row>
    <row r="535" spans="3:7" ht="16.5">
      <c r="C535" s="37" t="str">
        <f>H504</f>
        <v>Datashow</v>
      </c>
      <c r="D535" s="39">
        <f>H511</f>
        <v>1</v>
      </c>
      <c r="E535" s="69">
        <v>1244.17</v>
      </c>
      <c r="F535" s="69">
        <f t="shared" si="86"/>
        <v>1244.17</v>
      </c>
      <c r="G535" s="71" t="s">
        <v>567</v>
      </c>
    </row>
    <row r="536" spans="3:7" ht="16.5">
      <c r="C536" s="37" t="str">
        <f>I504</f>
        <v>Notebook</v>
      </c>
      <c r="D536" s="39">
        <f>I511</f>
        <v>6</v>
      </c>
      <c r="E536" s="69">
        <v>2797.52</v>
      </c>
      <c r="F536" s="69">
        <f t="shared" si="86"/>
        <v>16785.12</v>
      </c>
      <c r="G536" s="71" t="s">
        <v>568</v>
      </c>
    </row>
    <row r="537" spans="3:7" ht="16.5">
      <c r="C537" s="37" t="str">
        <f>J504</f>
        <v>Mesa de costura</v>
      </c>
      <c r="D537" s="39">
        <v>1</v>
      </c>
      <c r="E537" s="69">
        <v>479.9</v>
      </c>
      <c r="F537" s="69">
        <f t="shared" si="86"/>
        <v>479.9</v>
      </c>
      <c r="G537" s="71" t="s">
        <v>569</v>
      </c>
    </row>
    <row r="538" spans="3:7" ht="16.5">
      <c r="C538" s="37" t="s">
        <v>570</v>
      </c>
      <c r="D538" s="39">
        <v>1</v>
      </c>
      <c r="E538" s="69">
        <v>261.31</v>
      </c>
      <c r="F538" s="69">
        <f t="shared" si="86"/>
        <v>261.31</v>
      </c>
      <c r="G538" s="71" t="s">
        <v>571</v>
      </c>
    </row>
    <row r="539" spans="3:7" ht="16.5">
      <c r="C539" s="37" t="s">
        <v>572</v>
      </c>
      <c r="D539" s="39">
        <v>1</v>
      </c>
      <c r="E539" s="69">
        <v>457.99</v>
      </c>
      <c r="F539" s="69">
        <f t="shared" si="86"/>
        <v>457.99</v>
      </c>
      <c r="G539" s="71" t="s">
        <v>573</v>
      </c>
    </row>
    <row r="540" spans="3:7" ht="16.5">
      <c r="C540" s="37" t="s">
        <v>574</v>
      </c>
      <c r="D540" s="39">
        <v>3</v>
      </c>
      <c r="E540" s="69">
        <v>1216.33</v>
      </c>
      <c r="F540" s="69">
        <f t="shared" si="86"/>
        <v>3648.99</v>
      </c>
      <c r="G540" s="71" t="s">
        <v>575</v>
      </c>
    </row>
    <row r="541" spans="3:7" ht="16.5">
      <c r="C541" s="37" t="s">
        <v>576</v>
      </c>
      <c r="D541" s="39">
        <v>1</v>
      </c>
      <c r="E541" s="69">
        <v>2890</v>
      </c>
      <c r="F541" s="69">
        <f t="shared" si="86"/>
        <v>2890</v>
      </c>
      <c r="G541" s="71" t="s">
        <v>577</v>
      </c>
    </row>
    <row r="542" spans="3:7" ht="16.5">
      <c r="C542" s="37" t="s">
        <v>578</v>
      </c>
      <c r="D542" s="39">
        <v>2</v>
      </c>
      <c r="E542" s="69">
        <v>2199.9</v>
      </c>
      <c r="F542" s="69">
        <f t="shared" si="86"/>
        <v>4399.8</v>
      </c>
      <c r="G542" s="71" t="s">
        <v>579</v>
      </c>
    </row>
    <row r="543" spans="3:7" ht="16.5">
      <c r="C543" s="37" t="s">
        <v>580</v>
      </c>
      <c r="D543" s="39">
        <v>1</v>
      </c>
      <c r="E543" s="69">
        <v>1299.99</v>
      </c>
      <c r="F543" s="69">
        <f t="shared" si="86"/>
        <v>1299.99</v>
      </c>
      <c r="G543" s="71" t="s">
        <v>581</v>
      </c>
    </row>
    <row r="544" spans="3:7" ht="16.5">
      <c r="C544" s="37" t="s">
        <v>582</v>
      </c>
      <c r="D544" s="39">
        <v>1</v>
      </c>
      <c r="E544" s="69">
        <v>288</v>
      </c>
      <c r="F544" s="69">
        <f t="shared" si="86"/>
        <v>288</v>
      </c>
      <c r="G544" s="71" t="s">
        <v>583</v>
      </c>
    </row>
    <row r="545" spans="1:13" ht="16.5">
      <c r="C545" s="37" t="s">
        <v>584</v>
      </c>
      <c r="D545" s="39">
        <v>1</v>
      </c>
      <c r="E545" s="69">
        <v>1659</v>
      </c>
      <c r="F545" s="69">
        <f t="shared" si="86"/>
        <v>1659</v>
      </c>
      <c r="G545" s="71" t="s">
        <v>585</v>
      </c>
    </row>
    <row r="546" spans="1:13" ht="16.5">
      <c r="C546" s="37" t="s">
        <v>586</v>
      </c>
      <c r="D546" s="39">
        <v>1</v>
      </c>
      <c r="E546" s="69">
        <v>1957.46</v>
      </c>
      <c r="F546" s="69">
        <f t="shared" si="86"/>
        <v>1957.46</v>
      </c>
      <c r="G546" s="71" t="s">
        <v>587</v>
      </c>
    </row>
    <row r="547" spans="1:13">
      <c r="F547" s="70">
        <f>SUM(F515:F546)</f>
        <v>362512.93999999994</v>
      </c>
    </row>
    <row r="550" spans="1:13" ht="33">
      <c r="A550" s="252" t="s">
        <v>588</v>
      </c>
      <c r="B550" s="252" t="s">
        <v>243</v>
      </c>
      <c r="C550" s="54" t="s">
        <v>438</v>
      </c>
      <c r="D550" s="54" t="s">
        <v>441</v>
      </c>
      <c r="F550" s="68"/>
      <c r="G550" s="68"/>
      <c r="H550" s="68"/>
      <c r="J550" s="68"/>
      <c r="K550" s="68"/>
    </row>
    <row r="551" spans="1:13" ht="16.5">
      <c r="A551" s="37" t="s">
        <v>401</v>
      </c>
      <c r="B551" s="39">
        <f>288.77+286.77+313.11+206.6</f>
        <v>1095.25</v>
      </c>
      <c r="C551" s="39">
        <v>0</v>
      </c>
      <c r="D551" s="39">
        <f>B551</f>
        <v>1095.25</v>
      </c>
      <c r="F551" s="39"/>
      <c r="G551" s="39"/>
      <c r="H551" s="39"/>
      <c r="J551" s="39"/>
      <c r="K551" s="39"/>
      <c r="M551" s="52"/>
    </row>
    <row r="552" spans="1:13" ht="16.5">
      <c r="A552" s="37" t="s">
        <v>33</v>
      </c>
      <c r="B552" s="39">
        <v>66.98</v>
      </c>
      <c r="C552" s="39">
        <v>0</v>
      </c>
      <c r="D552" s="39">
        <f>B552</f>
        <v>66.98</v>
      </c>
      <c r="F552" s="39"/>
      <c r="G552" s="39"/>
      <c r="H552" s="39"/>
      <c r="J552" s="39"/>
      <c r="K552" s="39"/>
      <c r="M552" s="52"/>
    </row>
    <row r="553" spans="1:13" ht="16.5">
      <c r="A553" s="37" t="s">
        <v>442</v>
      </c>
      <c r="B553" s="39">
        <v>23.78</v>
      </c>
      <c r="C553" s="39">
        <v>0</v>
      </c>
      <c r="D553" s="39">
        <f>B553</f>
        <v>23.78</v>
      </c>
      <c r="F553" s="39"/>
      <c r="G553" s="39"/>
      <c r="H553" s="39"/>
      <c r="J553" s="39"/>
      <c r="K553" s="39"/>
      <c r="M553" s="52"/>
    </row>
    <row r="554" spans="1:13" ht="16.5">
      <c r="A554" s="37" t="s">
        <v>362</v>
      </c>
      <c r="B554" s="39">
        <v>6.34</v>
      </c>
      <c r="C554" s="39">
        <v>0</v>
      </c>
      <c r="D554" s="39">
        <v>0</v>
      </c>
      <c r="F554" s="39"/>
      <c r="G554" s="39"/>
      <c r="H554" s="39"/>
      <c r="J554" s="39"/>
      <c r="K554" s="39"/>
      <c r="M554" s="52"/>
    </row>
    <row r="555" spans="1:13" ht="16.5">
      <c r="A555" s="37" t="s">
        <v>443</v>
      </c>
      <c r="B555" s="39">
        <f>413.25+1190+214.84</f>
        <v>1818.09</v>
      </c>
      <c r="C555" s="39">
        <v>0</v>
      </c>
      <c r="D555" s="39">
        <f>B555-214.84</f>
        <v>1603.25</v>
      </c>
      <c r="F555" s="39"/>
      <c r="G555" s="39"/>
      <c r="H555" s="39"/>
      <c r="J555" s="39"/>
      <c r="K555" s="39"/>
      <c r="M555" s="52"/>
    </row>
    <row r="556" spans="1:13" ht="16.5">
      <c r="A556" s="37" t="s">
        <v>445</v>
      </c>
      <c r="B556" s="39">
        <f>953.9+125+125</f>
        <v>1203.9000000000001</v>
      </c>
      <c r="C556" s="59">
        <f>B556</f>
        <v>1203.9000000000001</v>
      </c>
      <c r="D556" s="59">
        <v>0</v>
      </c>
      <c r="F556" s="56"/>
      <c r="G556" s="56"/>
      <c r="H556" s="56"/>
      <c r="J556" s="56"/>
      <c r="K556" s="56"/>
      <c r="M556" s="39"/>
    </row>
    <row r="557" spans="1:13" ht="16.5">
      <c r="C557" s="38">
        <f>SUM(C551:C556)</f>
        <v>1203.9000000000001</v>
      </c>
      <c r="D557" s="38">
        <f t="shared" ref="D557" si="87">SUM(D551:D556)</f>
        <v>2789.26</v>
      </c>
      <c r="F557" s="38"/>
      <c r="G557" s="38"/>
      <c r="H557" s="38"/>
      <c r="J557" s="38"/>
      <c r="K557" s="38"/>
    </row>
    <row r="558" spans="1:13" ht="16.5">
      <c r="B558" s="37" t="s">
        <v>589</v>
      </c>
    </row>
    <row r="559" spans="1:13" ht="16.5">
      <c r="B559" s="37" t="s">
        <v>590</v>
      </c>
      <c r="C559" s="38">
        <v>214.05</v>
      </c>
    </row>
  </sheetData>
  <sheetProtection password="C655" sheet="1" objects="1" scenarios="1"/>
  <mergeCells count="2">
    <mergeCell ref="E341:G341"/>
    <mergeCell ref="A481:A482"/>
  </mergeCells>
  <hyperlinks>
    <hyperlink ref="G515" r:id="rId1" display="https://www.magazineluiza.com.br/cama-box-solteiro-reconflex-conjugada-fenix-55x88x188cm/p/237083000/co/cjso/?&amp;seller_id=magazineluiza&amp;utm_source=google&amp;utm_medium=cpc&amp;utm_term=73837&amp;utm_campaign=google_eco_per_ven_pla_mo_apo_1p_moveis&amp;utm_content=&amp;partner_id=73837&amp;gclsrc=aw.ds&amp;gclid=EAIaIQobChMIz66vod7biQMVuBBECB3vPigMEAQYASABEgIKlvD_BwE"/>
    <hyperlink ref="G516" r:id="rId2" display="https://produto.mercadolivre.com.br/MLB-3102257106-mesa-de-cabeceira-criado-para-quarto-retro-alice-_JM?matt_tool=18983347&amp;matt_word=&amp;matt_source=google&amp;matt_campaign_id=14302215531&amp;matt_ad_group_id=155854918005&amp;matt_match_type=&amp;matt_network=g&amp;matt_device=c&amp;matt_creative=686778909993&amp;matt_keyword=&amp;matt_ad_position=&amp;matt_ad_type=pla&amp;matt_merchant_id=5082132220&amp;matt_product_id=MLB3102257106&amp;matt_product_partition_id=1963044459753&amp;matt_target_id=aud-2009166904988:pla-1963044459753&amp;cq_src=google_ads&amp;cq_cmp=14302215531&amp;cq_net=g&amp;cq_plt=gp&amp;cq_med=pla&amp;gad_source=1&amp;gclid=EAIaIQobChMIy92QsN7biQMVp2FIAB1i9jxHEAQYCCABEgJON_D_BwE"/>
    <hyperlink ref="G517" r:id="rId3" display="https://www.amazon.com.br/Solteiro-Gavetas-Coimbra-Atacama-Aram%C3%B3veis/dp/B0CG2C12RK/ref=asc_df_B0CG2C12RK/?tag=googleshopp00-20&amp;linkCode=df0&amp;hvadid=709968340954&amp;hvpos=&amp;hvnetw=g&amp;hvrand=5847029545021136100&amp;hvpone=&amp;hvptwo=&amp;hvqmt=&amp;hvdev=c&amp;hvdvcmdl=&amp;hvlocint=&amp;hvlocphy=9101555&amp;hvtargid=pla-2211163066079&amp;psc=1&amp;mcid=3c034600e6a83541b9792bf665a5fd68&amp;gad_source=1"/>
    <hyperlink ref="G518" r:id="rId4" display="https://www.amazon.com.br/Painel-Polegadas-Nicho-Not%C3%A1vel-M%C3%B3veis/dp/B08WLZZTBJ/ref=asc_df_B08WLZZTBJ/?tag=googleshopp00-20&amp;linkCode=df0&amp;hvadid=709968341269&amp;hvpos=&amp;hvnetw=g&amp;hvrand=11829679873824661718&amp;hvpone=&amp;hvptwo=&amp;hvqmt=&amp;hvdev=c&amp;hvdvcmdl=&amp;hvlocint=&amp;hvlocphy=9101555&amp;hvtargid=pla-1412287651358&amp;psc=1&amp;mcid=5e9e077825333cc89c38a4105460d7fa&amp;gad_source=1"/>
    <hyperlink ref="G519" r:id="rId5" display="https://produto.mercadolivre.com.br/MLB-2975393334-estante-aco-5-prateleiras-cromada-aramada-170-cm-desmontavel-_JM?matt_tool=63065976&amp;matt_word=&amp;matt_source=google&amp;matt_campaign_id=14302215534&amp;matt_ad_group_id=154967597988&amp;matt_match_type=&amp;matt_network=g&amp;matt_device=c&amp;matt_creative=649487315899&amp;matt_keyword=&amp;matt_ad_position=&amp;matt_ad_type=pla&amp;matt_merchant_id=700812106&amp;matt_product_id=MLB2975393334&amp;matt_product_partition_id=1960832236233&amp;matt_target_id=aud-2009166904988:pla-1960832236233&amp;cq_src=google_ads&amp;cq_cmp=14302215534&amp;cq_net=g&amp;cq_plt=gp&amp;cq_med=pla&amp;gad_source=1&amp;gclid=EAIaIQobChMIlu_g697biQMV-TtECB1HpikBEAQYBCABEgLTl_D_BwE"/>
    <hyperlink ref="G520" r:id="rId6"/>
    <hyperlink ref="G521" r:id="rId7" display="https://www.mercadolivre.com.br/escrivaninha-steel-mobile-star-mdf-de-120cm-x-74cm-x-45cm-pretoimbuia/p/MLB27820924?pdp_filters=item_id%3AMLB3775751417&amp;from=gshop&amp;matt_tool=18983347&amp;matt_word=&amp;matt_source=google&amp;matt_campaign_id=14302215531&amp;matt_ad_group_id=155854918005&amp;matt_match_type=&amp;matt_network=g&amp;matt_device=c&amp;matt_creative=686778909993&amp;matt_keyword=&amp;matt_ad_position=&amp;matt_ad_type=pla&amp;matt_merchant_id=735128761&amp;matt_product_id=MLB27820924-product&amp;matt_product_partition_id=1963044459553&amp;matt_target_id=aud-2009166904988:pla-1963044459553&amp;cq_src=google_ads&amp;cq_cmp=14302215531&amp;cq_net=g&amp;cq_plt=gp&amp;cq_med=pla&amp;gad_source=1&amp;gclid=EAIaIQobChMI6pr-jd_biQMVaihECB0kogTDEAQYAiABEgJrLfD_BwE"/>
    <hyperlink ref="G522" r:id="rId8" display="https://www.amazon.com.br/Cadeira-Escrit%C3%B3rio-Secret%C3%A1ria-Cromada-Rodinha/dp/B0D9HNH2KN/ref=asc_df_B0D9HNH2KN/?tag=googleshopp00-20&amp;linkCode=df0&amp;hvadid=709968340957&amp;hvpos=&amp;hvnetw=g&amp;hvrand=3823642956765407686&amp;hvpone=&amp;hvptwo=&amp;hvqmt=&amp;hvdev=c&amp;hvdvcmdl=&amp;hvlocint=&amp;hvlocphy=9101555&amp;hvtargid=pla-2331342379100&amp;psc=1&amp;mcid=9be4355e61863f34835c82a7a81b94b3&amp;gad_source=1"/>
    <hyperlink ref="G523" r:id="rId9" display="https://produto.mercadolivre.com.br/MLB-4478143044-cadeira-de-escritorio-secretaria-fixa-palito-j-serrano-preta-_JM?matt_tool=18983347&amp;matt_word=&amp;matt_source=google&amp;matt_campaign_id=14302215531&amp;matt_ad_group_id=155854918005&amp;matt_match_type=&amp;matt_network=g&amp;matt_device=c&amp;matt_creative=686778909993&amp;matt_keyword=&amp;matt_ad_position=&amp;matt_ad_type=pla&amp;matt_merchant_id=5326759621&amp;matt_product_id=MLB4478143044&amp;matt_product_partition_id=1963044459753&amp;matt_target_id=aud-2009166904988:pla-1963044459753&amp;cq_src=google_ads&amp;cq_cmp=14302215531&amp;cq_net=g&amp;cq_plt=gp&amp;cq_med=pla&amp;gad_source=1&amp;gclid=EAIaIQobChMIuJXxpt_biQMV_w9ECB0-USfiEAQYAiABEgI_-_D_BwE"/>
    <hyperlink ref="G524" r:id="rId10" display="https://www.madeiramadeira.com.br/conjunto-mesa-para-refeitorio-6-lugares-com-bancos-separados-945285169.html?origem=pla-945285169&amp;utm_source=google&amp;utm_medium=cpc&amp;utm_content=mesas-para-sala-de-jantar-5168&amp;utm_term=&amp;utm_id=17456093492&amp;gad_source=1&amp;gclid=EAIaIQobChMIlbGO3t_biQMVjFhIAB1wWwDDEAQYAyABEgL9ZvD_BwE"/>
    <hyperlink ref="G530" r:id="rId11" display="https://www.amazon.com.br/TCL-LED-SMART-S5400A-ANDROID/dp/B0CC73MY9D/ref=asc_df_B0CC73MY9D/?tag=googleshopp00-20&amp;linkCode=df0&amp;hvadid=709964502896&amp;hvpos=&amp;hvnetw=g&amp;hvrand=6785519557594998482&amp;hvpone=&amp;hvptwo=&amp;hvqmt=&amp;hvdev=c&amp;hvdvcmdl=&amp;hvlocint=&amp;hvlocphy=9101555&amp;hvtargid=pla-2260808535249&amp;psc=1&amp;mcid=e2969ca9e1a331f591d3bb4b6c781143&amp;gad_source=1"/>
    <hyperlink ref="G531" r:id="rId12" display="https://www.amazon.com.br/Midea-MDRD108FGA011-FRIGOBAR-MIDEA-127V/dp/B0BT63ZBT7/ref=asc_df_B0BT63ZBT7/?tag=googleshopp00-20&amp;linkCode=df0&amp;hvadid=709884460975&amp;hvpos=&amp;hvnetw=g&amp;hvrand=16718862186633003967&amp;hvpone=&amp;hvptwo=&amp;hvqmt=&amp;hvdev=c&amp;hvdvcmdl=&amp;hvlocint=&amp;hvlocphy=9101555&amp;hvtargid=pla-2015581519099&amp;psc=1&amp;mcid=4b1a9085b26a373c81e14016dd13ab70&amp;gad_source=1"/>
    <hyperlink ref="G532" r:id="rId13" display="https://www.amazon.com.br/Geladeira-Consul-Degelo-Gavet%C3%A3o-Hortifruti/dp/B076B97232/ref=asc_df_B076B97232/?tag=googleshopp00-20&amp;linkCode=df0&amp;hvadid=709884460975&amp;hvpos=&amp;hvnetw=g&amp;hvrand=9997892139953941511&amp;hvpone=&amp;hvptwo=&amp;hvqmt=&amp;hvdev=c&amp;hvdvcmdl=&amp;hvlocint=&amp;hvlocphy=9101555&amp;hvtargid=pla-2371707239973&amp;psc=1&amp;mcid=b0b0cf57d200310093cb3648ade593da&amp;gad_source=1"/>
    <hyperlink ref="G533" r:id="rId14" display="https://www.amazon.com.br/Lavadora-Electrolux-LFE11-Front-Premium/dp/B084RNYPPZ/ref=asc_df_B084RNYPPZ/?tag=googleshopp00-20&amp;linkCode=df0&amp;hvadid=709884460999&amp;hvpos=&amp;hvnetw=g&amp;hvrand=9953422435084978048&amp;hvpone=&amp;hvptwo=&amp;hvqmt=&amp;hvdev=c&amp;hvdvcmdl=&amp;hvlocint=&amp;hvlocphy=9101555&amp;hvtargid=pla-1410547872629&amp;psc=1&amp;mcid=fd6d98078a07319f9c2029f954150072&amp;gad_source=1"/>
    <hyperlink ref="G534" r:id="rId15" display="https://www.amazon.com.br/Forno-Micro-ondas-Preto-Midea-MRAS22/dp/B0931ZRJ66/ref=asc_df_B0931ZRJ66/?tag=googleshopp00-20&amp;linkCode=df0&amp;hvadid=709886750320&amp;hvpos=&amp;hvnetw=g&amp;hvrand=13962439182616537260&amp;hvpone=&amp;hvptwo=&amp;hvqmt=&amp;hvdev=c&amp;hvdvcmdl=&amp;hvlocint=&amp;hvlocphy=9101555&amp;hvtargid=pla-1395669744615&amp;psc=1&amp;mcid=794d8c196632344cb432af5f31c6bbd3&amp;gad_source=1"/>
    <hyperlink ref="G535" r:id="rId16" display="https://www.amazon.com.br/Projetor-Lumens-PFL-5210-Intelbras/dp/B0CNH5K3JM/ref=asc_df_B0CNH5K3JM/?tag=googleshopp00-20&amp;linkCode=df0&amp;hvadid=709964502890&amp;hvpos=&amp;hvnetw=g&amp;hvrand=17960110704650655243&amp;hvpone=&amp;hvptwo=&amp;hvqmt=&amp;hvdev=c&amp;hvdvcmdl=&amp;hvlocint=&amp;hvlocphy=9101555&amp;hvtargid=pla-2311524453804&amp;psc=1&amp;mcid=b48e344d7e003d37aa2ab723c8eba6f3&amp;gad_source=1"/>
    <hyperlink ref="G536" r:id="rId17" display="https://www.amazon.com.br/Notebook-Lenovo-Ideapad-i5-1235U-512GB/dp/B0CK3R8JYG/ref=asc_df_B0CK3R8JYG/?tag=googleshopp00-20&amp;linkCode=df0&amp;hvadid=709884378364&amp;hvpos=&amp;hvnetw=g&amp;hvrand=12434131605951846581&amp;hvpone=&amp;hvptwo=&amp;hvqmt=&amp;hvdev=c&amp;hvdvcmdl=&amp;hvlocint=&amp;hvlocphy=9101555&amp;hvtargid=pla-2259396492379&amp;psc=1&amp;mcid=615efcdecbd33b0095df075ef0bd9071&amp;gad_source=1"/>
    <hyperlink ref="G537" r:id="rId18" display="https://produto.mercadolivre.com.br/MLB-5028941824-mesa-bancada-para-maquinas-de-costura-singer-facilita-pro-_JM?matt_tool=84319704&amp;matt_word=&amp;matt_source=google&amp;matt_campaign_id=16393052799&amp;matt_ad_group_id=136691958631&amp;matt_match_type=&amp;matt_network=g&amp;matt_device=c&amp;matt_creative=584296520780&amp;matt_keyword=&amp;matt_ad_position=&amp;matt_ad_type=pla&amp;matt_merchant_id=5325874933&amp;matt_product_id=MLB5028941824&amp;matt_product_partition_id=2268631379008&amp;matt_target_id=aud-2009166904988:pla-2268631379008&amp;cq_src=google_ads&amp;cq_cmp=16393052799&amp;cq_net=g&amp;cq_plt=gp&amp;cq_med=pla&amp;gad_source=1&amp;gclid=EAIaIQobChMI8vKvuODbiQMVUlhIAB0u6gDCEAQYASABEgJrBPD_BwE"/>
    <hyperlink ref="G525" r:id="rId19" display="https://produto.mercadolivre.com.br/MLB-5004944758-jogo-mesa-plastica-restaurante-hotel-quadrada-rattan-marrom-_JM?matt_tool=38467324&amp;matt_word=&amp;matt_source=google&amp;matt_campaign_id=14302215510&amp;matt_ad_group_id=157102242403&amp;matt_match_type=&amp;matt_network=g&amp;matt_device=c&amp;matt_creative=686778909984&amp;matt_keyword=&amp;matt_ad_position=&amp;matt_ad_type=pla&amp;matt_merchant_id=556898629&amp;matt_product_id=MLB5004944758&amp;matt_product_partition_id=1961825176466&amp;matt_target_id=aud-2009166904988:pla-1961825176466&amp;cq_src=google_ads&amp;cq_cmp=14302215510&amp;cq_net=g&amp;cq_plt=gp&amp;cq_med=pla&amp;gad_source=1&amp;gclid=EAIaIQobChMIzKLYueHbiQMVo0JIAB2cOQWsEAQYDyABEgIi4_D_BwE"/>
    <hyperlink ref="G526" r:id="rId20" display="https://www.amazon.com.br/Pe%C3%A7as-Garfo-Colher-Buffet-Restaurante/dp/B0CD6D4GX4/ref=asc_df_B0CD6D4GX4/?tag=googleshopp00-20&amp;linkCode=df0&amp;hvadid=709964506220&amp;hvpos=&amp;hvnetw=g&amp;hvrand=13128620473185654699&amp;hvpone=&amp;hvptwo=&amp;hvqmt=&amp;hvdev=c&amp;hvdvcmdl=&amp;hvlocint=&amp;hvlocphy=9101555&amp;hvtargid=pla-2203097789675&amp;psc=1&amp;mcid=62c7cb3925483537a493d694da1a5d33&amp;gad_source=1"/>
    <hyperlink ref="G527" r:id="rId21" display="https://produto.mercadolivre.com.br/MLB-2087077767-50-pratos-rasos-para-restaurante-buffet-hotel-lanchonete-bar-_JM?matt_tool=68506710&amp;matt_word=&amp;matt_source=google&amp;matt_campaign_id=14302215504&amp;matt_ad_group_id=154967597028&amp;matt_match_type=&amp;matt_network=g&amp;matt_device=c&amp;matt_creative=649487315881&amp;matt_keyword=&amp;matt_ad_position=&amp;matt_ad_type=pla&amp;matt_merchant_id=122236285&amp;matt_product_id=MLB2087077767&amp;matt_product_partition_id=2014536770847&amp;matt_target_id=aud-2009166904988:pla-2014536770847&amp;cq_src=google_ads&amp;cq_cmp=14302215504&amp;cq_net=g&amp;cq_plt=gp&amp;cq_med=pla&amp;gad_source=1&amp;gclid=EAIaIQobChMInffEzeLbiQMVwFVIAB2IYgD1EAQYAyABEgIUNfD_BwE"/>
    <hyperlink ref="G528" r:id="rId22" display="https://produto.mercadolivre.com.br/MLB-1787337670-kit-cacarola-grande-restaurante-5-pecas-_JM?matt_tool=63065976&amp;matt_word=&amp;matt_source=google&amp;matt_campaign_id=14302215534&amp;matt_ad_group_id=154967597988&amp;matt_match_type=&amp;matt_network=g&amp;matt_device=c&amp;matt_creative=649487315899&amp;matt_keyword=&amp;matt_ad_position=&amp;matt_ad_type=pla&amp;matt_merchant_id=216526590&amp;matt_product_id=MLB1787337670&amp;matt_product_partition_id=1960832236233&amp;matt_target_id=aud-2009166904988:pla-1960832236233&amp;cq_src=google_ads&amp;cq_cmp=14302215534&amp;cq_net=g&amp;cq_plt=gp&amp;cq_med=pla&amp;gad_source=1&amp;gclid=EAIaIQobChMIn9Xj3eLbiQMVWSVECB1ygh5QEAQYAyABEgJ2IPD_BwE"/>
    <hyperlink ref="G538" r:id="rId23" display="https://produto.mercadolivre.com.br/MLB-4394801500-mesa-passadeira-de-roupa-grande-jumbo-142-com-suporte-ferro-_JM?matt_tool=68506710&amp;matt_word=&amp;matt_source=google&amp;matt_campaign_id=14302215504&amp;matt_ad_group_id=154967597028&amp;matt_match_type=&amp;matt_network=g&amp;matt_device=c&amp;matt_creative=649487315881&amp;matt_keyword=&amp;matt_ad_position=&amp;matt_ad_type=pla&amp;matt_merchant_id=411380408&amp;matt_product_id=MLB4394801500&amp;matt_product_partition_id=2014536770767&amp;matt_target_id=aud-2009166904988:pla-2014536770767&amp;cq_src=google_ads&amp;cq_cmp=14302215504&amp;cq_net=g&amp;cq_plt=gp&amp;cq_med=pla&amp;gad_source=1&amp;gclid=EAIaIQobChMIw57R-eLbiQMV3iBECB3A0wgXEAQYAiABEgLfhfD_BwE"/>
    <hyperlink ref="G539" r:id="rId24" display="https://produto.mercadolivre.com.br/MLB-4540511064-mesa-dobravel-122-ajusta-de-altura-suporta-150-kg-_JM?matt_tool=47780295&amp;matt_word=&amp;matt_source=google&amp;matt_campaign_id=14302215540&amp;matt_ad_group_id=157843787695&amp;matt_match_type=&amp;matt_network=g&amp;matt_device=c&amp;matt_creative=686778909996&amp;matt_keyword=&amp;matt_ad_position=&amp;matt_ad_type=pla&amp;matt_merchant_id=105657373&amp;matt_product_id=MLB4540511064&amp;matt_product_partition_id=1961862651521&amp;matt_target_id=aud-2009166904988:pla-1961862651521&amp;cq_src=google_ads&amp;cq_cmp=14302215540&amp;cq_net=g&amp;cq_plt=gp&amp;cq_med=pla&amp;gad_source=1&amp;gclid=EAIaIQobChMIwoTZkOPbiQMVuVVIAB1shwC9EAQYAiABEgK_NPD_BwE"/>
    <hyperlink ref="G540" r:id="rId25" display="https://produto.mercadolivre.com.br/MLB-3516833815-armario-roupeiro-aco-12-portas-guarda-volume-trinco-_JM?matt_tool=81686442&amp;matt_word=&amp;matt_source=google&amp;matt_campaign_id=14302215513&amp;matt_ad_group_id=130580034710&amp;matt_match_type=&amp;matt_network=g&amp;matt_device=c&amp;matt_creative=542969737596&amp;matt_keyword=&amp;matt_ad_position=&amp;matt_ad_type=pla&amp;matt_merchant_id=5386182031&amp;matt_product_id=MLB3516833815&amp;matt_product_partition_id=2323205042847&amp;matt_target_id=aud-2009166904988:pla-2323205042847&amp;cq_src=google_ads&amp;cq_cmp=14302215513&amp;cq_net=g&amp;cq_plt=gp&amp;cq_med=pla&amp;gad_source=1&amp;gclid=EAIaIQobChMIu6Ttp-PbiQMVo0JIAB2cOQWsEAQYBCABEgIxsfD_BwE"/>
    <hyperlink ref="G541" r:id="rId26" display="https://www.amazon.com.br/Esta%C3%A7%C3%A3o-Muscula%C3%A7%C3%A3o-Academia-Podiumfit-Me200-65kg/dp/B08642FYQ4/ref=asc_df_B08642FYQ4/?tag=googleshopp00-20&amp;linkCode=df0&amp;hvadid=709857070023&amp;hvpos=&amp;hvnetw=g&amp;hvrand=6554924835057423462&amp;hvpone=&amp;hvptwo=&amp;hvqmt=&amp;hvdev=c&amp;hvdvcmdl=&amp;hvlocint=&amp;hvlocphy=9101555&amp;hvtargid=pla-930540053204&amp;psc=1&amp;mcid=a17b783eea1c386d80d3699710d749b6&amp;gad_source=1"/>
    <hyperlink ref="G542" r:id="rId27" display="https://www.amazon.com.br/Esteira-ergom%C3%A9trica-Dr2110-Dream-Fitness/dp/B07XG2SF77/ref=asc_df_B07XG2SF77/?tag=googleshopp00-20&amp;linkCode=df0&amp;hvadid=709857069984&amp;hvpos=&amp;hvnetw=g&amp;hvrand=14836885530846891182&amp;hvpone=&amp;hvptwo=&amp;hvqmt=&amp;hvdev=c&amp;hvdvcmdl=&amp;hvlocint=&amp;hvlocphy=9101555&amp;hvtargid=pla-916570325914&amp;psc=1&amp;mcid=931090319c903015b63b4be384364a8f&amp;gad_source=1"/>
    <hyperlink ref="G544" r:id="rId28" display="https://www.amazon.com.br/Banco-Supino-Muscula%C3%A7%C3%A3o-Academia-90x30x42cm/dp/B0D51HC7CN/ref=asc_df_B0D51HC7CN/?tag=googleshopp00-20&amp;linkCode=df0&amp;hvadid=709857070023&amp;hvpos=&amp;hvnetw=g&amp;hvrand=9739932977692915275&amp;hvpone=&amp;hvptwo=&amp;hvqmt=&amp;hvdev=c&amp;hvdvcmdl=&amp;hvlocint=&amp;hvlocphy=9101555&amp;hvtargid=pla-2314628788070&amp;psc=1&amp;mcid=599d07ee8ed632609b2cf1c0a0a1e25a&amp;gad_source=1"/>
    <hyperlink ref="G543" r:id="rId29" display="https://www.amazon.com.br/Ergometrica-Ergom%C3%A9trica-Bicicletas-Ergom%C3%A9tricas-Silenciosa/dp/B0DJ7C21YV/ref=asc_df_B0DJ7C21YV/?tag=googleshopp00-20&amp;linkCode=df0&amp;hvadid=709857069984&amp;hvpos=&amp;hvnetw=g&amp;hvrand=11031128221219538495&amp;hvpone=&amp;hvptwo=&amp;hvqmt=&amp;hvdev=c&amp;hvdvcmdl=&amp;hvlocint=&amp;hvlocphy=9101555&amp;hvtargid=pla-2372454745808&amp;psc=1&amp;mcid=121f7e00f2103b46a0a8bd329ee7119b&amp;gad_source=1"/>
    <hyperlink ref="G545" r:id="rId30" display="https://produto.mercadolivre.com.br/MLB-3226402377-kit-halteres-de-1-a-10kg-emborrachados-10-pares-suporte-_JM?matt_tool=65726776&amp;matt_word=&amp;matt_source=google&amp;matt_campaign_id=21817993345&amp;matt_ad_group_id=168458186866&amp;matt_match_type=&amp;matt_network=g&amp;matt_device=c&amp;matt_creative=717401467184&amp;matt_keyword=&amp;matt_ad_position=&amp;matt_ad_type=pla&amp;matt_merchant_id=134385982&amp;matt_product_id=MLB3226402377&amp;matt_product_partition_id=613677686816&amp;matt_target_id=aud-2009166904988:pla-613677686816&amp;cq_src=google_ads&amp;cq_cmp=21817993345&amp;cq_net=g&amp;cq_plt=gp&amp;cq_med=pla&amp;gad_source=1&amp;gclid=EAIaIQobChMIx7TpkOTbiQMVlyJECB3ZSigYEAQYAyABEgIuh_D_BwE"/>
    <hyperlink ref="G546" r:id="rId31" display="https://www.amazon.com.br/Piscina-Bolinhas-500un-Escorrega-Gangorra/dp/B0CHCT33RF/ref=asc_df_B0CHCT33RF/?tag=googleshopp00-20&amp;linkCode=df0&amp;hvadid=709857019626&amp;hvpos=&amp;hvnetw=g&amp;hvrand=13778785945494152306&amp;hvpone=&amp;hvptwo=&amp;hvqmt=&amp;hvdev=c&amp;hvdvcmdl=&amp;hvlocint=&amp;hvlocphy=9101555&amp;hvtargid=pla-2212933292846&amp;psc=1&amp;mcid=bc924582653c36a3a35043696837ffef&amp;gad_source=1"/>
    <hyperlink ref="E11" r:id="rId32"/>
    <hyperlink ref="G529" r:id="rId33" display="https://produto.mercadolivre.com.br/MLB-1086005988-coifa-industrial-130-x-060-dois-dutos-com-motor-e-chapeu-_JM?matt_tool=24471422&amp;matt_word=&amp;matt_source=google&amp;matt_campaign_id=14303413841&amp;matt_ad_group_id=125984300877&amp;matt_match_type=&amp;matt_network=g&amp;matt_device=c&amp;matt_creative=539354957217&amp;matt_keyword=&amp;matt_ad_position=&amp;matt_ad_type=pla&amp;matt_merchant_id=288193372&amp;matt_product_id=MLB1086005988&amp;matt_product_partition_id=2269750507396&amp;matt_target_id=aud-2009166904988:pla-2269750507396&amp;cq_src=google_ads&amp;cq_cmp=14303413841&amp;cq_net=g&amp;cq_plt=gp&amp;cq_med=pla&amp;gad_source=1&amp;gclid=EAIaIQobChMI15yx14nciQMVTF5IAB3tsAOWEAQYAyABEgJPwfD_Bw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T239"/>
  <sheetViews>
    <sheetView view="pageBreakPreview" zoomScaleNormal="100" zoomScaleSheetLayoutView="100" workbookViewId="0">
      <pane ySplit="7" topLeftCell="A225" activePane="bottomLeft" state="frozen"/>
      <selection pane="bottomLeft" activeCell="D233" sqref="D233"/>
    </sheetView>
  </sheetViews>
  <sheetFormatPr defaultColWidth="9.140625" defaultRowHeight="16.5"/>
  <cols>
    <col min="1" max="1" width="12" style="1" bestFit="1" customWidth="1"/>
    <col min="2" max="2" width="9.85546875" style="1" bestFit="1" customWidth="1"/>
    <col min="3" max="3" width="9.140625" style="3"/>
    <col min="4" max="4" width="59.42578125" style="1" bestFit="1" customWidth="1"/>
    <col min="5" max="5" width="11" style="4" bestFit="1" customWidth="1"/>
    <col min="6" max="6" width="15.5703125" style="8" bestFit="1" customWidth="1"/>
    <col min="7" max="7" width="14.5703125" style="9" bestFit="1" customWidth="1"/>
    <col min="8" max="8" width="29" style="9" bestFit="1" customWidth="1"/>
    <col min="9" max="9" width="36.5703125" style="7" bestFit="1" customWidth="1"/>
    <col min="10" max="10" width="9.140625" style="7"/>
    <col min="11" max="15" width="9.140625" style="4"/>
    <col min="16" max="16384" width="9.140625" style="1"/>
  </cols>
  <sheetData>
    <row r="1" spans="1:20">
      <c r="A1" s="73" t="s">
        <v>591</v>
      </c>
      <c r="B1" s="74" t="s">
        <v>592</v>
      </c>
      <c r="C1" s="75"/>
      <c r="D1" s="74"/>
      <c r="E1" s="76"/>
      <c r="F1" s="77"/>
      <c r="G1" s="78" t="s">
        <v>92</v>
      </c>
      <c r="H1" s="79" t="s">
        <v>593</v>
      </c>
    </row>
    <row r="2" spans="1:20">
      <c r="A2" s="151" t="s">
        <v>594</v>
      </c>
      <c r="B2" s="80" t="str">
        <f>Dados!B2</f>
        <v>Praça Lucio Gomes, nº 0000, 64.255-000, Pedro II</v>
      </c>
      <c r="C2" s="150"/>
      <c r="D2" s="80"/>
      <c r="E2" s="81"/>
      <c r="F2" s="82"/>
      <c r="G2" s="72" t="s">
        <v>595</v>
      </c>
      <c r="H2" s="83" t="s">
        <v>596</v>
      </c>
    </row>
    <row r="3" spans="1:20">
      <c r="A3" s="151" t="s">
        <v>597</v>
      </c>
      <c r="B3" s="80" t="s">
        <v>598</v>
      </c>
      <c r="C3" s="80"/>
      <c r="D3" s="80"/>
      <c r="E3" s="81"/>
      <c r="F3" s="82"/>
      <c r="G3" s="72" t="s">
        <v>599</v>
      </c>
      <c r="H3" s="86">
        <v>0.25</v>
      </c>
    </row>
    <row r="4" spans="1:20">
      <c r="A4" s="84"/>
      <c r="B4" s="80"/>
      <c r="C4" s="85"/>
      <c r="D4" s="80"/>
      <c r="E4" s="81"/>
      <c r="F4" s="82"/>
      <c r="G4" s="87"/>
      <c r="H4" s="83"/>
    </row>
    <row r="5" spans="1:20">
      <c r="A5" s="88"/>
      <c r="B5" s="89"/>
      <c r="C5" s="90"/>
      <c r="D5" s="89"/>
      <c r="E5" s="91"/>
      <c r="F5" s="92"/>
      <c r="G5" s="93"/>
      <c r="H5" s="94"/>
    </row>
    <row r="6" spans="1:20" s="2" customFormat="1">
      <c r="A6" s="273" t="s">
        <v>123</v>
      </c>
      <c r="B6" s="273" t="s">
        <v>124</v>
      </c>
      <c r="C6" s="95" t="s">
        <v>125</v>
      </c>
      <c r="D6" s="96" t="s">
        <v>600</v>
      </c>
      <c r="E6" s="253" t="s">
        <v>601</v>
      </c>
      <c r="F6" s="97" t="s">
        <v>602</v>
      </c>
      <c r="G6" s="25" t="s">
        <v>603</v>
      </c>
      <c r="H6" s="25" t="s">
        <v>130</v>
      </c>
      <c r="I6" s="6"/>
      <c r="J6" s="6"/>
      <c r="K6" s="5"/>
      <c r="L6" s="5"/>
      <c r="M6" s="5"/>
      <c r="N6" s="5"/>
      <c r="O6" s="5"/>
    </row>
    <row r="7" spans="1:20" s="2" customFormat="1">
      <c r="A7" s="274"/>
      <c r="B7" s="274"/>
      <c r="C7" s="254">
        <v>1</v>
      </c>
      <c r="D7" s="275" t="s">
        <v>604</v>
      </c>
      <c r="E7" s="276"/>
      <c r="F7" s="276"/>
      <c r="G7" s="277"/>
      <c r="H7" s="13">
        <f>TRUNC(SUM(H8:H11),2)</f>
        <v>180392.94</v>
      </c>
      <c r="I7" s="6"/>
      <c r="J7" s="6"/>
      <c r="K7" s="5"/>
      <c r="L7" s="5"/>
      <c r="M7" s="5"/>
      <c r="N7" s="5"/>
      <c r="O7" s="5"/>
    </row>
    <row r="8" spans="1:20">
      <c r="A8" s="16" t="s">
        <v>92</v>
      </c>
      <c r="B8" s="16" t="s">
        <v>605</v>
      </c>
      <c r="C8" s="15" t="s">
        <v>606</v>
      </c>
      <c r="D8" s="14" t="s">
        <v>607</v>
      </c>
      <c r="E8" s="16" t="s">
        <v>151</v>
      </c>
      <c r="F8" s="17">
        <v>1</v>
      </c>
      <c r="G8" s="18">
        <f>'Eq. Proj.'!I13</f>
        <v>176130.39</v>
      </c>
      <c r="H8" s="18">
        <f>TRUNC(F8*G8,2)</f>
        <v>176130.39</v>
      </c>
    </row>
    <row r="9" spans="1:20">
      <c r="A9" s="16" t="s">
        <v>148</v>
      </c>
      <c r="B9" s="16" t="s">
        <v>149</v>
      </c>
      <c r="C9" s="15" t="s">
        <v>608</v>
      </c>
      <c r="D9" s="14" t="s">
        <v>157</v>
      </c>
      <c r="E9" s="16" t="s">
        <v>151</v>
      </c>
      <c r="F9" s="17">
        <v>1</v>
      </c>
      <c r="G9" s="18">
        <v>262.55</v>
      </c>
      <c r="H9" s="18">
        <f t="shared" ref="H9:H46" si="0">TRUNC(F9*G9,2)</f>
        <v>262.55</v>
      </c>
    </row>
    <row r="10" spans="1:20">
      <c r="A10" s="16"/>
      <c r="B10" s="16"/>
      <c r="C10" s="15" t="s">
        <v>609</v>
      </c>
      <c r="D10" s="14" t="s">
        <v>610</v>
      </c>
      <c r="E10" s="16" t="s">
        <v>156</v>
      </c>
      <c r="F10" s="17">
        <v>1</v>
      </c>
      <c r="G10" s="18">
        <v>2000</v>
      </c>
      <c r="H10" s="18">
        <f t="shared" si="0"/>
        <v>2000</v>
      </c>
    </row>
    <row r="11" spans="1:20" ht="17.25" thickBot="1">
      <c r="A11" s="16"/>
      <c r="B11" s="16"/>
      <c r="C11" s="15" t="s">
        <v>611</v>
      </c>
      <c r="D11" s="14" t="s">
        <v>612</v>
      </c>
      <c r="E11" s="16" t="s">
        <v>156</v>
      </c>
      <c r="F11" s="17">
        <v>1</v>
      </c>
      <c r="G11" s="18">
        <v>2000</v>
      </c>
      <c r="H11" s="18">
        <f t="shared" si="0"/>
        <v>2000</v>
      </c>
    </row>
    <row r="12" spans="1:20" s="2" customFormat="1" ht="17.25" thickBot="1">
      <c r="A12" s="11" t="s">
        <v>123</v>
      </c>
      <c r="B12" s="11" t="s">
        <v>124</v>
      </c>
      <c r="C12" s="10">
        <v>2</v>
      </c>
      <c r="D12" s="270" t="s">
        <v>613</v>
      </c>
      <c r="E12" s="271"/>
      <c r="F12" s="271"/>
      <c r="G12" s="272"/>
      <c r="H12" s="13">
        <f>TRUNC(SUM(H13:H19),2)</f>
        <v>416844.65</v>
      </c>
      <c r="I12" s="6"/>
      <c r="J12" s="6"/>
      <c r="K12" s="5"/>
      <c r="L12" s="5"/>
      <c r="M12" s="5"/>
      <c r="N12" s="5"/>
      <c r="O12" s="5"/>
      <c r="T12" s="2">
        <f>CAPEX!H186/2</f>
        <v>218189.45</v>
      </c>
    </row>
    <row r="13" spans="1:20" s="2" customFormat="1">
      <c r="A13" s="16" t="s">
        <v>92</v>
      </c>
      <c r="B13" s="16">
        <v>103689</v>
      </c>
      <c r="C13" s="15" t="s">
        <v>614</v>
      </c>
      <c r="D13" s="14" t="s">
        <v>615</v>
      </c>
      <c r="E13" s="16" t="s">
        <v>95</v>
      </c>
      <c r="F13" s="19">
        <v>6</v>
      </c>
      <c r="G13" s="18">
        <v>461.44</v>
      </c>
      <c r="H13" s="18">
        <f t="shared" si="0"/>
        <v>2768.64</v>
      </c>
      <c r="I13" s="61" t="s">
        <v>616</v>
      </c>
      <c r="J13" s="7"/>
      <c r="K13" s="4"/>
      <c r="L13" s="4"/>
      <c r="M13" s="4"/>
      <c r="N13" s="4"/>
      <c r="O13" s="4"/>
    </row>
    <row r="14" spans="1:20">
      <c r="A14" s="16" t="s">
        <v>92</v>
      </c>
      <c r="B14" s="16">
        <v>97625</v>
      </c>
      <c r="C14" s="15" t="s">
        <v>617</v>
      </c>
      <c r="D14" s="14" t="s">
        <v>618</v>
      </c>
      <c r="E14" s="16" t="s">
        <v>619</v>
      </c>
      <c r="F14" s="19">
        <f>Premissas!B14</f>
        <v>2241.0990000000002</v>
      </c>
      <c r="G14" s="18">
        <v>53.15</v>
      </c>
      <c r="H14" s="18">
        <f t="shared" si="0"/>
        <v>119114.41</v>
      </c>
      <c r="I14" s="61" t="s">
        <v>620</v>
      </c>
    </row>
    <row r="15" spans="1:20">
      <c r="A15" s="16" t="s">
        <v>92</v>
      </c>
      <c r="B15" s="16">
        <v>97927</v>
      </c>
      <c r="C15" s="15" t="s">
        <v>621</v>
      </c>
      <c r="D15" s="14" t="s">
        <v>622</v>
      </c>
      <c r="E15" s="16" t="s">
        <v>619</v>
      </c>
      <c r="F15" s="19">
        <f>Premissas!B17</f>
        <v>1184.5809000000002</v>
      </c>
      <c r="G15" s="18">
        <v>194.31</v>
      </c>
      <c r="H15" s="18">
        <f t="shared" si="0"/>
        <v>230175.91</v>
      </c>
      <c r="I15" s="61" t="s">
        <v>623</v>
      </c>
    </row>
    <row r="16" spans="1:20">
      <c r="A16" s="16" t="s">
        <v>595</v>
      </c>
      <c r="B16" s="16">
        <v>4413984</v>
      </c>
      <c r="C16" s="15" t="s">
        <v>624</v>
      </c>
      <c r="D16" s="14" t="s">
        <v>53</v>
      </c>
      <c r="E16" s="16" t="s">
        <v>619</v>
      </c>
      <c r="F16" s="19">
        <f>Premissas!B19</f>
        <v>4453.3838700000006</v>
      </c>
      <c r="G16" s="18">
        <v>3.82</v>
      </c>
      <c r="H16" s="18">
        <f t="shared" si="0"/>
        <v>17011.919999999998</v>
      </c>
      <c r="I16" s="61" t="s">
        <v>625</v>
      </c>
    </row>
    <row r="17" spans="1:15">
      <c r="A17" s="16" t="s">
        <v>595</v>
      </c>
      <c r="B17" s="16">
        <v>4800412</v>
      </c>
      <c r="C17" s="15" t="s">
        <v>626</v>
      </c>
      <c r="D17" s="14" t="s">
        <v>627</v>
      </c>
      <c r="E17" s="16" t="s">
        <v>619</v>
      </c>
      <c r="F17" s="19">
        <f>Dados!B4</f>
        <v>4851</v>
      </c>
      <c r="G17" s="18">
        <v>4.09</v>
      </c>
      <c r="H17" s="18">
        <f t="shared" si="0"/>
        <v>19840.59</v>
      </c>
      <c r="I17" s="61" t="s">
        <v>628</v>
      </c>
    </row>
    <row r="18" spans="1:15">
      <c r="A18" s="16" t="s">
        <v>629</v>
      </c>
      <c r="B18" s="16"/>
      <c r="C18" s="15" t="s">
        <v>630</v>
      </c>
      <c r="D18" s="14" t="s">
        <v>631</v>
      </c>
      <c r="E18" s="16" t="s">
        <v>95</v>
      </c>
      <c r="F18" s="19">
        <v>45</v>
      </c>
      <c r="G18" s="18">
        <v>312.06</v>
      </c>
      <c r="H18" s="18">
        <f t="shared" si="0"/>
        <v>14042.7</v>
      </c>
      <c r="I18" s="61" t="s">
        <v>632</v>
      </c>
    </row>
    <row r="19" spans="1:15">
      <c r="A19" s="16" t="s">
        <v>92</v>
      </c>
      <c r="B19" s="16">
        <v>99059</v>
      </c>
      <c r="C19" s="15" t="s">
        <v>633</v>
      </c>
      <c r="D19" s="14" t="s">
        <v>634</v>
      </c>
      <c r="E19" s="16" t="s">
        <v>104</v>
      </c>
      <c r="F19" s="19">
        <v>248</v>
      </c>
      <c r="G19" s="18">
        <v>56.01</v>
      </c>
      <c r="H19" s="18">
        <f t="shared" si="0"/>
        <v>13890.48</v>
      </c>
      <c r="I19" s="61" t="s">
        <v>635</v>
      </c>
    </row>
    <row r="20" spans="1:15" s="2" customFormat="1" ht="17.25" thickBot="1">
      <c r="A20" s="11" t="s">
        <v>123</v>
      </c>
      <c r="B20" s="11" t="s">
        <v>124</v>
      </c>
      <c r="C20" s="10">
        <v>3</v>
      </c>
      <c r="D20" s="270" t="s">
        <v>636</v>
      </c>
      <c r="E20" s="271"/>
      <c r="F20" s="271"/>
      <c r="G20" s="272"/>
      <c r="H20" s="13">
        <f>TRUNC(SUM(H21:H31),2)</f>
        <v>681236.35</v>
      </c>
      <c r="I20" s="6"/>
      <c r="J20" s="6"/>
      <c r="K20" s="5"/>
      <c r="L20" s="5"/>
      <c r="M20" s="5"/>
      <c r="N20" s="5"/>
      <c r="O20" s="5"/>
    </row>
    <row r="21" spans="1:15">
      <c r="A21" s="16" t="s">
        <v>92</v>
      </c>
      <c r="B21" s="16">
        <v>96521</v>
      </c>
      <c r="C21" s="15" t="s">
        <v>637</v>
      </c>
      <c r="D21" s="14" t="s">
        <v>55</v>
      </c>
      <c r="E21" s="16" t="s">
        <v>619</v>
      </c>
      <c r="F21" s="19">
        <f>Quantitativos!F21+Quantitativos!F37+Quantitativos!F41</f>
        <v>725.18999999999994</v>
      </c>
      <c r="G21" s="18">
        <v>40.08</v>
      </c>
      <c r="H21" s="21">
        <f t="shared" si="0"/>
        <v>29065.61</v>
      </c>
      <c r="I21" s="61" t="s">
        <v>638</v>
      </c>
    </row>
    <row r="22" spans="1:15">
      <c r="A22" s="16" t="s">
        <v>92</v>
      </c>
      <c r="B22" s="16">
        <v>97083</v>
      </c>
      <c r="C22" s="15" t="s">
        <v>639</v>
      </c>
      <c r="D22" s="14" t="s">
        <v>193</v>
      </c>
      <c r="E22" s="16" t="s">
        <v>95</v>
      </c>
      <c r="F22" s="19">
        <f>Quantitativos!F51</f>
        <v>663.56</v>
      </c>
      <c r="G22" s="18">
        <v>3.17</v>
      </c>
      <c r="H22" s="18">
        <f t="shared" si="0"/>
        <v>2103.48</v>
      </c>
      <c r="I22" s="61" t="s">
        <v>640</v>
      </c>
    </row>
    <row r="23" spans="1:15">
      <c r="A23" s="16" t="s">
        <v>92</v>
      </c>
      <c r="B23" s="16">
        <v>96619</v>
      </c>
      <c r="C23" s="15" t="s">
        <v>641</v>
      </c>
      <c r="D23" s="14" t="s">
        <v>642</v>
      </c>
      <c r="E23" s="16" t="s">
        <v>619</v>
      </c>
      <c r="F23" s="19">
        <f>Quantitativos!F61</f>
        <v>33.049999999999997</v>
      </c>
      <c r="G23" s="18">
        <v>47.17</v>
      </c>
      <c r="H23" s="18">
        <f t="shared" si="0"/>
        <v>1558.96</v>
      </c>
      <c r="I23" s="61" t="s">
        <v>643</v>
      </c>
    </row>
    <row r="24" spans="1:15">
      <c r="A24" s="16" t="s">
        <v>92</v>
      </c>
      <c r="B24" s="16">
        <v>102487</v>
      </c>
      <c r="C24" s="15" t="s">
        <v>644</v>
      </c>
      <c r="D24" s="14" t="s">
        <v>645</v>
      </c>
      <c r="E24" s="16" t="s">
        <v>619</v>
      </c>
      <c r="F24" s="19">
        <f>Quantitativos!F70</f>
        <v>156.22000000000003</v>
      </c>
      <c r="G24" s="18">
        <v>750.58</v>
      </c>
      <c r="H24" s="18">
        <f t="shared" si="0"/>
        <v>117255.6</v>
      </c>
      <c r="I24" s="61" t="s">
        <v>646</v>
      </c>
    </row>
    <row r="25" spans="1:15">
      <c r="A25" s="16" t="s">
        <v>92</v>
      </c>
      <c r="B25" s="16">
        <v>101166</v>
      </c>
      <c r="C25" s="15" t="s">
        <v>647</v>
      </c>
      <c r="D25" s="14" t="s">
        <v>648</v>
      </c>
      <c r="E25" s="16" t="s">
        <v>619</v>
      </c>
      <c r="F25" s="19">
        <f>Quantitativos!F79</f>
        <v>125.10999999999999</v>
      </c>
      <c r="G25" s="18">
        <v>663.24</v>
      </c>
      <c r="H25" s="18">
        <f t="shared" si="0"/>
        <v>82977.95</v>
      </c>
      <c r="I25" s="61" t="s">
        <v>649</v>
      </c>
    </row>
    <row r="26" spans="1:15">
      <c r="A26" s="16" t="s">
        <v>92</v>
      </c>
      <c r="B26" s="16">
        <v>92270</v>
      </c>
      <c r="C26" s="15" t="s">
        <v>650</v>
      </c>
      <c r="D26" s="14" t="s">
        <v>199</v>
      </c>
      <c r="E26" s="16" t="s">
        <v>95</v>
      </c>
      <c r="F26" s="19">
        <f>Quantitativos!F84</f>
        <v>1228.78</v>
      </c>
      <c r="G26" s="18">
        <v>123.06</v>
      </c>
      <c r="H26" s="18">
        <f t="shared" si="0"/>
        <v>151213.66</v>
      </c>
      <c r="I26" s="61" t="s">
        <v>651</v>
      </c>
    </row>
    <row r="27" spans="1:15">
      <c r="A27" s="16" t="s">
        <v>92</v>
      </c>
      <c r="B27" s="16">
        <v>92762</v>
      </c>
      <c r="C27" s="15" t="s">
        <v>652</v>
      </c>
      <c r="D27" s="14" t="s">
        <v>653</v>
      </c>
      <c r="E27" s="16" t="s">
        <v>117</v>
      </c>
      <c r="F27" s="19">
        <f>Quantitativos!F90</f>
        <v>10539.24</v>
      </c>
      <c r="G27" s="18">
        <v>10.98</v>
      </c>
      <c r="H27" s="18">
        <f t="shared" si="0"/>
        <v>115720.85</v>
      </c>
      <c r="I27" s="61" t="s">
        <v>654</v>
      </c>
    </row>
    <row r="28" spans="1:15">
      <c r="A28" s="16" t="s">
        <v>92</v>
      </c>
      <c r="B28" s="16">
        <v>92759</v>
      </c>
      <c r="C28" s="15" t="s">
        <v>655</v>
      </c>
      <c r="D28" s="14" t="s">
        <v>656</v>
      </c>
      <c r="E28" s="16" t="s">
        <v>117</v>
      </c>
      <c r="F28" s="19">
        <f>Quantitativos!F91</f>
        <v>1516.44</v>
      </c>
      <c r="G28" s="18">
        <v>13.78</v>
      </c>
      <c r="H28" s="18">
        <f t="shared" si="0"/>
        <v>20896.54</v>
      </c>
      <c r="I28" s="61" t="s">
        <v>657</v>
      </c>
    </row>
    <row r="29" spans="1:15">
      <c r="A29" s="16" t="s">
        <v>92</v>
      </c>
      <c r="B29" s="16">
        <v>94965</v>
      </c>
      <c r="C29" s="15" t="s">
        <v>658</v>
      </c>
      <c r="D29" s="14" t="s">
        <v>659</v>
      </c>
      <c r="E29" s="16" t="s">
        <v>619</v>
      </c>
      <c r="F29" s="19">
        <f>Quantitativos!G96</f>
        <v>144.61000000000001</v>
      </c>
      <c r="G29" s="18">
        <v>664.37</v>
      </c>
      <c r="H29" s="18">
        <f t="shared" si="0"/>
        <v>96074.54</v>
      </c>
      <c r="I29" s="61" t="s">
        <v>660</v>
      </c>
    </row>
    <row r="30" spans="1:15">
      <c r="A30" s="16" t="s">
        <v>92</v>
      </c>
      <c r="B30" s="16">
        <v>98557</v>
      </c>
      <c r="C30" s="15" t="s">
        <v>661</v>
      </c>
      <c r="D30" s="14" t="s">
        <v>662</v>
      </c>
      <c r="E30" s="16" t="s">
        <v>95</v>
      </c>
      <c r="F30" s="19">
        <f>Quantitativos!G101</f>
        <v>1016.85</v>
      </c>
      <c r="G30" s="18">
        <v>48.44</v>
      </c>
      <c r="H30" s="18">
        <f t="shared" si="0"/>
        <v>49256.21</v>
      </c>
      <c r="I30" s="61" t="s">
        <v>663</v>
      </c>
    </row>
    <row r="31" spans="1:15">
      <c r="A31" s="16" t="s">
        <v>92</v>
      </c>
      <c r="B31" s="16">
        <v>104737</v>
      </c>
      <c r="C31" s="15" t="s">
        <v>664</v>
      </c>
      <c r="D31" s="14" t="s">
        <v>665</v>
      </c>
      <c r="E31" s="16" t="s">
        <v>619</v>
      </c>
      <c r="F31" s="19">
        <f>F21</f>
        <v>725.18999999999994</v>
      </c>
      <c r="G31" s="18">
        <v>20.84</v>
      </c>
      <c r="H31" s="18">
        <f t="shared" si="0"/>
        <v>15112.95</v>
      </c>
      <c r="I31" s="61" t="s">
        <v>666</v>
      </c>
    </row>
    <row r="32" spans="1:15" s="2" customFormat="1" ht="17.25" thickBot="1">
      <c r="A32" s="11" t="s">
        <v>123</v>
      </c>
      <c r="B32" s="11" t="s">
        <v>124</v>
      </c>
      <c r="C32" s="10">
        <v>4</v>
      </c>
      <c r="D32" s="270" t="s">
        <v>667</v>
      </c>
      <c r="E32" s="271"/>
      <c r="F32" s="271"/>
      <c r="G32" s="272"/>
      <c r="H32" s="13">
        <f>TRUNC(SUM(H33:H39),2)</f>
        <v>307935.01</v>
      </c>
      <c r="I32" s="6"/>
      <c r="J32" s="6"/>
      <c r="K32" s="5"/>
      <c r="L32" s="5"/>
      <c r="M32" s="5"/>
      <c r="N32" s="5"/>
      <c r="O32" s="5"/>
    </row>
    <row r="33" spans="1:15">
      <c r="A33" s="16" t="s">
        <v>92</v>
      </c>
      <c r="B33" s="16">
        <v>92762</v>
      </c>
      <c r="C33" s="15" t="s">
        <v>668</v>
      </c>
      <c r="D33" s="14" t="s">
        <v>669</v>
      </c>
      <c r="E33" s="16" t="s">
        <v>117</v>
      </c>
      <c r="F33" s="19">
        <f>Quantitativos!F117</f>
        <v>10669.84</v>
      </c>
      <c r="G33" s="18">
        <v>10.98</v>
      </c>
      <c r="H33" s="18">
        <f t="shared" si="0"/>
        <v>117154.84</v>
      </c>
      <c r="I33" s="61" t="s">
        <v>654</v>
      </c>
    </row>
    <row r="34" spans="1:15">
      <c r="A34" s="16" t="s">
        <v>92</v>
      </c>
      <c r="B34" s="16">
        <v>92759</v>
      </c>
      <c r="C34" s="15" t="s">
        <v>670</v>
      </c>
      <c r="D34" s="14" t="s">
        <v>671</v>
      </c>
      <c r="E34" s="16" t="s">
        <v>117</v>
      </c>
      <c r="F34" s="19">
        <f>Quantitativos!F118</f>
        <v>3659.46</v>
      </c>
      <c r="G34" s="18">
        <v>13.78</v>
      </c>
      <c r="H34" s="18">
        <f t="shared" si="0"/>
        <v>50427.35</v>
      </c>
      <c r="I34" s="61" t="s">
        <v>657</v>
      </c>
    </row>
    <row r="35" spans="1:15">
      <c r="A35" s="16" t="s">
        <v>92</v>
      </c>
      <c r="B35" s="16">
        <v>92270</v>
      </c>
      <c r="C35" s="15" t="s">
        <v>672</v>
      </c>
      <c r="D35" s="14" t="s">
        <v>199</v>
      </c>
      <c r="E35" s="16" t="s">
        <v>95</v>
      </c>
      <c r="F35" s="19">
        <f>Quantitativos!G107</f>
        <v>352.7</v>
      </c>
      <c r="G35" s="18">
        <v>123.06</v>
      </c>
      <c r="H35" s="18">
        <f t="shared" si="0"/>
        <v>43403.26</v>
      </c>
      <c r="I35" s="61" t="s">
        <v>651</v>
      </c>
    </row>
    <row r="36" spans="1:15">
      <c r="A36" s="16" t="s">
        <v>92</v>
      </c>
      <c r="B36" s="16">
        <v>92268</v>
      </c>
      <c r="C36" s="15" t="s">
        <v>673</v>
      </c>
      <c r="D36" s="14" t="s">
        <v>674</v>
      </c>
      <c r="E36" s="16" t="s">
        <v>95</v>
      </c>
      <c r="F36" s="19">
        <f>Quantitativos!G108</f>
        <v>34</v>
      </c>
      <c r="G36" s="18">
        <v>111.19</v>
      </c>
      <c r="H36" s="18">
        <f t="shared" si="0"/>
        <v>3780.46</v>
      </c>
      <c r="I36" s="61" t="s">
        <v>675</v>
      </c>
    </row>
    <row r="37" spans="1:15">
      <c r="A37" s="16" t="s">
        <v>92</v>
      </c>
      <c r="B37" s="16">
        <v>103328</v>
      </c>
      <c r="C37" s="15" t="s">
        <v>676</v>
      </c>
      <c r="D37" s="14" t="s">
        <v>677</v>
      </c>
      <c r="E37" s="16" t="s">
        <v>95</v>
      </c>
      <c r="F37" s="19">
        <f>Quantitativos!G109</f>
        <v>34</v>
      </c>
      <c r="G37" s="18">
        <v>88.31</v>
      </c>
      <c r="H37" s="18">
        <f t="shared" si="0"/>
        <v>3002.54</v>
      </c>
      <c r="I37" s="61" t="s">
        <v>678</v>
      </c>
    </row>
    <row r="38" spans="1:15">
      <c r="A38" s="16" t="s">
        <v>92</v>
      </c>
      <c r="B38" s="16">
        <v>94965</v>
      </c>
      <c r="C38" s="15" t="s">
        <v>679</v>
      </c>
      <c r="D38" s="14" t="s">
        <v>659</v>
      </c>
      <c r="E38" s="16" t="s">
        <v>619</v>
      </c>
      <c r="F38" s="19">
        <f>Quantitativos!G124</f>
        <v>127.175</v>
      </c>
      <c r="G38" s="18">
        <v>664.37</v>
      </c>
      <c r="H38" s="18">
        <f t="shared" si="0"/>
        <v>84491.25</v>
      </c>
      <c r="I38" s="61" t="s">
        <v>660</v>
      </c>
    </row>
    <row r="39" spans="1:15">
      <c r="A39" s="16" t="s">
        <v>92</v>
      </c>
      <c r="B39" s="16">
        <v>98556</v>
      </c>
      <c r="C39" s="15" t="s">
        <v>680</v>
      </c>
      <c r="D39" s="14" t="s">
        <v>681</v>
      </c>
      <c r="E39" s="16" t="s">
        <v>95</v>
      </c>
      <c r="F39" s="19">
        <f>Quantitativos!G130</f>
        <v>81.25</v>
      </c>
      <c r="G39" s="18">
        <v>69.849999999999994</v>
      </c>
      <c r="H39" s="18">
        <f t="shared" si="0"/>
        <v>5675.31</v>
      </c>
      <c r="I39" s="61" t="s">
        <v>682</v>
      </c>
    </row>
    <row r="40" spans="1:15" s="2" customFormat="1" ht="17.25" thickBot="1">
      <c r="A40" s="11" t="s">
        <v>123</v>
      </c>
      <c r="B40" s="11" t="s">
        <v>124</v>
      </c>
      <c r="C40" s="10">
        <v>5</v>
      </c>
      <c r="D40" s="270" t="s">
        <v>683</v>
      </c>
      <c r="E40" s="271"/>
      <c r="F40" s="271"/>
      <c r="G40" s="272"/>
      <c r="H40" s="13">
        <f>TRUNC(SUM(H41:H42),2)</f>
        <v>795652.06</v>
      </c>
      <c r="I40" s="6"/>
      <c r="J40" s="6"/>
      <c r="K40" s="5"/>
      <c r="L40" s="5"/>
      <c r="M40" s="5"/>
      <c r="N40" s="5"/>
      <c r="O40" s="5"/>
    </row>
    <row r="41" spans="1:15">
      <c r="A41" s="16" t="s">
        <v>92</v>
      </c>
      <c r="B41" s="16">
        <v>103332</v>
      </c>
      <c r="C41" s="15" t="s">
        <v>684</v>
      </c>
      <c r="D41" s="14" t="s">
        <v>685</v>
      </c>
      <c r="E41" s="16" t="s">
        <v>95</v>
      </c>
      <c r="F41" s="19">
        <f>Quantitativos!D139</f>
        <v>6487.44</v>
      </c>
      <c r="G41" s="18">
        <v>115.68</v>
      </c>
      <c r="H41" s="18">
        <f t="shared" si="0"/>
        <v>750467.05</v>
      </c>
      <c r="I41" s="61" t="s">
        <v>686</v>
      </c>
    </row>
    <row r="42" spans="1:15">
      <c r="A42" s="16" t="s">
        <v>92</v>
      </c>
      <c r="B42" s="16">
        <v>93202</v>
      </c>
      <c r="C42" s="15" t="s">
        <v>687</v>
      </c>
      <c r="D42" s="14" t="s">
        <v>688</v>
      </c>
      <c r="E42" s="16" t="s">
        <v>104</v>
      </c>
      <c r="F42" s="19">
        <f>Quantitativos!B148</f>
        <v>1621.86</v>
      </c>
      <c r="G42" s="18">
        <v>27.86</v>
      </c>
      <c r="H42" s="18">
        <f t="shared" si="0"/>
        <v>45185.01</v>
      </c>
      <c r="I42" s="61" t="s">
        <v>689</v>
      </c>
    </row>
    <row r="43" spans="1:15" s="2" customFormat="1">
      <c r="A43" s="11" t="s">
        <v>123</v>
      </c>
      <c r="B43" s="11" t="s">
        <v>124</v>
      </c>
      <c r="C43" s="10">
        <v>6</v>
      </c>
      <c r="D43" s="270" t="s">
        <v>690</v>
      </c>
      <c r="E43" s="271"/>
      <c r="F43" s="271"/>
      <c r="G43" s="272"/>
      <c r="H43" s="13">
        <f>TRUNC(SUM(H44:H46),2)</f>
        <v>148179.46</v>
      </c>
      <c r="I43" s="61"/>
      <c r="J43" s="6"/>
      <c r="K43" s="5"/>
      <c r="L43" s="5"/>
      <c r="M43" s="5"/>
      <c r="N43" s="5"/>
      <c r="O43" s="5"/>
    </row>
    <row r="44" spans="1:15">
      <c r="A44" s="16" t="s">
        <v>92</v>
      </c>
      <c r="B44" s="16">
        <v>92539</v>
      </c>
      <c r="C44" s="15" t="s">
        <v>691</v>
      </c>
      <c r="D44" s="14" t="s">
        <v>692</v>
      </c>
      <c r="E44" s="20" t="s">
        <v>95</v>
      </c>
      <c r="F44" s="19">
        <f>Quantitativos!E166</f>
        <v>2509.0913100000002</v>
      </c>
      <c r="G44" s="18">
        <v>56.13</v>
      </c>
      <c r="H44" s="18">
        <f t="shared" si="0"/>
        <v>140835.29</v>
      </c>
      <c r="I44" s="61" t="s">
        <v>693</v>
      </c>
    </row>
    <row r="45" spans="1:15">
      <c r="A45" s="16" t="s">
        <v>92</v>
      </c>
      <c r="B45" s="16">
        <v>92554</v>
      </c>
      <c r="C45" s="15" t="s">
        <v>694</v>
      </c>
      <c r="D45" s="14" t="s">
        <v>695</v>
      </c>
      <c r="E45" s="20" t="s">
        <v>151</v>
      </c>
      <c r="F45" s="19">
        <v>2</v>
      </c>
      <c r="G45" s="18">
        <v>2417.54</v>
      </c>
      <c r="H45" s="18">
        <f t="shared" si="0"/>
        <v>4835.08</v>
      </c>
      <c r="I45" s="61" t="s">
        <v>696</v>
      </c>
    </row>
    <row r="46" spans="1:15">
      <c r="A46" s="16" t="s">
        <v>92</v>
      </c>
      <c r="B46" s="16">
        <v>94195</v>
      </c>
      <c r="C46" s="15" t="s">
        <v>697</v>
      </c>
      <c r="D46" s="14" t="s">
        <v>698</v>
      </c>
      <c r="E46" s="20" t="s">
        <v>95</v>
      </c>
      <c r="F46" s="19">
        <f>Quantitativos!F166</f>
        <v>2509.0913100000002</v>
      </c>
      <c r="G46" s="18">
        <v>1</v>
      </c>
      <c r="H46" s="18">
        <f t="shared" si="0"/>
        <v>2509.09</v>
      </c>
      <c r="I46" s="61" t="s">
        <v>699</v>
      </c>
    </row>
    <row r="47" spans="1:15" s="2" customFormat="1">
      <c r="A47" s="268" t="s">
        <v>123</v>
      </c>
      <c r="B47" s="268" t="s">
        <v>124</v>
      </c>
      <c r="C47" s="10">
        <v>7</v>
      </c>
      <c r="D47" s="270" t="s">
        <v>700</v>
      </c>
      <c r="E47" s="271"/>
      <c r="F47" s="271"/>
      <c r="G47" s="272"/>
      <c r="H47" s="13">
        <f>TRUNC(SUM(H48+H78+H106+H110+H116+H123+H151+H158+H164),2)</f>
        <v>669299.91</v>
      </c>
      <c r="I47" s="61"/>
      <c r="J47" s="6"/>
      <c r="K47" s="5"/>
      <c r="L47" s="5"/>
      <c r="M47" s="5"/>
      <c r="N47" s="5"/>
      <c r="O47" s="5"/>
    </row>
    <row r="48" spans="1:15" s="2" customFormat="1">
      <c r="A48" s="269"/>
      <c r="B48" s="269"/>
      <c r="C48" s="10" t="s">
        <v>701</v>
      </c>
      <c r="D48" s="270" t="s">
        <v>702</v>
      </c>
      <c r="E48" s="271"/>
      <c r="F48" s="271"/>
      <c r="G48" s="272"/>
      <c r="H48" s="13">
        <f>TRUNC(SUM(H49:H77),2)</f>
        <v>47035.96</v>
      </c>
      <c r="I48" s="61"/>
      <c r="J48" s="6"/>
      <c r="K48" s="5"/>
      <c r="L48" s="5"/>
      <c r="M48" s="5"/>
      <c r="N48" s="5"/>
      <c r="O48" s="5"/>
    </row>
    <row r="49" spans="1:9">
      <c r="A49" s="16" t="s">
        <v>92</v>
      </c>
      <c r="B49" s="16">
        <v>104779</v>
      </c>
      <c r="C49" s="15" t="s">
        <v>703</v>
      </c>
      <c r="D49" s="14" t="s">
        <v>246</v>
      </c>
      <c r="E49" s="16" t="s">
        <v>104</v>
      </c>
      <c r="F49" s="19">
        <f>Quantitativos!O172</f>
        <v>302.45999999999998</v>
      </c>
      <c r="G49" s="18">
        <v>6.04</v>
      </c>
      <c r="H49" s="18">
        <f t="shared" ref="H49:H92" si="1">TRUNC(F49*G49,2)</f>
        <v>1826.85</v>
      </c>
      <c r="I49" s="61" t="s">
        <v>704</v>
      </c>
    </row>
    <row r="50" spans="1:9">
      <c r="A50" s="16" t="s">
        <v>92</v>
      </c>
      <c r="B50" s="16">
        <v>89449</v>
      </c>
      <c r="C50" s="15" t="s">
        <v>705</v>
      </c>
      <c r="D50" s="14" t="s">
        <v>249</v>
      </c>
      <c r="E50" s="16" t="s">
        <v>104</v>
      </c>
      <c r="F50" s="19">
        <f>Quantitativos!O173</f>
        <v>96</v>
      </c>
      <c r="G50" s="18">
        <v>15.95</v>
      </c>
      <c r="H50" s="18">
        <f t="shared" si="1"/>
        <v>1531.2</v>
      </c>
      <c r="I50" s="61" t="s">
        <v>706</v>
      </c>
    </row>
    <row r="51" spans="1:9">
      <c r="A51" s="16" t="s">
        <v>92</v>
      </c>
      <c r="B51" s="16">
        <v>89403</v>
      </c>
      <c r="C51" s="15" t="s">
        <v>707</v>
      </c>
      <c r="D51" s="14" t="s">
        <v>250</v>
      </c>
      <c r="E51" s="16" t="s">
        <v>104</v>
      </c>
      <c r="F51" s="19">
        <f>Quantitativos!O174</f>
        <v>241</v>
      </c>
      <c r="G51" s="18">
        <v>17.13</v>
      </c>
      <c r="H51" s="18">
        <f t="shared" si="1"/>
        <v>4128.33</v>
      </c>
      <c r="I51" s="61" t="s">
        <v>708</v>
      </c>
    </row>
    <row r="52" spans="1:9">
      <c r="A52" s="16" t="s">
        <v>92</v>
      </c>
      <c r="B52" s="16">
        <v>89356</v>
      </c>
      <c r="C52" s="15" t="s">
        <v>709</v>
      </c>
      <c r="D52" s="14" t="s">
        <v>251</v>
      </c>
      <c r="E52" s="16" t="s">
        <v>104</v>
      </c>
      <c r="F52" s="19">
        <f>Quantitativos!O175</f>
        <v>302.45999999999998</v>
      </c>
      <c r="G52" s="18">
        <v>21.51</v>
      </c>
      <c r="H52" s="18">
        <f t="shared" si="1"/>
        <v>6505.91</v>
      </c>
      <c r="I52" s="61" t="s">
        <v>710</v>
      </c>
    </row>
    <row r="53" spans="1:9">
      <c r="A53" s="16" t="s">
        <v>92</v>
      </c>
      <c r="B53" s="16">
        <v>89575</v>
      </c>
      <c r="C53" s="15" t="s">
        <v>711</v>
      </c>
      <c r="D53" s="14" t="s">
        <v>253</v>
      </c>
      <c r="E53" s="16" t="s">
        <v>151</v>
      </c>
      <c r="F53" s="19">
        <f>Quantitativos!O177</f>
        <v>6</v>
      </c>
      <c r="G53" s="18">
        <v>10.57</v>
      </c>
      <c r="H53" s="18">
        <f t="shared" si="1"/>
        <v>63.42</v>
      </c>
      <c r="I53" s="61" t="s">
        <v>712</v>
      </c>
    </row>
    <row r="54" spans="1:9">
      <c r="A54" s="16" t="s">
        <v>92</v>
      </c>
      <c r="B54" s="16">
        <v>89386</v>
      </c>
      <c r="C54" s="15" t="s">
        <v>713</v>
      </c>
      <c r="D54" s="14" t="s">
        <v>254</v>
      </c>
      <c r="E54" s="16" t="s">
        <v>151</v>
      </c>
      <c r="F54" s="19">
        <f>Quantitativos!O178</f>
        <v>65</v>
      </c>
      <c r="G54" s="18">
        <v>8.86</v>
      </c>
      <c r="H54" s="18">
        <f t="shared" si="1"/>
        <v>575.9</v>
      </c>
      <c r="I54" s="61" t="s">
        <v>714</v>
      </c>
    </row>
    <row r="55" spans="1:9">
      <c r="A55" s="16" t="s">
        <v>92</v>
      </c>
      <c r="B55" s="16">
        <v>89378</v>
      </c>
      <c r="C55" s="15" t="s">
        <v>715</v>
      </c>
      <c r="D55" s="14" t="s">
        <v>255</v>
      </c>
      <c r="E55" s="16" t="s">
        <v>151</v>
      </c>
      <c r="F55" s="19">
        <f>Quantitativos!O179</f>
        <v>66</v>
      </c>
      <c r="G55" s="18">
        <v>6.52</v>
      </c>
      <c r="H55" s="18">
        <f t="shared" si="1"/>
        <v>430.32</v>
      </c>
      <c r="I55" s="61" t="s">
        <v>716</v>
      </c>
    </row>
    <row r="56" spans="1:9">
      <c r="A56" s="16" t="s">
        <v>92</v>
      </c>
      <c r="B56" s="16">
        <v>102616</v>
      </c>
      <c r="C56" s="15" t="s">
        <v>717</v>
      </c>
      <c r="D56" s="14" t="s">
        <v>718</v>
      </c>
      <c r="E56" s="16" t="s">
        <v>151</v>
      </c>
      <c r="F56" s="19">
        <f>Quantitativos!O181</f>
        <v>4</v>
      </c>
      <c r="G56" s="18">
        <v>2120.06</v>
      </c>
      <c r="H56" s="18">
        <f t="shared" si="1"/>
        <v>8480.24</v>
      </c>
      <c r="I56" s="61" t="s">
        <v>719</v>
      </c>
    </row>
    <row r="57" spans="1:9">
      <c r="A57" s="16" t="s">
        <v>92</v>
      </c>
      <c r="B57" s="16">
        <v>94706</v>
      </c>
      <c r="C57" s="15" t="s">
        <v>720</v>
      </c>
      <c r="D57" s="14" t="s">
        <v>721</v>
      </c>
      <c r="E57" s="16" t="s">
        <v>151</v>
      </c>
      <c r="F57" s="19">
        <f>Quantitativos!O182</f>
        <v>12</v>
      </c>
      <c r="G57" s="18">
        <v>31.44</v>
      </c>
      <c r="H57" s="18">
        <f t="shared" si="1"/>
        <v>377.28</v>
      </c>
      <c r="I57" s="61" t="s">
        <v>722</v>
      </c>
    </row>
    <row r="58" spans="1:9">
      <c r="A58" s="16" t="s">
        <v>92</v>
      </c>
      <c r="B58" s="16">
        <v>94704</v>
      </c>
      <c r="C58" s="15" t="s">
        <v>723</v>
      </c>
      <c r="D58" s="14" t="s">
        <v>724</v>
      </c>
      <c r="E58" s="16" t="s">
        <v>151</v>
      </c>
      <c r="F58" s="19">
        <f>Quantitativos!O183</f>
        <v>4</v>
      </c>
      <c r="G58" s="18">
        <v>23.49</v>
      </c>
      <c r="H58" s="18">
        <f t="shared" si="1"/>
        <v>93.96</v>
      </c>
      <c r="I58" s="61" t="s">
        <v>725</v>
      </c>
    </row>
    <row r="59" spans="1:9">
      <c r="A59" s="16" t="s">
        <v>92</v>
      </c>
      <c r="B59" s="16">
        <v>94492</v>
      </c>
      <c r="C59" s="15" t="s">
        <v>726</v>
      </c>
      <c r="D59" s="14" t="s">
        <v>261</v>
      </c>
      <c r="E59" s="16" t="s">
        <v>151</v>
      </c>
      <c r="F59" s="19">
        <f>Quantitativos!O184</f>
        <v>8</v>
      </c>
      <c r="G59" s="18">
        <v>68.81</v>
      </c>
      <c r="H59" s="18">
        <f t="shared" si="1"/>
        <v>550.48</v>
      </c>
      <c r="I59" s="61" t="s">
        <v>727</v>
      </c>
    </row>
    <row r="60" spans="1:9">
      <c r="A60" s="16" t="s">
        <v>92</v>
      </c>
      <c r="B60" s="16">
        <v>94490</v>
      </c>
      <c r="C60" s="15" t="s">
        <v>728</v>
      </c>
      <c r="D60" s="14" t="s">
        <v>262</v>
      </c>
      <c r="E60" s="16" t="s">
        <v>151</v>
      </c>
      <c r="F60" s="19">
        <f>Quantitativos!O185</f>
        <v>2</v>
      </c>
      <c r="G60" s="18">
        <v>49.16</v>
      </c>
      <c r="H60" s="18">
        <f t="shared" si="1"/>
        <v>98.32</v>
      </c>
      <c r="I60" s="61" t="s">
        <v>729</v>
      </c>
    </row>
    <row r="61" spans="1:9">
      <c r="A61" s="16" t="s">
        <v>92</v>
      </c>
      <c r="B61" s="16">
        <v>89594</v>
      </c>
      <c r="C61" s="15" t="s">
        <v>730</v>
      </c>
      <c r="D61" s="14" t="s">
        <v>263</v>
      </c>
      <c r="E61" s="16" t="s">
        <v>151</v>
      </c>
      <c r="F61" s="19">
        <f>Quantitativos!O186</f>
        <v>8</v>
      </c>
      <c r="G61" s="18">
        <v>31.25</v>
      </c>
      <c r="H61" s="18">
        <f t="shared" si="1"/>
        <v>250</v>
      </c>
      <c r="I61" s="61" t="s">
        <v>731</v>
      </c>
    </row>
    <row r="62" spans="1:9">
      <c r="A62" s="16" t="s">
        <v>92</v>
      </c>
      <c r="B62" s="16">
        <v>89435</v>
      </c>
      <c r="C62" s="15" t="s">
        <v>732</v>
      </c>
      <c r="D62" s="14" t="s">
        <v>264</v>
      </c>
      <c r="E62" s="16" t="s">
        <v>151</v>
      </c>
      <c r="F62" s="19">
        <f>Quantitativos!O187</f>
        <v>4</v>
      </c>
      <c r="G62" s="18">
        <v>18.440000000000001</v>
      </c>
      <c r="H62" s="18">
        <f t="shared" si="1"/>
        <v>73.760000000000005</v>
      </c>
      <c r="I62" s="61" t="s">
        <v>733</v>
      </c>
    </row>
    <row r="63" spans="1:9">
      <c r="A63" s="16" t="s">
        <v>92</v>
      </c>
      <c r="B63" s="16">
        <v>90373</v>
      </c>
      <c r="C63" s="15" t="s">
        <v>734</v>
      </c>
      <c r="D63" s="14" t="s">
        <v>265</v>
      </c>
      <c r="E63" s="16" t="s">
        <v>151</v>
      </c>
      <c r="F63" s="19">
        <f>Quantitativos!O188</f>
        <v>252</v>
      </c>
      <c r="G63" s="18">
        <v>11.17</v>
      </c>
      <c r="H63" s="18">
        <f t="shared" si="1"/>
        <v>2814.84</v>
      </c>
      <c r="I63" s="61" t="s">
        <v>735</v>
      </c>
    </row>
    <row r="64" spans="1:9">
      <c r="A64" s="16" t="s">
        <v>92</v>
      </c>
      <c r="B64" s="16">
        <v>90374</v>
      </c>
      <c r="C64" s="15" t="s">
        <v>736</v>
      </c>
      <c r="D64" s="14" t="s">
        <v>266</v>
      </c>
      <c r="E64" s="16" t="s">
        <v>151</v>
      </c>
      <c r="F64" s="19">
        <f>Quantitativos!O189</f>
        <v>4</v>
      </c>
      <c r="G64" s="18">
        <v>19.940000000000001</v>
      </c>
      <c r="H64" s="18">
        <f t="shared" si="1"/>
        <v>79.760000000000005</v>
      </c>
      <c r="I64" s="61" t="s">
        <v>737</v>
      </c>
    </row>
    <row r="65" spans="1:15">
      <c r="A65" s="16" t="s">
        <v>92</v>
      </c>
      <c r="B65" s="16">
        <v>103986</v>
      </c>
      <c r="C65" s="15" t="s">
        <v>738</v>
      </c>
      <c r="D65" s="14" t="s">
        <v>739</v>
      </c>
      <c r="E65" s="16" t="s">
        <v>151</v>
      </c>
      <c r="F65" s="19">
        <f>Quantitativos!O190</f>
        <v>15</v>
      </c>
      <c r="G65" s="18">
        <v>25</v>
      </c>
      <c r="H65" s="18">
        <f t="shared" si="1"/>
        <v>375</v>
      </c>
      <c r="I65" s="61" t="s">
        <v>740</v>
      </c>
    </row>
    <row r="66" spans="1:15">
      <c r="A66" s="16" t="s">
        <v>92</v>
      </c>
      <c r="B66" s="16">
        <v>89369</v>
      </c>
      <c r="C66" s="15" t="s">
        <v>741</v>
      </c>
      <c r="D66" s="14" t="s">
        <v>742</v>
      </c>
      <c r="E66" s="16" t="s">
        <v>151</v>
      </c>
      <c r="F66" s="19">
        <f>Quantitativos!O191</f>
        <v>25</v>
      </c>
      <c r="G66" s="18">
        <v>15.61</v>
      </c>
      <c r="H66" s="18">
        <f t="shared" si="1"/>
        <v>390.25</v>
      </c>
      <c r="I66" s="61" t="s">
        <v>743</v>
      </c>
    </row>
    <row r="67" spans="1:15">
      <c r="A67" s="16" t="s">
        <v>92</v>
      </c>
      <c r="B67" s="16">
        <v>89501</v>
      </c>
      <c r="C67" s="15" t="s">
        <v>744</v>
      </c>
      <c r="D67" s="14" t="s">
        <v>270</v>
      </c>
      <c r="E67" s="16" t="s">
        <v>151</v>
      </c>
      <c r="F67" s="19">
        <f>Quantitativos!O193</f>
        <v>8</v>
      </c>
      <c r="G67" s="18">
        <v>13.09</v>
      </c>
      <c r="H67" s="18">
        <f t="shared" si="1"/>
        <v>104.72</v>
      </c>
      <c r="I67" s="61" t="s">
        <v>745</v>
      </c>
    </row>
    <row r="68" spans="1:15">
      <c r="A68" s="16" t="s">
        <v>92</v>
      </c>
      <c r="B68" s="16">
        <v>89362</v>
      </c>
      <c r="C68" s="15" t="s">
        <v>746</v>
      </c>
      <c r="D68" s="14" t="s">
        <v>273</v>
      </c>
      <c r="E68" s="16" t="s">
        <v>151</v>
      </c>
      <c r="F68" s="19">
        <f>Quantitativos!O195</f>
        <v>83</v>
      </c>
      <c r="G68" s="18">
        <v>8.76</v>
      </c>
      <c r="H68" s="18">
        <f t="shared" si="1"/>
        <v>727.08</v>
      </c>
      <c r="I68" s="61" t="s">
        <v>747</v>
      </c>
    </row>
    <row r="69" spans="1:15">
      <c r="A69" s="16" t="s">
        <v>92</v>
      </c>
      <c r="B69" s="16">
        <v>89625</v>
      </c>
      <c r="C69" s="15" t="s">
        <v>748</v>
      </c>
      <c r="D69" s="14" t="s">
        <v>279</v>
      </c>
      <c r="E69" s="16" t="s">
        <v>151</v>
      </c>
      <c r="F69" s="19">
        <f>Quantitativos!O201</f>
        <v>10</v>
      </c>
      <c r="G69" s="18">
        <v>20.57</v>
      </c>
      <c r="H69" s="18">
        <f t="shared" si="1"/>
        <v>205.7</v>
      </c>
      <c r="I69" s="61" t="s">
        <v>749</v>
      </c>
    </row>
    <row r="70" spans="1:15">
      <c r="A70" s="16" t="s">
        <v>92</v>
      </c>
      <c r="B70" s="16">
        <v>89443</v>
      </c>
      <c r="C70" s="15" t="s">
        <v>750</v>
      </c>
      <c r="D70" s="14" t="s">
        <v>281</v>
      </c>
      <c r="E70" s="16" t="s">
        <v>151</v>
      </c>
      <c r="F70" s="19">
        <f>Quantitativos!O202</f>
        <v>68</v>
      </c>
      <c r="G70" s="18">
        <v>15.58</v>
      </c>
      <c r="H70" s="18">
        <f t="shared" si="1"/>
        <v>1059.44</v>
      </c>
      <c r="I70" s="61" t="s">
        <v>751</v>
      </c>
    </row>
    <row r="71" spans="1:15">
      <c r="A71" s="16" t="s">
        <v>92</v>
      </c>
      <c r="B71" s="16">
        <v>89395</v>
      </c>
      <c r="C71" s="15" t="s">
        <v>752</v>
      </c>
      <c r="D71" s="14" t="s">
        <v>282</v>
      </c>
      <c r="E71" s="16" t="s">
        <v>151</v>
      </c>
      <c r="F71" s="19">
        <f>Quantitativos!O203</f>
        <v>133</v>
      </c>
      <c r="G71" s="18">
        <v>12.1</v>
      </c>
      <c r="H71" s="18">
        <f t="shared" si="1"/>
        <v>1609.3</v>
      </c>
      <c r="I71" s="61" t="s">
        <v>753</v>
      </c>
    </row>
    <row r="72" spans="1:15">
      <c r="A72" s="16" t="s">
        <v>92</v>
      </c>
      <c r="B72" s="16">
        <v>103993</v>
      </c>
      <c r="C72" s="15" t="s">
        <v>754</v>
      </c>
      <c r="D72" s="14" t="s">
        <v>284</v>
      </c>
      <c r="E72" s="16" t="s">
        <v>151</v>
      </c>
      <c r="F72" s="19">
        <f>Quantitativos!O205</f>
        <v>3</v>
      </c>
      <c r="G72" s="18">
        <v>9.0299999999999994</v>
      </c>
      <c r="H72" s="18">
        <f t="shared" si="1"/>
        <v>27.09</v>
      </c>
      <c r="I72" s="61" t="s">
        <v>755</v>
      </c>
    </row>
    <row r="73" spans="1:15">
      <c r="A73" s="16" t="s">
        <v>92</v>
      </c>
      <c r="B73" s="16">
        <v>89426</v>
      </c>
      <c r="C73" s="15" t="s">
        <v>756</v>
      </c>
      <c r="D73" s="14" t="s">
        <v>757</v>
      </c>
      <c r="E73" s="16" t="s">
        <v>151</v>
      </c>
      <c r="F73" s="19">
        <f>Quantitativos!O206</f>
        <v>71</v>
      </c>
      <c r="G73" s="18">
        <v>8.65</v>
      </c>
      <c r="H73" s="18">
        <f t="shared" si="1"/>
        <v>614.15</v>
      </c>
      <c r="I73" s="61" t="s">
        <v>758</v>
      </c>
    </row>
    <row r="74" spans="1:15">
      <c r="A74" s="16" t="s">
        <v>92</v>
      </c>
      <c r="B74" s="16">
        <v>89429</v>
      </c>
      <c r="C74" s="15" t="s">
        <v>759</v>
      </c>
      <c r="D74" s="14" t="s">
        <v>286</v>
      </c>
      <c r="E74" s="16" t="s">
        <v>151</v>
      </c>
      <c r="F74" s="19">
        <f>Quantitativos!O207</f>
        <v>242</v>
      </c>
      <c r="G74" s="18">
        <v>5.63</v>
      </c>
      <c r="H74" s="18">
        <f t="shared" si="1"/>
        <v>1362.46</v>
      </c>
      <c r="I74" s="61" t="s">
        <v>760</v>
      </c>
    </row>
    <row r="75" spans="1:15">
      <c r="A75" s="16" t="s">
        <v>92</v>
      </c>
      <c r="B75" s="16">
        <v>89987</v>
      </c>
      <c r="C75" s="15" t="s">
        <v>761</v>
      </c>
      <c r="D75" s="14" t="s">
        <v>287</v>
      </c>
      <c r="E75" s="16" t="s">
        <v>151</v>
      </c>
      <c r="F75" s="19">
        <f>Quantitativos!O208</f>
        <v>66</v>
      </c>
      <c r="G75" s="18">
        <v>105.3</v>
      </c>
      <c r="H75" s="18">
        <f t="shared" si="1"/>
        <v>6949.8</v>
      </c>
      <c r="I75" s="61" t="s">
        <v>762</v>
      </c>
    </row>
    <row r="76" spans="1:15">
      <c r="A76" s="16" t="s">
        <v>92</v>
      </c>
      <c r="B76" s="16">
        <v>89985</v>
      </c>
      <c r="C76" s="15" t="s">
        <v>763</v>
      </c>
      <c r="D76" s="14" t="s">
        <v>288</v>
      </c>
      <c r="E76" s="16" t="s">
        <v>151</v>
      </c>
      <c r="F76" s="19">
        <f>Quantitativos!O209</f>
        <v>56</v>
      </c>
      <c r="G76" s="18">
        <v>99.9</v>
      </c>
      <c r="H76" s="18">
        <f t="shared" si="1"/>
        <v>5594.4</v>
      </c>
      <c r="I76" s="61" t="s">
        <v>764</v>
      </c>
    </row>
    <row r="77" spans="1:15">
      <c r="A77" s="16" t="s">
        <v>629</v>
      </c>
      <c r="B77" s="16" t="s">
        <v>149</v>
      </c>
      <c r="C77" s="15" t="s">
        <v>765</v>
      </c>
      <c r="D77" s="14" t="s">
        <v>289</v>
      </c>
      <c r="E77" s="16" t="s">
        <v>151</v>
      </c>
      <c r="F77" s="19">
        <f>Quantitativos!O210</f>
        <v>272</v>
      </c>
      <c r="G77" s="18">
        <v>0.5</v>
      </c>
      <c r="H77" s="18">
        <f t="shared" si="1"/>
        <v>136</v>
      </c>
      <c r="I77" s="61"/>
    </row>
    <row r="78" spans="1:15" s="2" customFormat="1">
      <c r="A78" s="11" t="s">
        <v>123</v>
      </c>
      <c r="B78" s="11" t="s">
        <v>124</v>
      </c>
      <c r="C78" s="10" t="s">
        <v>766</v>
      </c>
      <c r="D78" s="270" t="s">
        <v>767</v>
      </c>
      <c r="E78" s="271"/>
      <c r="F78" s="271"/>
      <c r="G78" s="272"/>
      <c r="H78" s="13">
        <f>TRUNC(SUM(H79:H105),2)</f>
        <v>130809.4</v>
      </c>
      <c r="I78" s="61"/>
      <c r="J78" s="6"/>
      <c r="K78" s="5"/>
      <c r="L78" s="5"/>
      <c r="M78" s="5"/>
      <c r="N78" s="5"/>
      <c r="O78" s="5"/>
    </row>
    <row r="79" spans="1:15">
      <c r="A79" s="16" t="s">
        <v>92</v>
      </c>
      <c r="B79" s="16">
        <v>104779</v>
      </c>
      <c r="C79" s="15" t="s">
        <v>768</v>
      </c>
      <c r="D79" s="14" t="s">
        <v>246</v>
      </c>
      <c r="E79" s="16" t="s">
        <v>104</v>
      </c>
      <c r="F79" s="19">
        <f>Quantitativos!O224</f>
        <v>72</v>
      </c>
      <c r="G79" s="18">
        <v>6.04</v>
      </c>
      <c r="H79" s="18">
        <f t="shared" si="1"/>
        <v>434.88</v>
      </c>
      <c r="I79" s="61" t="s">
        <v>704</v>
      </c>
    </row>
    <row r="80" spans="1:15">
      <c r="A80" s="16" t="s">
        <v>92</v>
      </c>
      <c r="B80" s="16">
        <v>89849</v>
      </c>
      <c r="C80" s="15" t="s">
        <v>769</v>
      </c>
      <c r="D80" s="14" t="s">
        <v>301</v>
      </c>
      <c r="E80" s="16" t="s">
        <v>104</v>
      </c>
      <c r="F80" s="19">
        <f>Quantitativos!O227</f>
        <v>654</v>
      </c>
      <c r="G80" s="18">
        <v>46.13</v>
      </c>
      <c r="H80" s="18">
        <f t="shared" si="1"/>
        <v>30169.02</v>
      </c>
      <c r="I80" s="61" t="s">
        <v>770</v>
      </c>
    </row>
    <row r="81" spans="1:9">
      <c r="A81" s="16" t="s">
        <v>92</v>
      </c>
      <c r="B81" s="16">
        <v>89714</v>
      </c>
      <c r="C81" s="15" t="s">
        <v>771</v>
      </c>
      <c r="D81" s="14" t="s">
        <v>303</v>
      </c>
      <c r="E81" s="16" t="s">
        <v>104</v>
      </c>
      <c r="F81" s="19">
        <f>Quantitativos!O228</f>
        <v>440</v>
      </c>
      <c r="G81" s="18">
        <v>32.619999999999997</v>
      </c>
      <c r="H81" s="18">
        <f t="shared" si="1"/>
        <v>14352.8</v>
      </c>
      <c r="I81" s="61" t="s">
        <v>772</v>
      </c>
    </row>
    <row r="82" spans="1:9">
      <c r="A82" s="16" t="s">
        <v>92</v>
      </c>
      <c r="B82" s="16">
        <v>89713</v>
      </c>
      <c r="C82" s="15" t="s">
        <v>773</v>
      </c>
      <c r="D82" s="14" t="s">
        <v>305</v>
      </c>
      <c r="E82" s="16" t="s">
        <v>104</v>
      </c>
      <c r="F82" s="19">
        <f>Quantitativos!O229</f>
        <v>21</v>
      </c>
      <c r="G82" s="18">
        <v>29.06</v>
      </c>
      <c r="H82" s="18">
        <f t="shared" si="1"/>
        <v>610.26</v>
      </c>
      <c r="I82" s="61" t="s">
        <v>774</v>
      </c>
    </row>
    <row r="83" spans="1:9">
      <c r="A83" s="16" t="s">
        <v>92</v>
      </c>
      <c r="B83" s="16">
        <v>89712</v>
      </c>
      <c r="C83" s="15" t="s">
        <v>775</v>
      </c>
      <c r="D83" s="14" t="s">
        <v>307</v>
      </c>
      <c r="E83" s="16" t="s">
        <v>104</v>
      </c>
      <c r="F83" s="19">
        <f>Quantitativos!O230</f>
        <v>330</v>
      </c>
      <c r="G83" s="18">
        <v>23.41</v>
      </c>
      <c r="H83" s="18">
        <f t="shared" si="1"/>
        <v>7725.3</v>
      </c>
      <c r="I83" s="61" t="s">
        <v>776</v>
      </c>
    </row>
    <row r="84" spans="1:9">
      <c r="A84" s="16" t="s">
        <v>92</v>
      </c>
      <c r="B84" s="16">
        <v>89711</v>
      </c>
      <c r="C84" s="15" t="s">
        <v>777</v>
      </c>
      <c r="D84" s="14" t="s">
        <v>309</v>
      </c>
      <c r="E84" s="16" t="s">
        <v>104</v>
      </c>
      <c r="F84" s="19">
        <f>Quantitativos!O231</f>
        <v>97.5</v>
      </c>
      <c r="G84" s="18">
        <v>18.79</v>
      </c>
      <c r="H84" s="18">
        <f t="shared" si="1"/>
        <v>1832.02</v>
      </c>
      <c r="I84" s="61" t="s">
        <v>778</v>
      </c>
    </row>
    <row r="85" spans="1:9">
      <c r="A85" s="16" t="s">
        <v>92</v>
      </c>
      <c r="B85" s="16">
        <v>95693</v>
      </c>
      <c r="C85" s="15" t="s">
        <v>779</v>
      </c>
      <c r="D85" s="14" t="s">
        <v>312</v>
      </c>
      <c r="E85" s="16" t="s">
        <v>151</v>
      </c>
      <c r="F85" s="19">
        <f>Quantitativos!O233</f>
        <v>54</v>
      </c>
      <c r="G85" s="18">
        <v>42.31</v>
      </c>
      <c r="H85" s="18">
        <f t="shared" si="1"/>
        <v>2284.7399999999998</v>
      </c>
      <c r="I85" s="61" t="s">
        <v>780</v>
      </c>
    </row>
    <row r="86" spans="1:9">
      <c r="A86" s="16" t="s">
        <v>92</v>
      </c>
      <c r="B86" s="16">
        <v>89778</v>
      </c>
      <c r="C86" s="15" t="s">
        <v>781</v>
      </c>
      <c r="D86" s="14" t="s">
        <v>314</v>
      </c>
      <c r="E86" s="16" t="s">
        <v>151</v>
      </c>
      <c r="F86" s="19">
        <f>Quantitativos!O234</f>
        <v>73</v>
      </c>
      <c r="G86" s="18">
        <v>15.66</v>
      </c>
      <c r="H86" s="18">
        <f t="shared" si="1"/>
        <v>1143.18</v>
      </c>
      <c r="I86" s="61" t="s">
        <v>782</v>
      </c>
    </row>
    <row r="87" spans="1:9">
      <c r="A87" s="16" t="s">
        <v>92</v>
      </c>
      <c r="B87" s="16">
        <v>89774</v>
      </c>
      <c r="C87" s="15" t="s">
        <v>783</v>
      </c>
      <c r="D87" s="14" t="s">
        <v>315</v>
      </c>
      <c r="E87" s="16" t="s">
        <v>151</v>
      </c>
      <c r="F87" s="19">
        <f>Quantitativos!O235</f>
        <v>3</v>
      </c>
      <c r="G87" s="18">
        <v>13.45</v>
      </c>
      <c r="H87" s="18">
        <f t="shared" si="1"/>
        <v>40.35</v>
      </c>
      <c r="I87" s="61" t="s">
        <v>784</v>
      </c>
    </row>
    <row r="88" spans="1:9">
      <c r="A88" s="16" t="s">
        <v>92</v>
      </c>
      <c r="B88" s="16">
        <v>89753</v>
      </c>
      <c r="C88" s="15" t="s">
        <v>785</v>
      </c>
      <c r="D88" s="14" t="s">
        <v>316</v>
      </c>
      <c r="E88" s="16" t="s">
        <v>151</v>
      </c>
      <c r="F88" s="19">
        <f>Quantitativos!O236</f>
        <v>16</v>
      </c>
      <c r="G88" s="18">
        <v>8.18</v>
      </c>
      <c r="H88" s="18">
        <f t="shared" si="1"/>
        <v>130.88</v>
      </c>
      <c r="I88" s="61" t="s">
        <v>786</v>
      </c>
    </row>
    <row r="89" spans="1:9">
      <c r="A89" s="16" t="s">
        <v>92</v>
      </c>
      <c r="B89" s="16">
        <v>89752</v>
      </c>
      <c r="C89" s="15" t="s">
        <v>787</v>
      </c>
      <c r="D89" s="14" t="s">
        <v>317</v>
      </c>
      <c r="E89" s="16" t="s">
        <v>151</v>
      </c>
      <c r="F89" s="19">
        <f>Quantitativos!O237</f>
        <v>3</v>
      </c>
      <c r="G89" s="18">
        <v>6.93</v>
      </c>
      <c r="H89" s="18">
        <f t="shared" si="1"/>
        <v>20.79</v>
      </c>
      <c r="I89" s="61" t="s">
        <v>788</v>
      </c>
    </row>
    <row r="90" spans="1:9">
      <c r="A90" s="16" t="s">
        <v>92</v>
      </c>
      <c r="B90" s="16">
        <v>89744</v>
      </c>
      <c r="C90" s="15" t="s">
        <v>789</v>
      </c>
      <c r="D90" s="14" t="s">
        <v>319</v>
      </c>
      <c r="E90" s="16" t="s">
        <v>151</v>
      </c>
      <c r="F90" s="19">
        <f>Quantitativos!O239</f>
        <v>65</v>
      </c>
      <c r="G90" s="18">
        <v>26.03</v>
      </c>
      <c r="H90" s="18">
        <f t="shared" si="1"/>
        <v>1691.95</v>
      </c>
      <c r="I90" s="61" t="s">
        <v>790</v>
      </c>
    </row>
    <row r="91" spans="1:9">
      <c r="A91" s="16" t="s">
        <v>92</v>
      </c>
      <c r="B91" s="16">
        <v>89731</v>
      </c>
      <c r="C91" s="15" t="s">
        <v>791</v>
      </c>
      <c r="D91" s="14" t="s">
        <v>322</v>
      </c>
      <c r="E91" s="16" t="s">
        <v>151</v>
      </c>
      <c r="F91" s="19">
        <f>Quantitativos!O241</f>
        <v>264</v>
      </c>
      <c r="G91" s="18">
        <v>14.35</v>
      </c>
      <c r="H91" s="18">
        <f t="shared" si="1"/>
        <v>3788.4</v>
      </c>
      <c r="I91" s="61" t="s">
        <v>792</v>
      </c>
    </row>
    <row r="92" spans="1:9">
      <c r="A92" s="16" t="s">
        <v>92</v>
      </c>
      <c r="B92" s="16">
        <v>89724</v>
      </c>
      <c r="C92" s="15" t="s">
        <v>793</v>
      </c>
      <c r="D92" s="14" t="s">
        <v>324</v>
      </c>
      <c r="E92" s="16" t="s">
        <v>151</v>
      </c>
      <c r="F92" s="19">
        <f>Quantitativos!O242</f>
        <v>132</v>
      </c>
      <c r="G92" s="18">
        <v>9.26</v>
      </c>
      <c r="H92" s="18">
        <f t="shared" si="1"/>
        <v>1222.32</v>
      </c>
      <c r="I92" s="61" t="s">
        <v>794</v>
      </c>
    </row>
    <row r="93" spans="1:9">
      <c r="A93" s="16" t="s">
        <v>92</v>
      </c>
      <c r="B93" s="16">
        <v>89746</v>
      </c>
      <c r="C93" s="15" t="s">
        <v>795</v>
      </c>
      <c r="D93" s="14" t="s">
        <v>326</v>
      </c>
      <c r="E93" s="16" t="s">
        <v>151</v>
      </c>
      <c r="F93" s="19">
        <f>Quantitativos!O243</f>
        <v>65</v>
      </c>
      <c r="G93" s="18">
        <v>26.68</v>
      </c>
      <c r="H93" s="18">
        <f t="shared" ref="H93:H175" si="2">TRUNC(F93*G93,2)</f>
        <v>1734.2</v>
      </c>
      <c r="I93" s="61" t="s">
        <v>796</v>
      </c>
    </row>
    <row r="94" spans="1:9">
      <c r="A94" s="16" t="s">
        <v>92</v>
      </c>
      <c r="B94" s="16">
        <v>89739</v>
      </c>
      <c r="C94" s="15" t="s">
        <v>797</v>
      </c>
      <c r="D94" s="14" t="s">
        <v>327</v>
      </c>
      <c r="E94" s="16" t="s">
        <v>151</v>
      </c>
      <c r="F94" s="19">
        <f>Quantitativos!O244</f>
        <v>4</v>
      </c>
      <c r="G94" s="18">
        <v>22.09</v>
      </c>
      <c r="H94" s="18">
        <f t="shared" si="2"/>
        <v>88.36</v>
      </c>
      <c r="I94" s="61" t="s">
        <v>798</v>
      </c>
    </row>
    <row r="95" spans="1:9">
      <c r="A95" s="16" t="s">
        <v>92</v>
      </c>
      <c r="B95" s="16">
        <v>89732</v>
      </c>
      <c r="C95" s="15" t="s">
        <v>799</v>
      </c>
      <c r="D95" s="14" t="s">
        <v>328</v>
      </c>
      <c r="E95" s="16" t="s">
        <v>151</v>
      </c>
      <c r="F95" s="19">
        <f>Quantitativos!O245</f>
        <v>132</v>
      </c>
      <c r="G95" s="18">
        <v>14.91</v>
      </c>
      <c r="H95" s="18">
        <f t="shared" si="2"/>
        <v>1968.12</v>
      </c>
      <c r="I95" s="61" t="s">
        <v>800</v>
      </c>
    </row>
    <row r="96" spans="1:9">
      <c r="A96" s="16" t="s">
        <v>92</v>
      </c>
      <c r="B96" s="16">
        <v>89726</v>
      </c>
      <c r="C96" s="15" t="s">
        <v>801</v>
      </c>
      <c r="D96" s="14" t="s">
        <v>330</v>
      </c>
      <c r="E96" s="16" t="s">
        <v>151</v>
      </c>
      <c r="F96" s="19">
        <f>Quantitativos!O246</f>
        <v>69</v>
      </c>
      <c r="G96" s="18">
        <v>9.44</v>
      </c>
      <c r="H96" s="18">
        <f t="shared" si="2"/>
        <v>651.36</v>
      </c>
      <c r="I96" s="61" t="s">
        <v>802</v>
      </c>
    </row>
    <row r="97" spans="1:15">
      <c r="A97" s="16" t="s">
        <v>92</v>
      </c>
      <c r="B97" s="16">
        <v>89784</v>
      </c>
      <c r="C97" s="15" t="s">
        <v>803</v>
      </c>
      <c r="D97" s="14" t="s">
        <v>333</v>
      </c>
      <c r="E97" s="16" t="s">
        <v>151</v>
      </c>
      <c r="F97" s="19">
        <f>Quantitativos!O248</f>
        <v>63</v>
      </c>
      <c r="G97" s="18">
        <v>22.75</v>
      </c>
      <c r="H97" s="18">
        <f t="shared" si="2"/>
        <v>1433.25</v>
      </c>
      <c r="I97" s="61" t="s">
        <v>804</v>
      </c>
    </row>
    <row r="98" spans="1:15">
      <c r="A98" s="16" t="s">
        <v>92</v>
      </c>
      <c r="B98" s="16">
        <v>89795</v>
      </c>
      <c r="C98" s="15" t="s">
        <v>805</v>
      </c>
      <c r="D98" s="14" t="s">
        <v>336</v>
      </c>
      <c r="E98" s="16" t="s">
        <v>151</v>
      </c>
      <c r="F98" s="19">
        <f>Quantitativos!O250</f>
        <v>2</v>
      </c>
      <c r="G98" s="18">
        <v>37.14</v>
      </c>
      <c r="H98" s="18">
        <f t="shared" si="2"/>
        <v>74.28</v>
      </c>
      <c r="I98" s="61" t="s">
        <v>806</v>
      </c>
    </row>
    <row r="99" spans="1:15">
      <c r="A99" s="16" t="s">
        <v>92</v>
      </c>
      <c r="B99" s="16">
        <v>89785</v>
      </c>
      <c r="C99" s="15" t="s">
        <v>807</v>
      </c>
      <c r="D99" s="14" t="s">
        <v>337</v>
      </c>
      <c r="E99" s="16" t="s">
        <v>151</v>
      </c>
      <c r="F99" s="19">
        <f>Quantitativos!O251</f>
        <v>8</v>
      </c>
      <c r="G99" s="18">
        <v>24.56</v>
      </c>
      <c r="H99" s="18">
        <f t="shared" si="2"/>
        <v>196.48</v>
      </c>
      <c r="I99" s="61" t="s">
        <v>808</v>
      </c>
    </row>
    <row r="100" spans="1:15">
      <c r="A100" s="16" t="s">
        <v>92</v>
      </c>
      <c r="B100" s="16">
        <v>10345</v>
      </c>
      <c r="C100" s="15" t="s">
        <v>809</v>
      </c>
      <c r="D100" s="14" t="s">
        <v>339</v>
      </c>
      <c r="E100" s="16" t="s">
        <v>151</v>
      </c>
      <c r="F100" s="19">
        <f>Quantitativos!O253</f>
        <v>62</v>
      </c>
      <c r="G100" s="18">
        <v>39.04</v>
      </c>
      <c r="H100" s="18">
        <f t="shared" si="2"/>
        <v>2420.48</v>
      </c>
      <c r="I100" s="61" t="s">
        <v>810</v>
      </c>
    </row>
    <row r="101" spans="1:15">
      <c r="A101" s="16" t="s">
        <v>92</v>
      </c>
      <c r="B101" s="16">
        <v>104343</v>
      </c>
      <c r="C101" s="15" t="s">
        <v>811</v>
      </c>
      <c r="D101" s="14" t="s">
        <v>341</v>
      </c>
      <c r="E101" s="16" t="s">
        <v>151</v>
      </c>
      <c r="F101" s="19">
        <f>Quantitativos!O254</f>
        <v>2</v>
      </c>
      <c r="G101" s="18">
        <v>31.32</v>
      </c>
      <c r="H101" s="18">
        <f t="shared" si="2"/>
        <v>62.64</v>
      </c>
      <c r="I101" s="61" t="s">
        <v>812</v>
      </c>
    </row>
    <row r="102" spans="1:15">
      <c r="A102" s="16" t="s">
        <v>92</v>
      </c>
      <c r="B102" s="16">
        <v>89707</v>
      </c>
      <c r="C102" s="15" t="s">
        <v>813</v>
      </c>
      <c r="D102" s="14" t="s">
        <v>343</v>
      </c>
      <c r="E102" s="16" t="s">
        <v>151</v>
      </c>
      <c r="F102" s="19">
        <f>Quantitativos!O256</f>
        <v>120</v>
      </c>
      <c r="G102" s="18">
        <v>45</v>
      </c>
      <c r="H102" s="18">
        <f t="shared" si="2"/>
        <v>5400</v>
      </c>
      <c r="I102" s="61" t="s">
        <v>814</v>
      </c>
    </row>
    <row r="103" spans="1:15">
      <c r="A103" s="16" t="s">
        <v>92</v>
      </c>
      <c r="B103" s="16">
        <v>97906</v>
      </c>
      <c r="C103" s="15" t="s">
        <v>815</v>
      </c>
      <c r="D103" s="14" t="s">
        <v>345</v>
      </c>
      <c r="E103" s="16" t="s">
        <v>151</v>
      </c>
      <c r="F103" s="19">
        <f>Quantitativos!O257</f>
        <v>109</v>
      </c>
      <c r="G103" s="18">
        <v>446.52</v>
      </c>
      <c r="H103" s="18">
        <f t="shared" si="2"/>
        <v>48670.68</v>
      </c>
      <c r="I103" s="61" t="s">
        <v>816</v>
      </c>
    </row>
    <row r="104" spans="1:15">
      <c r="A104" s="16" t="s">
        <v>92</v>
      </c>
      <c r="B104" s="16">
        <v>98104</v>
      </c>
      <c r="C104" s="15" t="s">
        <v>817</v>
      </c>
      <c r="D104" s="14" t="s">
        <v>346</v>
      </c>
      <c r="E104" s="16" t="s">
        <v>151</v>
      </c>
      <c r="F104" s="19">
        <f>Quantitativos!O258</f>
        <v>5</v>
      </c>
      <c r="G104" s="18">
        <v>380.38</v>
      </c>
      <c r="H104" s="18">
        <f t="shared" si="2"/>
        <v>1901.9</v>
      </c>
      <c r="I104" s="61" t="s">
        <v>818</v>
      </c>
    </row>
    <row r="105" spans="1:15">
      <c r="A105" s="16" t="s">
        <v>92</v>
      </c>
      <c r="B105" s="16">
        <v>98104</v>
      </c>
      <c r="C105" s="15" t="s">
        <v>819</v>
      </c>
      <c r="D105" s="14" t="s">
        <v>347</v>
      </c>
      <c r="E105" s="16" t="s">
        <v>151</v>
      </c>
      <c r="F105" s="19">
        <f>Quantitativos!O259</f>
        <v>2</v>
      </c>
      <c r="G105" s="18">
        <v>380.38</v>
      </c>
      <c r="H105" s="18">
        <f t="shared" si="2"/>
        <v>760.76</v>
      </c>
      <c r="I105" s="61" t="s">
        <v>818</v>
      </c>
    </row>
    <row r="106" spans="1:15" s="2" customFormat="1">
      <c r="A106" s="11" t="s">
        <v>123</v>
      </c>
      <c r="B106" s="11" t="s">
        <v>124</v>
      </c>
      <c r="C106" s="10" t="s">
        <v>820</v>
      </c>
      <c r="D106" s="270" t="s">
        <v>821</v>
      </c>
      <c r="E106" s="271"/>
      <c r="F106" s="271"/>
      <c r="G106" s="272"/>
      <c r="H106" s="13">
        <f>TRUNC(SUM(H107:H109),2)</f>
        <v>15169.58</v>
      </c>
      <c r="I106" s="61"/>
      <c r="J106" s="6"/>
      <c r="K106" s="5"/>
      <c r="L106" s="5"/>
      <c r="M106" s="5"/>
      <c r="N106" s="5"/>
      <c r="O106" s="5"/>
    </row>
    <row r="107" spans="1:15">
      <c r="A107" s="16" t="s">
        <v>92</v>
      </c>
      <c r="B107" s="16">
        <v>89512</v>
      </c>
      <c r="C107" s="15" t="s">
        <v>822</v>
      </c>
      <c r="D107" s="14" t="s">
        <v>351</v>
      </c>
      <c r="E107" s="16" t="s">
        <v>104</v>
      </c>
      <c r="F107" s="19">
        <f>Quantitativos!O264</f>
        <v>260</v>
      </c>
      <c r="G107" s="18">
        <v>41.01</v>
      </c>
      <c r="H107" s="18">
        <f t="shared" si="2"/>
        <v>10662.6</v>
      </c>
      <c r="I107" s="61" t="s">
        <v>823</v>
      </c>
    </row>
    <row r="108" spans="1:15">
      <c r="A108" s="16" t="s">
        <v>92</v>
      </c>
      <c r="B108" s="16">
        <v>95695</v>
      </c>
      <c r="C108" s="15" t="s">
        <v>824</v>
      </c>
      <c r="D108" s="14" t="s">
        <v>352</v>
      </c>
      <c r="E108" s="16" t="s">
        <v>151</v>
      </c>
      <c r="F108" s="19">
        <f>Quantitativos!O265</f>
        <v>4</v>
      </c>
      <c r="G108" s="18">
        <v>52.07</v>
      </c>
      <c r="H108" s="18">
        <f t="shared" si="2"/>
        <v>208.28</v>
      </c>
      <c r="I108" s="61" t="s">
        <v>825</v>
      </c>
    </row>
    <row r="109" spans="1:15">
      <c r="A109" s="16" t="s">
        <v>92</v>
      </c>
      <c r="B109" s="16">
        <v>99260</v>
      </c>
      <c r="C109" s="15" t="s">
        <v>826</v>
      </c>
      <c r="D109" s="14" t="s">
        <v>345</v>
      </c>
      <c r="E109" s="16" t="s">
        <v>151</v>
      </c>
      <c r="F109" s="19">
        <f>Quantitativos!O270</f>
        <v>10</v>
      </c>
      <c r="G109" s="18">
        <v>429.87</v>
      </c>
      <c r="H109" s="18">
        <f t="shared" si="2"/>
        <v>4298.7</v>
      </c>
      <c r="I109" s="61" t="s">
        <v>827</v>
      </c>
    </row>
    <row r="110" spans="1:15" s="2" customFormat="1">
      <c r="A110" s="11" t="s">
        <v>123</v>
      </c>
      <c r="B110" s="11" t="s">
        <v>124</v>
      </c>
      <c r="C110" s="10" t="s">
        <v>828</v>
      </c>
      <c r="D110" s="270" t="s">
        <v>829</v>
      </c>
      <c r="E110" s="271"/>
      <c r="F110" s="271"/>
      <c r="G110" s="272"/>
      <c r="H110" s="13">
        <f>TRUNC(SUM(H111:H115),2)</f>
        <v>6202.85</v>
      </c>
      <c r="I110" s="61"/>
      <c r="J110" s="6"/>
      <c r="K110" s="5"/>
      <c r="L110" s="5"/>
      <c r="M110" s="5"/>
      <c r="N110" s="5"/>
      <c r="O110" s="5"/>
    </row>
    <row r="111" spans="1:15">
      <c r="A111" s="16" t="s">
        <v>92</v>
      </c>
      <c r="B111" s="16">
        <v>101909</v>
      </c>
      <c r="C111" s="15" t="s">
        <v>830</v>
      </c>
      <c r="D111" s="14" t="s">
        <v>358</v>
      </c>
      <c r="E111" s="16" t="s">
        <v>151</v>
      </c>
      <c r="F111" s="19">
        <f>Quantitativos!B277</f>
        <v>12</v>
      </c>
      <c r="G111" s="18">
        <v>272.33999999999997</v>
      </c>
      <c r="H111" s="18">
        <f t="shared" si="2"/>
        <v>3268.08</v>
      </c>
      <c r="I111" s="61" t="s">
        <v>831</v>
      </c>
    </row>
    <row r="112" spans="1:15">
      <c r="A112" s="16" t="s">
        <v>832</v>
      </c>
      <c r="B112" s="16" t="s">
        <v>833</v>
      </c>
      <c r="C112" s="15" t="s">
        <v>834</v>
      </c>
      <c r="D112" s="14" t="s">
        <v>835</v>
      </c>
      <c r="E112" s="16" t="s">
        <v>151</v>
      </c>
      <c r="F112" s="19">
        <v>12</v>
      </c>
      <c r="G112" s="18">
        <v>57.54</v>
      </c>
      <c r="H112" s="18">
        <f t="shared" si="2"/>
        <v>690.48</v>
      </c>
      <c r="I112" s="61" t="s">
        <v>836</v>
      </c>
    </row>
    <row r="113" spans="1:15">
      <c r="A113" s="16" t="s">
        <v>832</v>
      </c>
      <c r="B113" s="16" t="s">
        <v>837</v>
      </c>
      <c r="C113" s="15" t="s">
        <v>838</v>
      </c>
      <c r="D113" s="14" t="s">
        <v>839</v>
      </c>
      <c r="E113" s="16" t="s">
        <v>151</v>
      </c>
      <c r="F113" s="19">
        <f>Quantitativos!D277</f>
        <v>36</v>
      </c>
      <c r="G113" s="18">
        <v>13.66</v>
      </c>
      <c r="H113" s="18">
        <f t="shared" si="2"/>
        <v>491.76</v>
      </c>
      <c r="I113" s="61" t="s">
        <v>840</v>
      </c>
    </row>
    <row r="114" spans="1:15">
      <c r="A114" s="16" t="s">
        <v>832</v>
      </c>
      <c r="B114" s="16" t="s">
        <v>837</v>
      </c>
      <c r="C114" s="15" t="s">
        <v>841</v>
      </c>
      <c r="D114" s="14" t="s">
        <v>842</v>
      </c>
      <c r="E114" s="16" t="s">
        <v>151</v>
      </c>
      <c r="F114" s="19">
        <f>Quantitativos!E277</f>
        <v>8</v>
      </c>
      <c r="G114" s="18">
        <v>13.66</v>
      </c>
      <c r="H114" s="18">
        <f t="shared" si="2"/>
        <v>109.28</v>
      </c>
      <c r="I114" s="61" t="s">
        <v>840</v>
      </c>
    </row>
    <row r="115" spans="1:15">
      <c r="A115" s="16" t="s">
        <v>92</v>
      </c>
      <c r="B115" s="16">
        <v>97599</v>
      </c>
      <c r="C115" s="15" t="s">
        <v>843</v>
      </c>
      <c r="D115" s="14" t="s">
        <v>844</v>
      </c>
      <c r="E115" s="16" t="s">
        <v>151</v>
      </c>
      <c r="F115" s="19">
        <f>Quantitativos!C277</f>
        <v>75</v>
      </c>
      <c r="G115" s="18">
        <v>21.91</v>
      </c>
      <c r="H115" s="18">
        <f t="shared" si="2"/>
        <v>1643.25</v>
      </c>
      <c r="I115" s="61" t="s">
        <v>845</v>
      </c>
    </row>
    <row r="116" spans="1:15" s="2" customFormat="1">
      <c r="A116" s="11" t="s">
        <v>123</v>
      </c>
      <c r="B116" s="11" t="s">
        <v>124</v>
      </c>
      <c r="C116" s="10" t="s">
        <v>846</v>
      </c>
      <c r="D116" s="270" t="s">
        <v>847</v>
      </c>
      <c r="E116" s="271"/>
      <c r="F116" s="271"/>
      <c r="G116" s="272"/>
      <c r="H116" s="13">
        <f>TRUNC(SUM(H117:H122),2)</f>
        <v>4687.1000000000004</v>
      </c>
      <c r="I116" s="61"/>
      <c r="J116" s="6"/>
      <c r="K116" s="5"/>
      <c r="L116" s="5"/>
      <c r="M116" s="5"/>
      <c r="N116" s="5"/>
      <c r="O116" s="5"/>
    </row>
    <row r="117" spans="1:15">
      <c r="A117" s="16" t="s">
        <v>92</v>
      </c>
      <c r="B117" s="16">
        <v>92688</v>
      </c>
      <c r="C117" s="15" t="s">
        <v>848</v>
      </c>
      <c r="D117" s="14" t="s">
        <v>363</v>
      </c>
      <c r="E117" s="16" t="s">
        <v>104</v>
      </c>
      <c r="F117" s="19">
        <f>Quantitativos!O280</f>
        <v>30</v>
      </c>
      <c r="G117" s="18">
        <v>38.549999999999997</v>
      </c>
      <c r="H117" s="18">
        <f t="shared" si="2"/>
        <v>1156.5</v>
      </c>
      <c r="I117" s="61" t="s">
        <v>849</v>
      </c>
    </row>
    <row r="118" spans="1:15">
      <c r="A118" s="16" t="s">
        <v>92</v>
      </c>
      <c r="B118" s="16">
        <v>92701</v>
      </c>
      <c r="C118" s="15" t="s">
        <v>850</v>
      </c>
      <c r="D118" s="14" t="s">
        <v>365</v>
      </c>
      <c r="E118" s="16" t="s">
        <v>151</v>
      </c>
      <c r="F118" s="19">
        <f>Quantitativos!O281</f>
        <v>5</v>
      </c>
      <c r="G118" s="18">
        <v>29.11</v>
      </c>
      <c r="H118" s="18">
        <f t="shared" si="2"/>
        <v>145.55000000000001</v>
      </c>
      <c r="I118" s="61" t="s">
        <v>851</v>
      </c>
    </row>
    <row r="119" spans="1:15">
      <c r="A119" s="16" t="s">
        <v>92</v>
      </c>
      <c r="B119" s="16">
        <v>92705</v>
      </c>
      <c r="C119" s="15" t="s">
        <v>852</v>
      </c>
      <c r="D119" s="14" t="s">
        <v>366</v>
      </c>
      <c r="E119" s="16" t="s">
        <v>151</v>
      </c>
      <c r="F119" s="19">
        <f>Quantitativos!O282</f>
        <v>2</v>
      </c>
      <c r="G119" s="18">
        <v>38.49</v>
      </c>
      <c r="H119" s="18">
        <f t="shared" si="2"/>
        <v>76.98</v>
      </c>
      <c r="I119" s="61" t="s">
        <v>853</v>
      </c>
    </row>
    <row r="120" spans="1:15">
      <c r="A120" s="16" t="s">
        <v>92</v>
      </c>
      <c r="B120" s="16">
        <v>100788</v>
      </c>
      <c r="C120" s="15" t="s">
        <v>854</v>
      </c>
      <c r="D120" s="14" t="s">
        <v>855</v>
      </c>
      <c r="E120" s="16" t="s">
        <v>151</v>
      </c>
      <c r="F120" s="19">
        <v>1</v>
      </c>
      <c r="G120" s="18">
        <v>706.89</v>
      </c>
      <c r="H120" s="18">
        <f t="shared" si="2"/>
        <v>706.89</v>
      </c>
      <c r="I120" s="61" t="s">
        <v>856</v>
      </c>
    </row>
    <row r="121" spans="1:15">
      <c r="A121" s="16" t="s">
        <v>92</v>
      </c>
      <c r="B121" s="16">
        <v>103029</v>
      </c>
      <c r="C121" s="15" t="s">
        <v>857</v>
      </c>
      <c r="D121" s="14" t="s">
        <v>858</v>
      </c>
      <c r="E121" s="16" t="s">
        <v>151</v>
      </c>
      <c r="F121" s="19">
        <v>2</v>
      </c>
      <c r="G121" s="18">
        <v>50.59</v>
      </c>
      <c r="H121" s="18">
        <f t="shared" si="2"/>
        <v>101.18</v>
      </c>
      <c r="I121" s="61" t="s">
        <v>859</v>
      </c>
    </row>
    <row r="122" spans="1:15">
      <c r="A122" s="16" t="s">
        <v>629</v>
      </c>
      <c r="B122" s="16" t="s">
        <v>860</v>
      </c>
      <c r="C122" s="15" t="s">
        <v>861</v>
      </c>
      <c r="D122" s="14" t="s">
        <v>368</v>
      </c>
      <c r="E122" s="16" t="s">
        <v>151</v>
      </c>
      <c r="F122" s="19">
        <f>Quantitativos!O284</f>
        <v>2</v>
      </c>
      <c r="G122" s="18">
        <v>1250</v>
      </c>
      <c r="H122" s="18">
        <f t="shared" si="2"/>
        <v>2500</v>
      </c>
      <c r="I122" s="61"/>
    </row>
    <row r="123" spans="1:15" s="2" customFormat="1">
      <c r="A123" s="11" t="s">
        <v>123</v>
      </c>
      <c r="B123" s="11" t="s">
        <v>124</v>
      </c>
      <c r="C123" s="10" t="s">
        <v>862</v>
      </c>
      <c r="D123" s="270" t="s">
        <v>863</v>
      </c>
      <c r="E123" s="271"/>
      <c r="F123" s="271"/>
      <c r="G123" s="272"/>
      <c r="H123" s="13">
        <f>TRUNC(SUM(H124:H150),2)</f>
        <v>132180.51</v>
      </c>
      <c r="I123" s="61"/>
      <c r="J123" s="6"/>
      <c r="K123" s="5"/>
      <c r="L123" s="5"/>
      <c r="M123" s="5"/>
      <c r="N123" s="5"/>
      <c r="O123" s="5"/>
    </row>
    <row r="124" spans="1:15">
      <c r="A124" s="16" t="s">
        <v>92</v>
      </c>
      <c r="B124" s="16">
        <v>90447</v>
      </c>
      <c r="C124" s="15" t="s">
        <v>864</v>
      </c>
      <c r="D124" s="14" t="str">
        <f>Quantitativos!A287</f>
        <v>Rasgo em alvenaria para passagens de eletrodutos</v>
      </c>
      <c r="E124" s="16" t="str">
        <f>Quantitativos!B287</f>
        <v>m</v>
      </c>
      <c r="F124" s="19">
        <f>Quantitativos!R287</f>
        <v>1069</v>
      </c>
      <c r="G124" s="18">
        <v>7.61</v>
      </c>
      <c r="H124" s="18">
        <f t="shared" si="2"/>
        <v>8135.09</v>
      </c>
      <c r="I124" s="61" t="s">
        <v>865</v>
      </c>
    </row>
    <row r="125" spans="1:15">
      <c r="A125" s="16" t="s">
        <v>92</v>
      </c>
      <c r="B125" s="16">
        <v>91856</v>
      </c>
      <c r="C125" s="15" t="s">
        <v>866</v>
      </c>
      <c r="D125" s="14" t="str">
        <f>Quantitativos!A288</f>
        <v>Eletroduto flexível Ø32mm</v>
      </c>
      <c r="E125" s="16" t="str">
        <f>Quantitativos!B288</f>
        <v>m</v>
      </c>
      <c r="F125" s="19">
        <f>Quantitativos!R288</f>
        <v>579.5</v>
      </c>
      <c r="G125" s="18">
        <v>11.88</v>
      </c>
      <c r="H125" s="18">
        <f t="shared" si="2"/>
        <v>6884.46</v>
      </c>
      <c r="I125" s="61" t="s">
        <v>867</v>
      </c>
    </row>
    <row r="126" spans="1:15">
      <c r="A126" s="16" t="s">
        <v>92</v>
      </c>
      <c r="B126" s="16">
        <v>91854</v>
      </c>
      <c r="C126" s="15" t="s">
        <v>868</v>
      </c>
      <c r="D126" s="14" t="str">
        <f>Quantitativos!A289</f>
        <v>Eletroduto flexível Ø25mm</v>
      </c>
      <c r="E126" s="16" t="str">
        <f>Quantitativos!B289</f>
        <v>m</v>
      </c>
      <c r="F126" s="19">
        <f>Quantitativos!R289</f>
        <v>1189.8</v>
      </c>
      <c r="G126" s="18">
        <v>9.18</v>
      </c>
      <c r="H126" s="18">
        <f t="shared" si="2"/>
        <v>10922.36</v>
      </c>
      <c r="I126" s="61" t="s">
        <v>869</v>
      </c>
    </row>
    <row r="127" spans="1:15">
      <c r="A127" s="16" t="s">
        <v>92</v>
      </c>
      <c r="B127" s="16">
        <v>93008</v>
      </c>
      <c r="C127" s="15" t="s">
        <v>870</v>
      </c>
      <c r="D127" s="14" t="str">
        <f>Quantitativos!A290</f>
        <v>Eletroduto rígido Ø50mm</v>
      </c>
      <c r="E127" s="16" t="str">
        <f>Quantitativos!B290</f>
        <v>m</v>
      </c>
      <c r="F127" s="19">
        <f>Quantitativos!R290</f>
        <v>155</v>
      </c>
      <c r="G127" s="18">
        <v>18.399999999999999</v>
      </c>
      <c r="H127" s="18">
        <f t="shared" si="2"/>
        <v>2852</v>
      </c>
      <c r="I127" s="61" t="s">
        <v>871</v>
      </c>
    </row>
    <row r="128" spans="1:15">
      <c r="A128" s="16" t="s">
        <v>92</v>
      </c>
      <c r="B128" s="16">
        <v>91863</v>
      </c>
      <c r="C128" s="15" t="s">
        <v>872</v>
      </c>
      <c r="D128" s="14" t="str">
        <f>Quantitativos!A291</f>
        <v>Eletroduto rígido Ø25mm</v>
      </c>
      <c r="E128" s="16" t="str">
        <f>Quantitativos!B291</f>
        <v>m</v>
      </c>
      <c r="F128" s="19">
        <f>Quantitativos!R291</f>
        <v>437</v>
      </c>
      <c r="G128" s="18">
        <v>10.97</v>
      </c>
      <c r="H128" s="18">
        <f t="shared" si="2"/>
        <v>4793.8900000000003</v>
      </c>
      <c r="I128" s="61" t="s">
        <v>873</v>
      </c>
    </row>
    <row r="129" spans="1:9">
      <c r="A129" s="16" t="s">
        <v>92</v>
      </c>
      <c r="B129" s="16">
        <v>91940</v>
      </c>
      <c r="C129" s="15" t="s">
        <v>874</v>
      </c>
      <c r="D129" s="14" t="str">
        <f>Quantitativos!A292</f>
        <v>Caixa de Passagem 4"x2"</v>
      </c>
      <c r="E129" s="16" t="str">
        <f>Quantitativos!B292</f>
        <v>und</v>
      </c>
      <c r="F129" s="19">
        <f>Quantitativos!R292</f>
        <v>300</v>
      </c>
      <c r="G129" s="18">
        <v>17.21</v>
      </c>
      <c r="H129" s="18">
        <f t="shared" si="2"/>
        <v>5163</v>
      </c>
      <c r="I129" s="61" t="s">
        <v>875</v>
      </c>
    </row>
    <row r="130" spans="1:9">
      <c r="A130" s="16" t="s">
        <v>92</v>
      </c>
      <c r="B130" s="16">
        <v>91937</v>
      </c>
      <c r="C130" s="15" t="s">
        <v>876</v>
      </c>
      <c r="D130" s="14" t="str">
        <f>Quantitativos!A293</f>
        <v>Caixa de Passagem 3"x3"</v>
      </c>
      <c r="E130" s="16" t="str">
        <f>Quantitativos!B293</f>
        <v>und</v>
      </c>
      <c r="F130" s="19">
        <f>Quantitativos!R293</f>
        <v>177</v>
      </c>
      <c r="G130" s="18">
        <v>15.25</v>
      </c>
      <c r="H130" s="18">
        <f t="shared" si="2"/>
        <v>2699.25</v>
      </c>
      <c r="I130" s="61" t="s">
        <v>877</v>
      </c>
    </row>
    <row r="131" spans="1:9">
      <c r="A131" s="16" t="s">
        <v>92</v>
      </c>
      <c r="B131" s="16">
        <v>92984</v>
      </c>
      <c r="C131" s="15" t="s">
        <v>878</v>
      </c>
      <c r="D131" s="14" t="str">
        <f>Quantitativos!A294</f>
        <v>Cabo flexível 25mm2</v>
      </c>
      <c r="E131" s="16" t="str">
        <f>Quantitativos!B294</f>
        <v>m</v>
      </c>
      <c r="F131" s="19">
        <f>Quantitativos!R294</f>
        <v>207</v>
      </c>
      <c r="G131" s="18">
        <v>29.72</v>
      </c>
      <c r="H131" s="18">
        <f t="shared" si="2"/>
        <v>6152.04</v>
      </c>
      <c r="I131" s="61" t="s">
        <v>879</v>
      </c>
    </row>
    <row r="132" spans="1:9">
      <c r="A132" s="16" t="s">
        <v>92</v>
      </c>
      <c r="B132" s="16">
        <v>92981</v>
      </c>
      <c r="C132" s="15" t="s">
        <v>880</v>
      </c>
      <c r="D132" s="14" t="str">
        <f>Quantitativos!A295</f>
        <v>Cabo flexível 16mm2</v>
      </c>
      <c r="E132" s="16" t="str">
        <f>Quantitativos!B295</f>
        <v>m</v>
      </c>
      <c r="F132" s="19">
        <f>Quantitativos!R295</f>
        <v>75</v>
      </c>
      <c r="G132" s="18">
        <v>17.09</v>
      </c>
      <c r="H132" s="18">
        <f t="shared" si="2"/>
        <v>1281.75</v>
      </c>
      <c r="I132" s="61" t="s">
        <v>881</v>
      </c>
    </row>
    <row r="133" spans="1:9">
      <c r="A133" s="16" t="s">
        <v>92</v>
      </c>
      <c r="B133" s="16">
        <v>91930</v>
      </c>
      <c r="C133" s="15" t="s">
        <v>882</v>
      </c>
      <c r="D133" s="14" t="str">
        <f>Quantitativos!A296</f>
        <v>Cabo flexível 6mm2</v>
      </c>
      <c r="E133" s="16" t="str">
        <f>Quantitativos!B296</f>
        <v>m</v>
      </c>
      <c r="F133" s="19">
        <f>Quantitativos!R296</f>
        <v>468</v>
      </c>
      <c r="G133" s="18">
        <v>9.75</v>
      </c>
      <c r="H133" s="18">
        <f t="shared" si="2"/>
        <v>4563</v>
      </c>
      <c r="I133" s="61" t="s">
        <v>883</v>
      </c>
    </row>
    <row r="134" spans="1:9">
      <c r="A134" s="16" t="s">
        <v>92</v>
      </c>
      <c r="B134" s="16">
        <v>91928</v>
      </c>
      <c r="C134" s="15" t="s">
        <v>884</v>
      </c>
      <c r="D134" s="14" t="str">
        <f>Quantitativos!A297</f>
        <v>Cabo flexível 4mm2</v>
      </c>
      <c r="E134" s="16" t="str">
        <f>Quantitativos!B297</f>
        <v>m</v>
      </c>
      <c r="F134" s="19">
        <f>Quantitativos!R297</f>
        <v>2436</v>
      </c>
      <c r="G134" s="18">
        <v>6.96</v>
      </c>
      <c r="H134" s="18">
        <f t="shared" si="2"/>
        <v>16954.560000000001</v>
      </c>
      <c r="I134" s="61" t="s">
        <v>885</v>
      </c>
    </row>
    <row r="135" spans="1:9">
      <c r="A135" s="16" t="s">
        <v>92</v>
      </c>
      <c r="B135" s="16">
        <v>91926</v>
      </c>
      <c r="C135" s="15" t="s">
        <v>886</v>
      </c>
      <c r="D135" s="14" t="str">
        <f>Quantitativos!A298</f>
        <v>Cabo flexível 2,5mm2</v>
      </c>
      <c r="E135" s="16" t="str">
        <f>Quantitativos!B298</f>
        <v>m</v>
      </c>
      <c r="F135" s="19">
        <f>Quantitativos!R298</f>
        <v>2587</v>
      </c>
      <c r="G135" s="18">
        <v>4.46</v>
      </c>
      <c r="H135" s="18">
        <f t="shared" si="2"/>
        <v>11538.02</v>
      </c>
      <c r="I135" s="61" t="s">
        <v>887</v>
      </c>
    </row>
    <row r="136" spans="1:9">
      <c r="A136" s="16" t="s">
        <v>92</v>
      </c>
      <c r="B136" s="16">
        <v>91924</v>
      </c>
      <c r="C136" s="15" t="s">
        <v>888</v>
      </c>
      <c r="D136" s="14" t="str">
        <f>Quantitativos!A299</f>
        <v>Cabo flexível 1,5mm2</v>
      </c>
      <c r="E136" s="16" t="str">
        <f>Quantitativos!B299</f>
        <v>m</v>
      </c>
      <c r="F136" s="19">
        <f>Quantitativos!R299</f>
        <v>1862</v>
      </c>
      <c r="G136" s="18">
        <v>3.04</v>
      </c>
      <c r="H136" s="18">
        <f t="shared" si="2"/>
        <v>5660.48</v>
      </c>
      <c r="I136" s="61" t="s">
        <v>889</v>
      </c>
    </row>
    <row r="137" spans="1:9">
      <c r="A137" s="16" t="s">
        <v>92</v>
      </c>
      <c r="B137" s="16">
        <v>92004</v>
      </c>
      <c r="C137" s="15" t="s">
        <v>890</v>
      </c>
      <c r="D137" s="14" t="str">
        <f>Quantitativos!A300</f>
        <v>Tomada dupla</v>
      </c>
      <c r="E137" s="16" t="str">
        <f>Quantitativos!B300</f>
        <v>und</v>
      </c>
      <c r="F137" s="19">
        <f>Quantitativos!R300</f>
        <v>163</v>
      </c>
      <c r="G137" s="18">
        <v>59.96</v>
      </c>
      <c r="H137" s="18">
        <f t="shared" si="2"/>
        <v>9773.48</v>
      </c>
      <c r="I137" s="61" t="s">
        <v>891</v>
      </c>
    </row>
    <row r="138" spans="1:9">
      <c r="A138" s="16" t="s">
        <v>92</v>
      </c>
      <c r="B138" s="16">
        <v>91959</v>
      </c>
      <c r="C138" s="15" t="s">
        <v>892</v>
      </c>
      <c r="D138" s="14" t="str">
        <f>Quantitativos!A301</f>
        <v>Interruptores</v>
      </c>
      <c r="E138" s="16" t="str">
        <f>Quantitativos!B301</f>
        <v>und</v>
      </c>
      <c r="F138" s="19">
        <f>Quantitativos!R301</f>
        <v>137</v>
      </c>
      <c r="G138" s="18">
        <v>46.59</v>
      </c>
      <c r="H138" s="18">
        <f t="shared" si="2"/>
        <v>6382.83</v>
      </c>
      <c r="I138" s="61" t="s">
        <v>893</v>
      </c>
    </row>
    <row r="139" spans="1:9">
      <c r="A139" s="16" t="s">
        <v>92</v>
      </c>
      <c r="B139" s="16">
        <v>103782</v>
      </c>
      <c r="C139" s="15" t="s">
        <v>894</v>
      </c>
      <c r="D139" s="14" t="str">
        <f>Quantitativos!A302</f>
        <v>Luminárias</v>
      </c>
      <c r="E139" s="16" t="str">
        <f>Quantitativos!B302</f>
        <v>und</v>
      </c>
      <c r="F139" s="19">
        <f>Quantitativos!R302</f>
        <v>221</v>
      </c>
      <c r="G139" s="18">
        <v>32</v>
      </c>
      <c r="H139" s="18">
        <f t="shared" si="2"/>
        <v>7072</v>
      </c>
      <c r="I139" s="61" t="s">
        <v>895</v>
      </c>
    </row>
    <row r="140" spans="1:9">
      <c r="A140" s="16" t="s">
        <v>92</v>
      </c>
      <c r="B140" s="16">
        <v>97607</v>
      </c>
      <c r="C140" s="15" t="s">
        <v>896</v>
      </c>
      <c r="D140" s="14" t="str">
        <f>Quantitativos!A303</f>
        <v>Luminárias arandelas</v>
      </c>
      <c r="E140" s="16" t="str">
        <f>Quantitativos!B303</f>
        <v>und</v>
      </c>
      <c r="F140" s="19">
        <f>Quantitativos!R303</f>
        <v>80</v>
      </c>
      <c r="G140" s="18">
        <v>109.15</v>
      </c>
      <c r="H140" s="18">
        <f t="shared" si="2"/>
        <v>8732</v>
      </c>
      <c r="I140" s="61" t="s">
        <v>897</v>
      </c>
    </row>
    <row r="141" spans="1:9">
      <c r="A141" s="16" t="s">
        <v>92</v>
      </c>
      <c r="B141" s="16">
        <v>101876</v>
      </c>
      <c r="C141" s="15" t="s">
        <v>898</v>
      </c>
      <c r="D141" s="14" t="str">
        <f>Quantitativos!A304</f>
        <v>Quadro</v>
      </c>
      <c r="E141" s="16" t="str">
        <f>Quantitativos!B304</f>
        <v>und</v>
      </c>
      <c r="F141" s="19">
        <f>Quantitativos!R304</f>
        <v>54</v>
      </c>
      <c r="G141" s="18">
        <v>90.8</v>
      </c>
      <c r="H141" s="18">
        <f t="shared" si="2"/>
        <v>4903.2</v>
      </c>
      <c r="I141" s="61" t="s">
        <v>899</v>
      </c>
    </row>
    <row r="142" spans="1:9">
      <c r="A142" s="16" t="s">
        <v>92</v>
      </c>
      <c r="B142" s="16">
        <v>101881</v>
      </c>
      <c r="C142" s="15" t="s">
        <v>900</v>
      </c>
      <c r="D142" s="14" t="str">
        <f>Quantitativos!A305</f>
        <v>Quadro geral</v>
      </c>
      <c r="E142" s="16" t="str">
        <f>Quantitativos!B305</f>
        <v>und</v>
      </c>
      <c r="F142" s="19">
        <f>Quantitativos!R305</f>
        <v>1</v>
      </c>
      <c r="G142" s="18">
        <v>902.69</v>
      </c>
      <c r="H142" s="18">
        <f t="shared" si="2"/>
        <v>902.69</v>
      </c>
      <c r="I142" s="61" t="s">
        <v>901</v>
      </c>
    </row>
    <row r="143" spans="1:9">
      <c r="A143" s="16" t="s">
        <v>92</v>
      </c>
      <c r="B143" s="16">
        <v>93653</v>
      </c>
      <c r="C143" s="15" t="s">
        <v>902</v>
      </c>
      <c r="D143" s="14" t="str">
        <f>Quantitativos!A306</f>
        <v>Disjuntor monopolar 10A</v>
      </c>
      <c r="E143" s="16" t="str">
        <f>Quantitativos!B306</f>
        <v>und</v>
      </c>
      <c r="F143" s="19">
        <f>Quantitativos!R306</f>
        <v>226</v>
      </c>
      <c r="G143" s="18">
        <v>12.22</v>
      </c>
      <c r="H143" s="18">
        <f t="shared" si="2"/>
        <v>2761.72</v>
      </c>
      <c r="I143" s="61" t="s">
        <v>903</v>
      </c>
    </row>
    <row r="144" spans="1:9">
      <c r="A144" s="16" t="s">
        <v>92</v>
      </c>
      <c r="B144" s="16">
        <v>93654</v>
      </c>
      <c r="C144" s="15" t="s">
        <v>904</v>
      </c>
      <c r="D144" s="14" t="str">
        <f>Quantitativos!A307</f>
        <v>Disjuntor monopolar 16A</v>
      </c>
      <c r="E144" s="16" t="str">
        <f>Quantitativos!B307</f>
        <v>und</v>
      </c>
      <c r="F144" s="19">
        <f>Quantitativos!R307</f>
        <v>10</v>
      </c>
      <c r="G144" s="18">
        <v>12.82</v>
      </c>
      <c r="H144" s="18">
        <f t="shared" si="2"/>
        <v>128.19999999999999</v>
      </c>
      <c r="I144" s="61" t="s">
        <v>905</v>
      </c>
    </row>
    <row r="145" spans="1:15">
      <c r="A145" s="16" t="s">
        <v>92</v>
      </c>
      <c r="B145" s="16">
        <v>93656</v>
      </c>
      <c r="C145" s="15" t="s">
        <v>906</v>
      </c>
      <c r="D145" s="14" t="str">
        <f>Quantitativos!A308</f>
        <v>Disjuntor monopolar 20A</v>
      </c>
      <c r="E145" s="16" t="str">
        <f>Quantitativos!B308</f>
        <v>und</v>
      </c>
      <c r="F145" s="19">
        <f>Quantitativos!R308</f>
        <v>11</v>
      </c>
      <c r="G145" s="18">
        <v>14.12</v>
      </c>
      <c r="H145" s="18">
        <f t="shared" si="2"/>
        <v>155.32</v>
      </c>
      <c r="I145" s="61" t="s">
        <v>907</v>
      </c>
    </row>
    <row r="146" spans="1:15">
      <c r="A146" s="16" t="s">
        <v>92</v>
      </c>
      <c r="B146" s="16">
        <v>93673</v>
      </c>
      <c r="C146" s="15" t="s">
        <v>908</v>
      </c>
      <c r="D146" s="14" t="str">
        <f>Quantitativos!A309</f>
        <v>Disjuntor tripolar 50A</v>
      </c>
      <c r="E146" s="16" t="str">
        <f>Quantitativos!B309</f>
        <v>und</v>
      </c>
      <c r="F146" s="19">
        <f>Quantitativos!R309</f>
        <v>2</v>
      </c>
      <c r="G146" s="18">
        <v>99.9</v>
      </c>
      <c r="H146" s="18">
        <f t="shared" si="2"/>
        <v>199.8</v>
      </c>
      <c r="I146" s="61" t="s">
        <v>909</v>
      </c>
    </row>
    <row r="147" spans="1:15">
      <c r="A147" s="16" t="s">
        <v>629</v>
      </c>
      <c r="B147" s="16" t="s">
        <v>910</v>
      </c>
      <c r="C147" s="15" t="s">
        <v>911</v>
      </c>
      <c r="D147" s="14" t="str">
        <f>Quantitativos!A311</f>
        <v>Conjunto moto-bomba e filtro</v>
      </c>
      <c r="E147" s="16" t="str">
        <f>Quantitativos!B311</f>
        <v>und</v>
      </c>
      <c r="F147" s="19">
        <f>Quantitativos!R311</f>
        <v>1</v>
      </c>
      <c r="G147" s="18">
        <v>1723.04</v>
      </c>
      <c r="H147" s="18">
        <f t="shared" si="2"/>
        <v>1723.04</v>
      </c>
      <c r="I147" s="64" t="s">
        <v>912</v>
      </c>
    </row>
    <row r="148" spans="1:15">
      <c r="A148" s="16" t="s">
        <v>92</v>
      </c>
      <c r="B148" s="16">
        <v>98111</v>
      </c>
      <c r="C148" s="15" t="s">
        <v>913</v>
      </c>
      <c r="D148" s="14" t="s">
        <v>914</v>
      </c>
      <c r="E148" s="16" t="s">
        <v>151</v>
      </c>
      <c r="F148" s="19">
        <v>3</v>
      </c>
      <c r="G148" s="18">
        <v>47.78</v>
      </c>
      <c r="H148" s="18">
        <f t="shared" si="2"/>
        <v>143.34</v>
      </c>
      <c r="I148" s="61" t="s">
        <v>915</v>
      </c>
    </row>
    <row r="149" spans="1:15">
      <c r="A149" s="16" t="s">
        <v>92</v>
      </c>
      <c r="B149" s="16">
        <v>96986</v>
      </c>
      <c r="C149" s="15" t="s">
        <v>916</v>
      </c>
      <c r="D149" s="14" t="s">
        <v>917</v>
      </c>
      <c r="E149" s="16" t="s">
        <v>151</v>
      </c>
      <c r="F149" s="19">
        <v>3</v>
      </c>
      <c r="G149" s="18">
        <v>135.63</v>
      </c>
      <c r="H149" s="18">
        <f t="shared" si="2"/>
        <v>406.89</v>
      </c>
      <c r="I149" s="61" t="s">
        <v>918</v>
      </c>
    </row>
    <row r="150" spans="1:15">
      <c r="A150" s="16" t="s">
        <v>92</v>
      </c>
      <c r="B150" s="16">
        <v>97881</v>
      </c>
      <c r="C150" s="15" t="s">
        <v>919</v>
      </c>
      <c r="D150" s="14" t="s">
        <v>920</v>
      </c>
      <c r="E150" s="16" t="s">
        <v>151</v>
      </c>
      <c r="F150" s="19">
        <v>10</v>
      </c>
      <c r="G150" s="18">
        <v>129.61000000000001</v>
      </c>
      <c r="H150" s="18">
        <f t="shared" si="2"/>
        <v>1296.0999999999999</v>
      </c>
      <c r="I150" s="61" t="s">
        <v>921</v>
      </c>
    </row>
    <row r="151" spans="1:15">
      <c r="A151" s="11" t="s">
        <v>123</v>
      </c>
      <c r="B151" s="11" t="s">
        <v>124</v>
      </c>
      <c r="C151" s="10" t="s">
        <v>922</v>
      </c>
      <c r="D151" s="270" t="s">
        <v>923</v>
      </c>
      <c r="E151" s="271"/>
      <c r="F151" s="271"/>
      <c r="G151" s="272"/>
      <c r="H151" s="13">
        <f>TRUNC(SUM(H152:H157))</f>
        <v>11376</v>
      </c>
      <c r="I151" s="61"/>
      <c r="J151" s="6"/>
      <c r="K151" s="5"/>
      <c r="L151" s="5"/>
      <c r="M151" s="5"/>
      <c r="N151" s="5"/>
      <c r="O151" s="5"/>
    </row>
    <row r="152" spans="1:15">
      <c r="A152" s="16" t="s">
        <v>92</v>
      </c>
      <c r="B152" s="16">
        <v>93008</v>
      </c>
      <c r="C152" s="15" t="s">
        <v>924</v>
      </c>
      <c r="D152" s="14" t="s">
        <v>373</v>
      </c>
      <c r="E152" s="16" t="s">
        <v>104</v>
      </c>
      <c r="F152" s="19">
        <f>Quantitativos!R314</f>
        <v>186</v>
      </c>
      <c r="G152" s="18">
        <v>18.399999999999999</v>
      </c>
      <c r="H152" s="18">
        <f t="shared" ref="H152:H157" si="3">TRUNC(F152*G152,2)</f>
        <v>3422.4</v>
      </c>
      <c r="I152" s="61" t="s">
        <v>871</v>
      </c>
    </row>
    <row r="153" spans="1:15">
      <c r="A153" s="16" t="s">
        <v>92</v>
      </c>
      <c r="B153" s="16">
        <v>91854</v>
      </c>
      <c r="C153" s="15" t="s">
        <v>925</v>
      </c>
      <c r="D153" s="14" t="s">
        <v>372</v>
      </c>
      <c r="E153" s="16" t="s">
        <v>104</v>
      </c>
      <c r="F153" s="19">
        <f>Quantitativos!R315</f>
        <v>283</v>
      </c>
      <c r="G153" s="18">
        <v>9.18</v>
      </c>
      <c r="H153" s="18">
        <f t="shared" si="3"/>
        <v>2597.94</v>
      </c>
      <c r="I153" s="61" t="s">
        <v>869</v>
      </c>
    </row>
    <row r="154" spans="1:15">
      <c r="A154" s="16" t="s">
        <v>92</v>
      </c>
      <c r="B154" s="16">
        <v>91940</v>
      </c>
      <c r="C154" s="15" t="s">
        <v>926</v>
      </c>
      <c r="D154" s="14" t="s">
        <v>376</v>
      </c>
      <c r="E154" s="16" t="s">
        <v>151</v>
      </c>
      <c r="F154" s="19">
        <f>Quantitativos!R316</f>
        <v>58</v>
      </c>
      <c r="G154" s="18">
        <v>17.21</v>
      </c>
      <c r="H154" s="18">
        <f t="shared" si="3"/>
        <v>998.18</v>
      </c>
      <c r="I154" s="61" t="s">
        <v>875</v>
      </c>
    </row>
    <row r="155" spans="1:15">
      <c r="A155" s="16" t="s">
        <v>92</v>
      </c>
      <c r="B155" s="16">
        <v>98262</v>
      </c>
      <c r="C155" s="15" t="s">
        <v>927</v>
      </c>
      <c r="D155" s="14" t="s">
        <v>397</v>
      </c>
      <c r="E155" s="16" t="s">
        <v>104</v>
      </c>
      <c r="F155" s="19">
        <f>Quantitativos!R317</f>
        <v>402</v>
      </c>
      <c r="G155" s="18">
        <v>4.9800000000000004</v>
      </c>
      <c r="H155" s="18">
        <f t="shared" si="3"/>
        <v>2001.96</v>
      </c>
      <c r="I155" s="61" t="s">
        <v>928</v>
      </c>
    </row>
    <row r="156" spans="1:15">
      <c r="A156" s="16" t="s">
        <v>92</v>
      </c>
      <c r="B156" s="16">
        <v>983098</v>
      </c>
      <c r="C156" s="15" t="s">
        <v>929</v>
      </c>
      <c r="D156" s="14" t="s">
        <v>398</v>
      </c>
      <c r="E156" s="16" t="s">
        <v>151</v>
      </c>
      <c r="F156" s="19">
        <f>Quantitativos!R318</f>
        <v>58</v>
      </c>
      <c r="G156" s="18">
        <v>33.479999999999997</v>
      </c>
      <c r="H156" s="18">
        <f t="shared" si="3"/>
        <v>1941.84</v>
      </c>
      <c r="I156" s="61" t="s">
        <v>930</v>
      </c>
    </row>
    <row r="157" spans="1:15">
      <c r="A157" s="16" t="s">
        <v>92</v>
      </c>
      <c r="B157" s="16">
        <v>100563</v>
      </c>
      <c r="C157" s="15" t="s">
        <v>931</v>
      </c>
      <c r="D157" s="14" t="s">
        <v>388</v>
      </c>
      <c r="E157" s="16" t="s">
        <v>151</v>
      </c>
      <c r="F157" s="19">
        <f>Quantitativos!R319</f>
        <v>1</v>
      </c>
      <c r="G157" s="18">
        <v>414.58</v>
      </c>
      <c r="H157" s="18">
        <f t="shared" si="3"/>
        <v>414.58</v>
      </c>
      <c r="I157" s="61" t="s">
        <v>932</v>
      </c>
    </row>
    <row r="158" spans="1:15" s="2" customFormat="1">
      <c r="A158" s="11" t="s">
        <v>123</v>
      </c>
      <c r="B158" s="11" t="s">
        <v>124</v>
      </c>
      <c r="C158" s="10" t="s">
        <v>933</v>
      </c>
      <c r="D158" s="270" t="s">
        <v>934</v>
      </c>
      <c r="E158" s="271"/>
      <c r="F158" s="271"/>
      <c r="G158" s="272"/>
      <c r="H158" s="13">
        <f>TRUNC(SUM(H159:H163),2)</f>
        <v>311041.82</v>
      </c>
      <c r="I158" s="61"/>
      <c r="J158" s="6"/>
      <c r="K158" s="5"/>
      <c r="L158" s="5"/>
      <c r="M158" s="5"/>
      <c r="N158" s="5"/>
      <c r="O158" s="5"/>
    </row>
    <row r="159" spans="1:15">
      <c r="A159" s="16" t="s">
        <v>629</v>
      </c>
      <c r="B159" s="16" t="s">
        <v>935</v>
      </c>
      <c r="C159" s="15" t="s">
        <v>936</v>
      </c>
      <c r="D159" s="14" t="s">
        <v>937</v>
      </c>
      <c r="E159" s="16" t="s">
        <v>104</v>
      </c>
      <c r="F159" s="19">
        <f>Quantitativos!D357</f>
        <v>300.5</v>
      </c>
      <c r="G159" s="18">
        <v>500</v>
      </c>
      <c r="H159" s="18">
        <f t="shared" si="2"/>
        <v>150250</v>
      </c>
      <c r="I159" s="61"/>
    </row>
    <row r="160" spans="1:15">
      <c r="A160" s="16" t="s">
        <v>629</v>
      </c>
      <c r="B160" s="16" t="s">
        <v>938</v>
      </c>
      <c r="C160" s="15" t="s">
        <v>939</v>
      </c>
      <c r="D160" s="14" t="s">
        <v>940</v>
      </c>
      <c r="E160" s="16" t="s">
        <v>151</v>
      </c>
      <c r="F160" s="19">
        <f>Quantitativos!D337</f>
        <v>1</v>
      </c>
      <c r="G160" s="18">
        <v>1978.2</v>
      </c>
      <c r="H160" s="18">
        <f t="shared" si="2"/>
        <v>1978.2</v>
      </c>
      <c r="I160" s="64" t="s">
        <v>941</v>
      </c>
    </row>
    <row r="161" spans="1:15">
      <c r="A161" s="16" t="s">
        <v>629</v>
      </c>
      <c r="B161" s="16" t="s">
        <v>942</v>
      </c>
      <c r="C161" s="15" t="s">
        <v>943</v>
      </c>
      <c r="D161" s="14" t="s">
        <v>944</v>
      </c>
      <c r="E161" s="16" t="s">
        <v>151</v>
      </c>
      <c r="F161" s="19">
        <f>Quantitativos!D338</f>
        <v>11</v>
      </c>
      <c r="G161" s="18">
        <v>2245.9899999999998</v>
      </c>
      <c r="H161" s="18">
        <f t="shared" si="2"/>
        <v>24705.89</v>
      </c>
      <c r="I161" s="64" t="s">
        <v>945</v>
      </c>
    </row>
    <row r="162" spans="1:15">
      <c r="A162" s="16" t="s">
        <v>629</v>
      </c>
      <c r="B162" s="16" t="s">
        <v>946</v>
      </c>
      <c r="C162" s="15" t="s">
        <v>947</v>
      </c>
      <c r="D162" s="14" t="s">
        <v>948</v>
      </c>
      <c r="E162" s="16" t="s">
        <v>151</v>
      </c>
      <c r="F162" s="19">
        <f>Quantitativos!D339</f>
        <v>3</v>
      </c>
      <c r="G162" s="18">
        <v>3173.91</v>
      </c>
      <c r="H162" s="18">
        <f t="shared" si="2"/>
        <v>9521.73</v>
      </c>
      <c r="I162" s="64" t="s">
        <v>949</v>
      </c>
    </row>
    <row r="163" spans="1:15">
      <c r="A163" s="16" t="s">
        <v>629</v>
      </c>
      <c r="B163" s="16" t="s">
        <v>950</v>
      </c>
      <c r="C163" s="15" t="s">
        <v>951</v>
      </c>
      <c r="D163" s="14" t="s">
        <v>952</v>
      </c>
      <c r="E163" s="16" t="s">
        <v>151</v>
      </c>
      <c r="F163" s="19">
        <f>Quantitativos!D340</f>
        <v>14</v>
      </c>
      <c r="G163" s="18">
        <v>8899</v>
      </c>
      <c r="H163" s="18">
        <f t="shared" si="2"/>
        <v>124586</v>
      </c>
      <c r="I163" s="64" t="s">
        <v>953</v>
      </c>
    </row>
    <row r="164" spans="1:15" s="2" customFormat="1">
      <c r="A164" s="11" t="s">
        <v>123</v>
      </c>
      <c r="B164" s="11" t="s">
        <v>124</v>
      </c>
      <c r="C164" s="10" t="s">
        <v>954</v>
      </c>
      <c r="D164" s="270" t="s">
        <v>955</v>
      </c>
      <c r="E164" s="271"/>
      <c r="F164" s="271"/>
      <c r="G164" s="271"/>
      <c r="H164" s="60">
        <f>TRUNC(SUM(H165:H168),2)</f>
        <v>10796.69</v>
      </c>
      <c r="I164" s="61"/>
      <c r="J164" s="6"/>
      <c r="K164" s="5"/>
      <c r="L164" s="5"/>
      <c r="M164" s="5"/>
      <c r="N164" s="5"/>
      <c r="O164" s="5"/>
    </row>
    <row r="165" spans="1:15">
      <c r="A165" s="16" t="s">
        <v>92</v>
      </c>
      <c r="B165" s="16">
        <v>89865</v>
      </c>
      <c r="C165" s="15" t="s">
        <v>956</v>
      </c>
      <c r="D165" s="14" t="s">
        <v>363</v>
      </c>
      <c r="E165" s="16" t="s">
        <v>104</v>
      </c>
      <c r="F165" s="19">
        <f>Quantitativos!E357</f>
        <v>540.5</v>
      </c>
      <c r="G165" s="18">
        <v>15.63</v>
      </c>
      <c r="H165" s="18">
        <f t="shared" si="2"/>
        <v>8448.01</v>
      </c>
      <c r="I165" s="61" t="s">
        <v>957</v>
      </c>
    </row>
    <row r="166" spans="1:15">
      <c r="A166" s="16" t="s">
        <v>92</v>
      </c>
      <c r="B166" s="16">
        <v>89866</v>
      </c>
      <c r="C166" s="15" t="s">
        <v>958</v>
      </c>
      <c r="D166" s="14" t="s">
        <v>365</v>
      </c>
      <c r="E166" s="16" t="s">
        <v>151</v>
      </c>
      <c r="F166" s="19">
        <f>Quantitativos!F357</f>
        <v>160</v>
      </c>
      <c r="G166" s="18">
        <v>6.8</v>
      </c>
      <c r="H166" s="18">
        <f t="shared" si="2"/>
        <v>1088</v>
      </c>
      <c r="I166" s="61" t="s">
        <v>959</v>
      </c>
    </row>
    <row r="167" spans="1:15">
      <c r="A167" s="16" t="s">
        <v>92</v>
      </c>
      <c r="B167" s="16">
        <v>89867</v>
      </c>
      <c r="C167" s="15" t="s">
        <v>960</v>
      </c>
      <c r="D167" s="14" t="s">
        <v>961</v>
      </c>
      <c r="E167" s="16" t="s">
        <v>151</v>
      </c>
      <c r="F167" s="19">
        <f>Quantitativos!G357</f>
        <v>160</v>
      </c>
      <c r="G167" s="18">
        <v>7.49</v>
      </c>
      <c r="H167" s="18">
        <f t="shared" si="2"/>
        <v>1198.4000000000001</v>
      </c>
      <c r="I167" s="61" t="s">
        <v>962</v>
      </c>
    </row>
    <row r="168" spans="1:15">
      <c r="A168" s="16" t="s">
        <v>92</v>
      </c>
      <c r="B168" s="16">
        <v>89868</v>
      </c>
      <c r="C168" s="15" t="s">
        <v>963</v>
      </c>
      <c r="D168" s="14" t="s">
        <v>964</v>
      </c>
      <c r="E168" s="16" t="s">
        <v>151</v>
      </c>
      <c r="F168" s="19">
        <v>12</v>
      </c>
      <c r="G168" s="18">
        <v>5.19</v>
      </c>
      <c r="H168" s="18">
        <f t="shared" si="2"/>
        <v>62.28</v>
      </c>
      <c r="I168" s="61" t="s">
        <v>965</v>
      </c>
    </row>
    <row r="169" spans="1:15">
      <c r="A169" s="11" t="s">
        <v>123</v>
      </c>
      <c r="B169" s="11" t="s">
        <v>124</v>
      </c>
      <c r="C169" s="10">
        <v>8</v>
      </c>
      <c r="D169" s="270" t="s">
        <v>966</v>
      </c>
      <c r="E169" s="271"/>
      <c r="F169" s="271"/>
      <c r="G169" s="272"/>
      <c r="H169" s="13">
        <f>TRUNC(SUM(H170:H177),2)</f>
        <v>463267.64</v>
      </c>
      <c r="I169" s="61"/>
    </row>
    <row r="170" spans="1:15">
      <c r="A170" s="16" t="s">
        <v>92</v>
      </c>
      <c r="B170" s="16">
        <v>97087</v>
      </c>
      <c r="C170" s="15" t="s">
        <v>967</v>
      </c>
      <c r="D170" s="14" t="s">
        <v>432</v>
      </c>
      <c r="E170" s="16" t="s">
        <v>95</v>
      </c>
      <c r="F170" s="19">
        <f>Quantitativos!C368</f>
        <v>3010.4399999999996</v>
      </c>
      <c r="G170" s="18">
        <v>2.65</v>
      </c>
      <c r="H170" s="18">
        <f t="shared" si="2"/>
        <v>7977.66</v>
      </c>
      <c r="I170" s="61" t="s">
        <v>968</v>
      </c>
    </row>
    <row r="171" spans="1:15">
      <c r="A171" s="16" t="s">
        <v>92</v>
      </c>
      <c r="B171" s="16">
        <v>97088</v>
      </c>
      <c r="C171" s="15" t="s">
        <v>969</v>
      </c>
      <c r="D171" s="14" t="s">
        <v>970</v>
      </c>
      <c r="E171" s="16" t="s">
        <v>117</v>
      </c>
      <c r="F171" s="19">
        <f>Quantitativos!D368</f>
        <v>4395.2424000000001</v>
      </c>
      <c r="G171" s="18">
        <v>15.14</v>
      </c>
      <c r="H171" s="18">
        <f t="shared" si="2"/>
        <v>66543.960000000006</v>
      </c>
      <c r="I171" s="61" t="s">
        <v>971</v>
      </c>
    </row>
    <row r="172" spans="1:15">
      <c r="A172" s="16" t="s">
        <v>92</v>
      </c>
      <c r="B172" s="16">
        <v>97096</v>
      </c>
      <c r="C172" s="15" t="s">
        <v>972</v>
      </c>
      <c r="D172" s="14" t="s">
        <v>973</v>
      </c>
      <c r="E172" s="16" t="s">
        <v>619</v>
      </c>
      <c r="F172" s="19">
        <f>Quantitativos!E368</f>
        <v>150.52199999999999</v>
      </c>
      <c r="G172" s="18">
        <v>676.43</v>
      </c>
      <c r="H172" s="18">
        <f t="shared" si="2"/>
        <v>101817.59</v>
      </c>
      <c r="I172" s="61" t="s">
        <v>974</v>
      </c>
    </row>
    <row r="173" spans="1:15">
      <c r="A173" s="16" t="s">
        <v>92</v>
      </c>
      <c r="B173" s="16">
        <v>98556</v>
      </c>
      <c r="C173" s="15" t="s">
        <v>975</v>
      </c>
      <c r="D173" s="14" t="s">
        <v>976</v>
      </c>
      <c r="E173" s="16" t="s">
        <v>95</v>
      </c>
      <c r="F173" s="19">
        <f>Quantitativos!F382</f>
        <v>382.54</v>
      </c>
      <c r="G173" s="18">
        <v>69.849999999999994</v>
      </c>
      <c r="H173" s="18">
        <f t="shared" si="2"/>
        <v>26720.41</v>
      </c>
      <c r="I173" s="61" t="s">
        <v>682</v>
      </c>
    </row>
    <row r="174" spans="1:15">
      <c r="A174" s="16" t="s">
        <v>92</v>
      </c>
      <c r="B174" s="16">
        <v>97630</v>
      </c>
      <c r="C174" s="15" t="s">
        <v>977</v>
      </c>
      <c r="D174" s="14" t="s">
        <v>435</v>
      </c>
      <c r="E174" s="16" t="s">
        <v>95</v>
      </c>
      <c r="F174" s="19">
        <f>Quantitativos!F368</f>
        <v>3010.4399999999996</v>
      </c>
      <c r="G174" s="18">
        <v>44.58</v>
      </c>
      <c r="H174" s="18">
        <f t="shared" si="2"/>
        <v>134205.41</v>
      </c>
      <c r="I174" s="61" t="s">
        <v>978</v>
      </c>
    </row>
    <row r="175" spans="1:15">
      <c r="A175" s="16" t="s">
        <v>92</v>
      </c>
      <c r="B175" s="16">
        <v>94273</v>
      </c>
      <c r="C175" s="15" t="s">
        <v>979</v>
      </c>
      <c r="D175" s="14" t="s">
        <v>980</v>
      </c>
      <c r="E175" s="16" t="s">
        <v>95</v>
      </c>
      <c r="F175" s="19">
        <f>Quantitativos!G368</f>
        <v>155.69999999999999</v>
      </c>
      <c r="G175" s="18">
        <v>38.29</v>
      </c>
      <c r="H175" s="18">
        <f t="shared" si="2"/>
        <v>5961.75</v>
      </c>
      <c r="I175" s="61" t="s">
        <v>981</v>
      </c>
    </row>
    <row r="176" spans="1:15">
      <c r="A176" s="16" t="s">
        <v>629</v>
      </c>
      <c r="B176" s="16" t="s">
        <v>982</v>
      </c>
      <c r="C176" s="15" t="s">
        <v>983</v>
      </c>
      <c r="D176" s="14" t="s">
        <v>984</v>
      </c>
      <c r="E176" s="16" t="s">
        <v>95</v>
      </c>
      <c r="F176" s="19">
        <f>Quantitativos!I368</f>
        <v>1203.9000000000001</v>
      </c>
      <c r="G176" s="18">
        <v>99.04</v>
      </c>
      <c r="H176" s="18">
        <f t="shared" ref="H176:H177" si="4">TRUNC(F176*G176,2)</f>
        <v>119234.25</v>
      </c>
      <c r="I176" s="61" t="s">
        <v>985</v>
      </c>
    </row>
    <row r="177" spans="1:9">
      <c r="A177" s="16" t="s">
        <v>92</v>
      </c>
      <c r="B177" s="16">
        <v>97084</v>
      </c>
      <c r="C177" s="15" t="s">
        <v>986</v>
      </c>
      <c r="D177" s="14" t="s">
        <v>193</v>
      </c>
      <c r="E177" s="16" t="s">
        <v>95</v>
      </c>
      <c r="F177" s="19">
        <f>Quantitativos!J368</f>
        <v>1203.9000000000001</v>
      </c>
      <c r="G177" s="18">
        <v>0.67</v>
      </c>
      <c r="H177" s="18">
        <f t="shared" si="4"/>
        <v>806.61</v>
      </c>
      <c r="I177" s="61" t="s">
        <v>987</v>
      </c>
    </row>
    <row r="178" spans="1:9">
      <c r="A178" s="11" t="s">
        <v>123</v>
      </c>
      <c r="B178" s="11" t="s">
        <v>124</v>
      </c>
      <c r="C178" s="10">
        <v>9</v>
      </c>
      <c r="D178" s="270" t="s">
        <v>988</v>
      </c>
      <c r="E178" s="271"/>
      <c r="F178" s="271"/>
      <c r="G178" s="272"/>
      <c r="H178" s="13">
        <f>TRUNC(SUM(H179:H180),2)</f>
        <v>431245.46</v>
      </c>
      <c r="I178" s="61"/>
    </row>
    <row r="179" spans="1:9">
      <c r="A179" s="16" t="s">
        <v>92</v>
      </c>
      <c r="B179" s="16">
        <v>87878</v>
      </c>
      <c r="C179" s="15" t="s">
        <v>989</v>
      </c>
      <c r="D179" s="14" t="s">
        <v>230</v>
      </c>
      <c r="E179" s="16" t="s">
        <v>95</v>
      </c>
      <c r="F179" s="19">
        <f>Quantitativos!F148</f>
        <v>12974.88</v>
      </c>
      <c r="G179" s="18">
        <v>4.9800000000000004</v>
      </c>
      <c r="H179" s="18">
        <f t="shared" ref="H179:H228" si="5">TRUNC(F179*G179,2)</f>
        <v>64614.9</v>
      </c>
      <c r="I179" s="61" t="s">
        <v>990</v>
      </c>
    </row>
    <row r="180" spans="1:9">
      <c r="A180" s="16" t="s">
        <v>92</v>
      </c>
      <c r="B180" s="16">
        <v>87535</v>
      </c>
      <c r="C180" s="15" t="s">
        <v>991</v>
      </c>
      <c r="D180" s="14" t="s">
        <v>232</v>
      </c>
      <c r="E180" s="16" t="s">
        <v>95</v>
      </c>
      <c r="F180" s="19">
        <f>Quantitativos!F157</f>
        <v>11140.4</v>
      </c>
      <c r="G180" s="18">
        <v>32.909999999999997</v>
      </c>
      <c r="H180" s="18">
        <f t="shared" si="5"/>
        <v>366630.56</v>
      </c>
      <c r="I180" s="61" t="s">
        <v>992</v>
      </c>
    </row>
    <row r="181" spans="1:9">
      <c r="A181" s="11" t="s">
        <v>123</v>
      </c>
      <c r="B181" s="11" t="s">
        <v>124</v>
      </c>
      <c r="C181" s="10">
        <v>10</v>
      </c>
      <c r="D181" s="270" t="s">
        <v>993</v>
      </c>
      <c r="E181" s="271"/>
      <c r="F181" s="271"/>
      <c r="G181" s="272"/>
      <c r="H181" s="13">
        <f>TRUNC(SUM(H182:H185),2)</f>
        <v>150984.21</v>
      </c>
      <c r="I181" s="61"/>
    </row>
    <row r="182" spans="1:9">
      <c r="A182" s="16" t="s">
        <v>92</v>
      </c>
      <c r="B182" s="16">
        <v>96114</v>
      </c>
      <c r="C182" s="15" t="s">
        <v>994</v>
      </c>
      <c r="D182" s="14" t="s">
        <v>995</v>
      </c>
      <c r="E182" s="16" t="s">
        <v>95</v>
      </c>
      <c r="F182" s="19">
        <f>Quantitativos!E419</f>
        <v>1826.9499999999996</v>
      </c>
      <c r="G182" s="18">
        <v>77.17</v>
      </c>
      <c r="H182" s="18">
        <f t="shared" si="5"/>
        <v>140985.73000000001</v>
      </c>
      <c r="I182" s="61" t="s">
        <v>996</v>
      </c>
    </row>
    <row r="183" spans="1:9">
      <c r="A183" s="16" t="s">
        <v>92</v>
      </c>
      <c r="B183" s="16">
        <v>86889</v>
      </c>
      <c r="C183" s="15" t="s">
        <v>997</v>
      </c>
      <c r="D183" s="14" t="s">
        <v>998</v>
      </c>
      <c r="E183" s="16" t="s">
        <v>151</v>
      </c>
      <c r="F183" s="19">
        <f>Quantitativos!C422+Quantitativos!C423+Quantitativos!C424+Quantitativos!C425+Quantitativos!C426</f>
        <v>9</v>
      </c>
      <c r="G183" s="18">
        <v>836.88</v>
      </c>
      <c r="H183" s="18">
        <f t="shared" si="5"/>
        <v>7531.92</v>
      </c>
      <c r="I183" s="61" t="s">
        <v>999</v>
      </c>
    </row>
    <row r="184" spans="1:9">
      <c r="A184" s="16" t="s">
        <v>92</v>
      </c>
      <c r="B184" s="16">
        <v>86900</v>
      </c>
      <c r="C184" s="15" t="s">
        <v>1000</v>
      </c>
      <c r="D184" s="14" t="s">
        <v>1001</v>
      </c>
      <c r="E184" s="16" t="s">
        <v>151</v>
      </c>
      <c r="F184" s="19">
        <f>Quantitativos!D428</f>
        <v>5</v>
      </c>
      <c r="G184" s="18">
        <v>211.81</v>
      </c>
      <c r="H184" s="18">
        <f t="shared" si="5"/>
        <v>1059.05</v>
      </c>
      <c r="I184" s="61" t="s">
        <v>1002</v>
      </c>
    </row>
    <row r="185" spans="1:9">
      <c r="A185" s="16" t="s">
        <v>92</v>
      </c>
      <c r="B185" s="16">
        <v>86934</v>
      </c>
      <c r="C185" s="15" t="s">
        <v>1003</v>
      </c>
      <c r="D185" s="14" t="s">
        <v>1004</v>
      </c>
      <c r="E185" s="16" t="s">
        <v>151</v>
      </c>
      <c r="F185" s="19">
        <v>3</v>
      </c>
      <c r="G185" s="18">
        <v>469.17</v>
      </c>
      <c r="H185" s="18">
        <f t="shared" si="5"/>
        <v>1407.51</v>
      </c>
      <c r="I185" s="61" t="s">
        <v>1005</v>
      </c>
    </row>
    <row r="186" spans="1:9">
      <c r="A186" s="11" t="s">
        <v>123</v>
      </c>
      <c r="B186" s="11" t="s">
        <v>124</v>
      </c>
      <c r="C186" s="10">
        <v>11</v>
      </c>
      <c r="D186" s="270" t="s">
        <v>1006</v>
      </c>
      <c r="E186" s="271"/>
      <c r="F186" s="271"/>
      <c r="G186" s="272"/>
      <c r="H186" s="13">
        <f>TRUNC(SUM(H187:H189),2)</f>
        <v>436378.9</v>
      </c>
      <c r="I186" s="61"/>
    </row>
    <row r="187" spans="1:9">
      <c r="A187" s="16" t="s">
        <v>92</v>
      </c>
      <c r="B187" s="16">
        <v>87257</v>
      </c>
      <c r="C187" s="15" t="s">
        <v>1007</v>
      </c>
      <c r="D187" s="14" t="s">
        <v>1008</v>
      </c>
      <c r="E187" s="16" t="s">
        <v>95</v>
      </c>
      <c r="F187" s="19">
        <f>Quantitativos!L368</f>
        <v>2789.26</v>
      </c>
      <c r="G187" s="18">
        <v>91.2</v>
      </c>
      <c r="H187" s="18">
        <f t="shared" si="5"/>
        <v>254380.51</v>
      </c>
      <c r="I187" s="61" t="s">
        <v>1009</v>
      </c>
    </row>
    <row r="188" spans="1:9">
      <c r="A188" s="16" t="s">
        <v>92</v>
      </c>
      <c r="B188" s="16">
        <v>104611</v>
      </c>
      <c r="C188" s="15" t="s">
        <v>1010</v>
      </c>
      <c r="D188" s="14" t="s">
        <v>1011</v>
      </c>
      <c r="E188" s="16" t="s">
        <v>95</v>
      </c>
      <c r="F188" s="19">
        <f>Quantitativos!I479</f>
        <v>1767.51</v>
      </c>
      <c r="G188" s="18">
        <v>86.78</v>
      </c>
      <c r="H188" s="18">
        <f t="shared" si="5"/>
        <v>153384.51</v>
      </c>
      <c r="I188" s="61" t="s">
        <v>1012</v>
      </c>
    </row>
    <row r="189" spans="1:9">
      <c r="A189" s="16" t="s">
        <v>92</v>
      </c>
      <c r="B189" s="16">
        <v>10616</v>
      </c>
      <c r="C189" s="15" t="s">
        <v>1013</v>
      </c>
      <c r="D189" s="14" t="s">
        <v>1014</v>
      </c>
      <c r="E189" s="16" t="s">
        <v>95</v>
      </c>
      <c r="F189" s="19">
        <f>Quantitativos!C483</f>
        <v>93.02000000000001</v>
      </c>
      <c r="G189" s="18">
        <v>307.61</v>
      </c>
      <c r="H189" s="18">
        <f t="shared" si="5"/>
        <v>28613.88</v>
      </c>
      <c r="I189" s="61" t="s">
        <v>1015</v>
      </c>
    </row>
    <row r="190" spans="1:9">
      <c r="A190" s="11" t="s">
        <v>123</v>
      </c>
      <c r="B190" s="11" t="s">
        <v>124</v>
      </c>
      <c r="C190" s="10">
        <v>12</v>
      </c>
      <c r="D190" s="270" t="s">
        <v>1016</v>
      </c>
      <c r="E190" s="271"/>
      <c r="F190" s="271"/>
      <c r="G190" s="272"/>
      <c r="H190" s="13">
        <f>TRUNC(SUM(H191:H200),2)</f>
        <v>245997.4</v>
      </c>
      <c r="I190" s="61"/>
    </row>
    <row r="191" spans="1:9">
      <c r="A191" s="16" t="s">
        <v>92</v>
      </c>
      <c r="B191" s="16">
        <v>90799</v>
      </c>
      <c r="C191" s="15" t="s">
        <v>1017</v>
      </c>
      <c r="D191" s="14" t="s">
        <v>1018</v>
      </c>
      <c r="E191" s="16" t="s">
        <v>95</v>
      </c>
      <c r="F191" s="19">
        <f>Quantitativos!C439</f>
        <v>17</v>
      </c>
      <c r="G191" s="18">
        <v>1209.4100000000001</v>
      </c>
      <c r="H191" s="18">
        <f t="shared" si="5"/>
        <v>20559.97</v>
      </c>
      <c r="I191" s="61" t="s">
        <v>1019</v>
      </c>
    </row>
    <row r="192" spans="1:9">
      <c r="A192" s="16" t="s">
        <v>92</v>
      </c>
      <c r="B192" s="16">
        <v>90798</v>
      </c>
      <c r="C192" s="15" t="s">
        <v>1020</v>
      </c>
      <c r="D192" s="14" t="s">
        <v>1021</v>
      </c>
      <c r="E192" s="16" t="s">
        <v>95</v>
      </c>
      <c r="F192" s="19">
        <f>Quantitativos!D439</f>
        <v>108</v>
      </c>
      <c r="G192" s="18">
        <v>1172.44</v>
      </c>
      <c r="H192" s="18">
        <f t="shared" si="5"/>
        <v>126623.52</v>
      </c>
      <c r="I192" s="61" t="s">
        <v>1019</v>
      </c>
    </row>
    <row r="193" spans="1:15">
      <c r="A193" s="16" t="s">
        <v>92</v>
      </c>
      <c r="B193" s="16">
        <v>94569</v>
      </c>
      <c r="C193" s="15" t="s">
        <v>1022</v>
      </c>
      <c r="D193" s="14" t="s">
        <v>1023</v>
      </c>
      <c r="E193" s="16" t="s">
        <v>95</v>
      </c>
      <c r="F193" s="19">
        <f>Quantitativos!E439*2*1</f>
        <v>84</v>
      </c>
      <c r="G193" s="18">
        <v>674.94</v>
      </c>
      <c r="H193" s="18">
        <f t="shared" si="5"/>
        <v>56694.96</v>
      </c>
      <c r="I193" s="61" t="s">
        <v>1024</v>
      </c>
    </row>
    <row r="194" spans="1:15">
      <c r="A194" s="16" t="s">
        <v>92</v>
      </c>
      <c r="B194" s="16">
        <v>94569</v>
      </c>
      <c r="C194" s="15" t="s">
        <v>1025</v>
      </c>
      <c r="D194" s="14" t="s">
        <v>1026</v>
      </c>
      <c r="E194" s="16" t="s">
        <v>95</v>
      </c>
      <c r="F194" s="19">
        <f>Quantitativos!F439*1.5*1</f>
        <v>21</v>
      </c>
      <c r="G194" s="18">
        <v>674.94</v>
      </c>
      <c r="H194" s="18">
        <f t="shared" si="5"/>
        <v>14173.74</v>
      </c>
      <c r="I194" s="61" t="s">
        <v>1024</v>
      </c>
    </row>
    <row r="195" spans="1:15">
      <c r="A195" s="16" t="s">
        <v>92</v>
      </c>
      <c r="B195" s="16">
        <v>94569</v>
      </c>
      <c r="C195" s="15" t="s">
        <v>1027</v>
      </c>
      <c r="D195" s="14" t="s">
        <v>1028</v>
      </c>
      <c r="E195" s="16" t="s">
        <v>95</v>
      </c>
      <c r="F195" s="19">
        <f>Quantitativos!G439*1*1</f>
        <v>9</v>
      </c>
      <c r="G195" s="18">
        <v>674.94</v>
      </c>
      <c r="H195" s="18">
        <f t="shared" si="5"/>
        <v>6074.46</v>
      </c>
      <c r="I195" s="61" t="s">
        <v>1024</v>
      </c>
    </row>
    <row r="196" spans="1:15">
      <c r="A196" s="16" t="s">
        <v>92</v>
      </c>
      <c r="B196" s="16">
        <v>94569</v>
      </c>
      <c r="C196" s="15" t="s">
        <v>1029</v>
      </c>
      <c r="D196" s="14" t="s">
        <v>1030</v>
      </c>
      <c r="E196" s="16" t="s">
        <v>95</v>
      </c>
      <c r="F196" s="19">
        <f>Quantitativos!H439*1.2*0.4</f>
        <v>6.7200000000000006</v>
      </c>
      <c r="G196" s="18">
        <v>674.94</v>
      </c>
      <c r="H196" s="18">
        <f t="shared" si="5"/>
        <v>4535.59</v>
      </c>
      <c r="I196" s="61" t="s">
        <v>1024</v>
      </c>
    </row>
    <row r="197" spans="1:15">
      <c r="A197" s="16" t="s">
        <v>92</v>
      </c>
      <c r="B197" s="16">
        <v>100702</v>
      </c>
      <c r="C197" s="15" t="s">
        <v>1031</v>
      </c>
      <c r="D197" s="14" t="s">
        <v>1032</v>
      </c>
      <c r="E197" s="16" t="s">
        <v>95</v>
      </c>
      <c r="F197" s="19">
        <f>Quantitativos!I439*8*2.1</f>
        <v>16.8</v>
      </c>
      <c r="G197" s="18">
        <v>394.82</v>
      </c>
      <c r="H197" s="18">
        <f t="shared" si="5"/>
        <v>6632.97</v>
      </c>
      <c r="I197" s="61" t="s">
        <v>1033</v>
      </c>
    </row>
    <row r="198" spans="1:15">
      <c r="A198" s="16" t="s">
        <v>92</v>
      </c>
      <c r="B198" s="16">
        <v>100702</v>
      </c>
      <c r="C198" s="15" t="s">
        <v>1034</v>
      </c>
      <c r="D198" s="14" t="s">
        <v>1035</v>
      </c>
      <c r="E198" s="16" t="s">
        <v>95</v>
      </c>
      <c r="F198" s="19">
        <f>Quantitativos!J439*2*2.1</f>
        <v>4.2</v>
      </c>
      <c r="G198" s="18">
        <v>394.82</v>
      </c>
      <c r="H198" s="18">
        <f t="shared" si="5"/>
        <v>1658.24</v>
      </c>
      <c r="I198" s="61" t="s">
        <v>1033</v>
      </c>
    </row>
    <row r="199" spans="1:15">
      <c r="A199" s="16" t="s">
        <v>92</v>
      </c>
      <c r="B199" s="16">
        <v>91338</v>
      </c>
      <c r="C199" s="15" t="s">
        <v>1036</v>
      </c>
      <c r="D199" s="14" t="s">
        <v>1037</v>
      </c>
      <c r="E199" s="16" t="s">
        <v>95</v>
      </c>
      <c r="F199" s="19">
        <f>Quantitativos!K439</f>
        <v>8</v>
      </c>
      <c r="G199" s="18">
        <v>745.63</v>
      </c>
      <c r="H199" s="18">
        <f t="shared" si="5"/>
        <v>5965.04</v>
      </c>
      <c r="I199" s="61" t="s">
        <v>1038</v>
      </c>
    </row>
    <row r="200" spans="1:15">
      <c r="A200" s="16" t="s">
        <v>92</v>
      </c>
      <c r="B200" s="16">
        <v>99861</v>
      </c>
      <c r="C200" s="15" t="s">
        <v>1039</v>
      </c>
      <c r="D200" s="14" t="s">
        <v>1040</v>
      </c>
      <c r="E200" s="16" t="s">
        <v>95</v>
      </c>
      <c r="F200" s="19">
        <f>Quantitativos!L439*2.5*2.1</f>
        <v>5.25</v>
      </c>
      <c r="G200" s="18">
        <v>586.46</v>
      </c>
      <c r="H200" s="18">
        <f t="shared" si="5"/>
        <v>3078.91</v>
      </c>
      <c r="I200" s="61" t="s">
        <v>1041</v>
      </c>
    </row>
    <row r="201" spans="1:15" s="2" customFormat="1">
      <c r="A201" s="11" t="s">
        <v>123</v>
      </c>
      <c r="B201" s="11" t="s">
        <v>124</v>
      </c>
      <c r="C201" s="10">
        <v>13</v>
      </c>
      <c r="D201" s="270" t="s">
        <v>1042</v>
      </c>
      <c r="E201" s="271"/>
      <c r="F201" s="271"/>
      <c r="G201" s="272"/>
      <c r="H201" s="13">
        <f>TRUNC(SUM(H202:H209),2)</f>
        <v>230586.12</v>
      </c>
      <c r="I201" s="61"/>
      <c r="J201" s="6"/>
      <c r="K201" s="5"/>
      <c r="L201" s="5"/>
      <c r="M201" s="5"/>
      <c r="N201" s="5"/>
      <c r="O201" s="5"/>
    </row>
    <row r="202" spans="1:15">
      <c r="A202" s="16" t="s">
        <v>92</v>
      </c>
      <c r="B202" s="16">
        <v>88484</v>
      </c>
      <c r="C202" s="15" t="s">
        <v>1043</v>
      </c>
      <c r="D202" s="14" t="s">
        <v>1044</v>
      </c>
      <c r="E202" s="16" t="s">
        <v>95</v>
      </c>
      <c r="F202" s="19">
        <f>Quantitativos!J482</f>
        <v>1826.9499999999996</v>
      </c>
      <c r="G202" s="18">
        <v>4.92</v>
      </c>
      <c r="H202" s="18">
        <f t="shared" si="5"/>
        <v>8988.59</v>
      </c>
      <c r="I202" s="61" t="s">
        <v>1045</v>
      </c>
    </row>
    <row r="203" spans="1:15">
      <c r="A203" s="16" t="s">
        <v>92</v>
      </c>
      <c r="B203" s="16">
        <v>88485</v>
      </c>
      <c r="C203" s="15" t="s">
        <v>1046</v>
      </c>
      <c r="D203" s="14" t="s">
        <v>1047</v>
      </c>
      <c r="E203" s="16" t="s">
        <v>95</v>
      </c>
      <c r="F203" s="19">
        <f>Quantitativos!I482</f>
        <v>6357.2200000000012</v>
      </c>
      <c r="G203" s="18">
        <v>4.03</v>
      </c>
      <c r="H203" s="18">
        <f t="shared" si="5"/>
        <v>25619.59</v>
      </c>
      <c r="I203" s="61" t="s">
        <v>1048</v>
      </c>
    </row>
    <row r="204" spans="1:15">
      <c r="A204" s="16" t="s">
        <v>92</v>
      </c>
      <c r="B204" s="16">
        <v>88494</v>
      </c>
      <c r="C204" s="15" t="s">
        <v>1049</v>
      </c>
      <c r="D204" s="14" t="s">
        <v>1050</v>
      </c>
      <c r="E204" s="16" t="s">
        <v>95</v>
      </c>
      <c r="F204" s="19">
        <f>Quantitativos!J483</f>
        <v>1826.9499999999996</v>
      </c>
      <c r="G204" s="18">
        <v>19.309999999999999</v>
      </c>
      <c r="H204" s="18">
        <f t="shared" si="5"/>
        <v>35278.400000000001</v>
      </c>
      <c r="I204" s="61" t="s">
        <v>1051</v>
      </c>
    </row>
    <row r="205" spans="1:15">
      <c r="A205" s="16" t="s">
        <v>92</v>
      </c>
      <c r="B205" s="16">
        <v>88495</v>
      </c>
      <c r="C205" s="15" t="s">
        <v>1052</v>
      </c>
      <c r="D205" s="14" t="s">
        <v>1053</v>
      </c>
      <c r="E205" s="16" t="s">
        <v>95</v>
      </c>
      <c r="F205" s="19">
        <f>Quantitativos!I483</f>
        <v>3675.2700000000004</v>
      </c>
      <c r="G205" s="18">
        <v>10.39</v>
      </c>
      <c r="H205" s="18">
        <f t="shared" si="5"/>
        <v>38186.050000000003</v>
      </c>
      <c r="I205" s="61" t="s">
        <v>1054</v>
      </c>
    </row>
    <row r="206" spans="1:15">
      <c r="A206" s="16" t="s">
        <v>92</v>
      </c>
      <c r="B206" s="16">
        <v>88488</v>
      </c>
      <c r="C206" s="15" t="s">
        <v>1055</v>
      </c>
      <c r="D206" s="14" t="s">
        <v>1056</v>
      </c>
      <c r="E206" s="16" t="s">
        <v>95</v>
      </c>
      <c r="F206" s="19">
        <f>Quantitativos!J484</f>
        <v>1826.9499999999996</v>
      </c>
      <c r="G206" s="18">
        <v>13.96</v>
      </c>
      <c r="H206" s="18">
        <f t="shared" si="5"/>
        <v>25504.22</v>
      </c>
      <c r="I206" s="61" t="s">
        <v>1057</v>
      </c>
    </row>
    <row r="207" spans="1:15">
      <c r="A207" s="16" t="s">
        <v>92</v>
      </c>
      <c r="B207" s="16">
        <v>88489</v>
      </c>
      <c r="C207" s="15" t="s">
        <v>1058</v>
      </c>
      <c r="D207" s="14" t="s">
        <v>1059</v>
      </c>
      <c r="E207" s="16" t="s">
        <v>95</v>
      </c>
      <c r="F207" s="19">
        <f>Quantitativos!I484</f>
        <v>3675.2700000000004</v>
      </c>
      <c r="G207" s="18">
        <v>11.76</v>
      </c>
      <c r="H207" s="18">
        <f t="shared" si="5"/>
        <v>43221.17</v>
      </c>
      <c r="I207" s="61" t="s">
        <v>1060</v>
      </c>
    </row>
    <row r="208" spans="1:15">
      <c r="A208" s="16" t="s">
        <v>92</v>
      </c>
      <c r="B208" s="16">
        <v>88423</v>
      </c>
      <c r="C208" s="15" t="s">
        <v>1061</v>
      </c>
      <c r="D208" s="14" t="s">
        <v>509</v>
      </c>
      <c r="E208" s="16" t="s">
        <v>95</v>
      </c>
      <c r="F208" s="19">
        <f>Quantitativos!K485</f>
        <v>2681.9500000000003</v>
      </c>
      <c r="G208" s="18">
        <v>19.260000000000002</v>
      </c>
      <c r="H208" s="18">
        <f t="shared" si="5"/>
        <v>51654.35</v>
      </c>
      <c r="I208" s="61" t="s">
        <v>1062</v>
      </c>
    </row>
    <row r="209" spans="1:15">
      <c r="A209" s="16" t="s">
        <v>92</v>
      </c>
      <c r="B209" s="16">
        <v>102500</v>
      </c>
      <c r="C209" s="15" t="s">
        <v>1063</v>
      </c>
      <c r="D209" s="14" t="s">
        <v>1064</v>
      </c>
      <c r="E209" s="16" t="s">
        <v>104</v>
      </c>
      <c r="F209" s="19">
        <f>(60.1+45)*4+(40+55)</f>
        <v>515.4</v>
      </c>
      <c r="G209" s="18">
        <v>4.1399999999999997</v>
      </c>
      <c r="H209" s="18">
        <f t="shared" si="5"/>
        <v>2133.75</v>
      </c>
      <c r="I209" s="61" t="s">
        <v>1065</v>
      </c>
    </row>
    <row r="210" spans="1:15" s="2" customFormat="1">
      <c r="A210" s="11" t="s">
        <v>123</v>
      </c>
      <c r="B210" s="11" t="s">
        <v>124</v>
      </c>
      <c r="C210" s="10">
        <v>14</v>
      </c>
      <c r="D210" s="270" t="s">
        <v>1066</v>
      </c>
      <c r="E210" s="271"/>
      <c r="F210" s="271"/>
      <c r="G210" s="272"/>
      <c r="H210" s="13">
        <f>TRUNC(SUM(H211:H218),2)</f>
        <v>73703.070000000007</v>
      </c>
      <c r="I210" s="61"/>
      <c r="J210" s="6"/>
      <c r="K210" s="5"/>
      <c r="L210" s="5"/>
      <c r="M210" s="5"/>
      <c r="N210" s="5"/>
      <c r="O210" s="5"/>
    </row>
    <row r="211" spans="1:15">
      <c r="A211" s="16" t="s">
        <v>92</v>
      </c>
      <c r="B211" s="16">
        <v>86931</v>
      </c>
      <c r="C211" s="15" t="s">
        <v>1067</v>
      </c>
      <c r="D211" s="14" t="s">
        <v>1068</v>
      </c>
      <c r="E211" s="16" t="s">
        <v>151</v>
      </c>
      <c r="F211" s="19">
        <f>Quantitativos!B493</f>
        <v>53</v>
      </c>
      <c r="G211" s="18">
        <v>507.6</v>
      </c>
      <c r="H211" s="18">
        <f t="shared" si="5"/>
        <v>26902.799999999999</v>
      </c>
      <c r="I211" s="61" t="s">
        <v>1069</v>
      </c>
    </row>
    <row r="212" spans="1:15">
      <c r="A212" s="16" t="s">
        <v>92</v>
      </c>
      <c r="B212" s="16">
        <v>95472</v>
      </c>
      <c r="C212" s="15" t="s">
        <v>1070</v>
      </c>
      <c r="D212" s="14" t="s">
        <v>1071</v>
      </c>
      <c r="E212" s="16" t="s">
        <v>151</v>
      </c>
      <c r="F212" s="19">
        <f>Quantitativos!C493</f>
        <v>13</v>
      </c>
      <c r="G212" s="18">
        <v>791.26</v>
      </c>
      <c r="H212" s="18">
        <f t="shared" si="5"/>
        <v>10286.379999999999</v>
      </c>
      <c r="I212" s="61" t="s">
        <v>1072</v>
      </c>
    </row>
    <row r="213" spans="1:15">
      <c r="A213" s="16" t="s">
        <v>92</v>
      </c>
      <c r="B213" s="16">
        <v>100869</v>
      </c>
      <c r="C213" s="15" t="s">
        <v>1073</v>
      </c>
      <c r="D213" s="14" t="s">
        <v>1074</v>
      </c>
      <c r="E213" s="16" t="s">
        <v>151</v>
      </c>
      <c r="F213" s="19">
        <f>Quantitativos!D493</f>
        <v>26</v>
      </c>
      <c r="G213" s="18">
        <v>366.42</v>
      </c>
      <c r="H213" s="18">
        <f t="shared" si="5"/>
        <v>9526.92</v>
      </c>
      <c r="I213" s="61" t="s">
        <v>1075</v>
      </c>
    </row>
    <row r="214" spans="1:15">
      <c r="A214" s="16" t="s">
        <v>832</v>
      </c>
      <c r="B214" s="16" t="s">
        <v>1076</v>
      </c>
      <c r="C214" s="15" t="s">
        <v>1077</v>
      </c>
      <c r="D214" s="14" t="s">
        <v>1078</v>
      </c>
      <c r="E214" s="16" t="s">
        <v>151</v>
      </c>
      <c r="F214" s="19">
        <f>Quantitativos!E493</f>
        <v>56</v>
      </c>
      <c r="G214" s="18">
        <v>107.84</v>
      </c>
      <c r="H214" s="18">
        <f t="shared" si="5"/>
        <v>6039.04</v>
      </c>
      <c r="I214" s="61" t="s">
        <v>1079</v>
      </c>
    </row>
    <row r="215" spans="1:15">
      <c r="A215" s="16" t="s">
        <v>92</v>
      </c>
      <c r="B215" s="16">
        <v>86906</v>
      </c>
      <c r="C215" s="15" t="s">
        <v>1080</v>
      </c>
      <c r="D215" s="14" t="s">
        <v>1081</v>
      </c>
      <c r="E215" s="16" t="s">
        <v>151</v>
      </c>
      <c r="F215" s="19">
        <f>Quantitativos!F493</f>
        <v>69</v>
      </c>
      <c r="G215" s="18">
        <v>78.72</v>
      </c>
      <c r="H215" s="18">
        <f t="shared" si="5"/>
        <v>5431.68</v>
      </c>
      <c r="I215" s="61" t="s">
        <v>1082</v>
      </c>
    </row>
    <row r="216" spans="1:15">
      <c r="A216" s="16" t="s">
        <v>92</v>
      </c>
      <c r="B216" s="16">
        <v>95544</v>
      </c>
      <c r="C216" s="15" t="s">
        <v>1083</v>
      </c>
      <c r="D216" s="14" t="s">
        <v>1084</v>
      </c>
      <c r="E216" s="16" t="s">
        <v>151</v>
      </c>
      <c r="F216" s="19">
        <f>Quantitativos!G493</f>
        <v>66</v>
      </c>
      <c r="G216" s="18">
        <v>82.5</v>
      </c>
      <c r="H216" s="18">
        <f t="shared" si="5"/>
        <v>5445</v>
      </c>
      <c r="I216" s="61" t="s">
        <v>1085</v>
      </c>
    </row>
    <row r="217" spans="1:15">
      <c r="A217" s="16" t="s">
        <v>92</v>
      </c>
      <c r="B217" s="16">
        <v>95542</v>
      </c>
      <c r="C217" s="15" t="s">
        <v>1086</v>
      </c>
      <c r="D217" s="14" t="s">
        <v>1087</v>
      </c>
      <c r="E217" s="16" t="s">
        <v>151</v>
      </c>
      <c r="F217" s="19">
        <f>Quantitativos!H493</f>
        <v>63</v>
      </c>
      <c r="G217" s="18">
        <v>65.39</v>
      </c>
      <c r="H217" s="18">
        <f t="shared" si="5"/>
        <v>4119.57</v>
      </c>
      <c r="I217" s="61" t="s">
        <v>1088</v>
      </c>
    </row>
    <row r="218" spans="1:15">
      <c r="A218" s="16" t="s">
        <v>92</v>
      </c>
      <c r="B218" s="16">
        <v>95543</v>
      </c>
      <c r="C218" s="15" t="s">
        <v>1089</v>
      </c>
      <c r="D218" s="14" t="s">
        <v>1090</v>
      </c>
      <c r="E218" s="16" t="s">
        <v>151</v>
      </c>
      <c r="F218" s="19">
        <f>Quantitativos!I493</f>
        <v>56</v>
      </c>
      <c r="G218" s="18">
        <v>106.28</v>
      </c>
      <c r="H218" s="18">
        <f t="shared" si="5"/>
        <v>5951.68</v>
      </c>
      <c r="I218" s="61" t="s">
        <v>1091</v>
      </c>
    </row>
    <row r="219" spans="1:15">
      <c r="A219" s="11" t="s">
        <v>123</v>
      </c>
      <c r="B219" s="11" t="s">
        <v>124</v>
      </c>
      <c r="C219" s="10">
        <v>15</v>
      </c>
      <c r="D219" s="270" t="s">
        <v>519</v>
      </c>
      <c r="E219" s="271"/>
      <c r="F219" s="271"/>
      <c r="G219" s="272"/>
      <c r="H219" s="13">
        <f>TRUNC(SUM(H220:H220),2)</f>
        <v>362512.94</v>
      </c>
      <c r="I219" s="61"/>
      <c r="J219" s="6"/>
      <c r="K219" s="5"/>
      <c r="L219" s="5"/>
      <c r="M219" s="5"/>
      <c r="N219" s="5"/>
      <c r="O219" s="5"/>
    </row>
    <row r="220" spans="1:15">
      <c r="A220" s="16" t="s">
        <v>629</v>
      </c>
      <c r="B220" s="16"/>
      <c r="C220" s="15" t="s">
        <v>1092</v>
      </c>
      <c r="D220" s="14" t="s">
        <v>1093</v>
      </c>
      <c r="E220" s="16" t="s">
        <v>156</v>
      </c>
      <c r="F220" s="19">
        <v>1</v>
      </c>
      <c r="G220" s="18">
        <f>Quantitativos!F547</f>
        <v>362512.93999999994</v>
      </c>
      <c r="H220" s="18">
        <f>TRUNC(F220*G220,2)</f>
        <v>362512.94</v>
      </c>
      <c r="I220" s="61" t="s">
        <v>1094</v>
      </c>
    </row>
    <row r="221" spans="1:15" s="2" customFormat="1">
      <c r="A221" s="11" t="s">
        <v>123</v>
      </c>
      <c r="B221" s="11" t="s">
        <v>124</v>
      </c>
      <c r="C221" s="10">
        <v>16</v>
      </c>
      <c r="D221" s="270" t="s">
        <v>1095</v>
      </c>
      <c r="E221" s="271"/>
      <c r="F221" s="271"/>
      <c r="G221" s="272"/>
      <c r="H221" s="13">
        <f>TRUNC(SUM(H222:H228),2)</f>
        <v>11688.1</v>
      </c>
      <c r="I221" s="61"/>
      <c r="J221" s="6"/>
      <c r="K221" s="5"/>
      <c r="L221" s="5"/>
      <c r="M221" s="5"/>
      <c r="N221" s="5"/>
      <c r="O221" s="5"/>
    </row>
    <row r="222" spans="1:15">
      <c r="A222" s="16" t="s">
        <v>92</v>
      </c>
      <c r="B222" s="16">
        <v>3806402</v>
      </c>
      <c r="C222" s="15" t="s">
        <v>1096</v>
      </c>
      <c r="D222" s="14" t="s">
        <v>1097</v>
      </c>
      <c r="E222" s="16" t="s">
        <v>95</v>
      </c>
      <c r="F222" s="19">
        <f>Quantitativos!C557+Quantitativos!C559</f>
        <v>1417.95</v>
      </c>
      <c r="G222" s="18">
        <v>2.27</v>
      </c>
      <c r="H222" s="18">
        <f t="shared" si="5"/>
        <v>3218.74</v>
      </c>
      <c r="I222" s="61" t="s">
        <v>1098</v>
      </c>
    </row>
    <row r="223" spans="1:15">
      <c r="A223" s="16" t="s">
        <v>92</v>
      </c>
      <c r="B223" s="16">
        <v>99802</v>
      </c>
      <c r="C223" s="15" t="s">
        <v>1099</v>
      </c>
      <c r="D223" s="14" t="s">
        <v>1100</v>
      </c>
      <c r="E223" s="16" t="s">
        <v>95</v>
      </c>
      <c r="F223" s="19">
        <f>Quantitativos!D557</f>
        <v>2789.26</v>
      </c>
      <c r="G223" s="18">
        <v>0.51</v>
      </c>
      <c r="H223" s="18">
        <f t="shared" si="5"/>
        <v>1422.52</v>
      </c>
      <c r="I223" s="61" t="s">
        <v>1101</v>
      </c>
    </row>
    <row r="224" spans="1:15">
      <c r="A224" s="16" t="s">
        <v>92</v>
      </c>
      <c r="B224" s="16">
        <v>99803</v>
      </c>
      <c r="C224" s="15" t="s">
        <v>1102</v>
      </c>
      <c r="D224" s="14" t="s">
        <v>1103</v>
      </c>
      <c r="E224" s="16" t="s">
        <v>95</v>
      </c>
      <c r="F224" s="19">
        <f>Quantitativos!D557</f>
        <v>2789.26</v>
      </c>
      <c r="G224" s="18">
        <v>2</v>
      </c>
      <c r="H224" s="18">
        <f t="shared" si="5"/>
        <v>5578.52</v>
      </c>
      <c r="I224" s="61" t="s">
        <v>1104</v>
      </c>
    </row>
    <row r="225" spans="1:15">
      <c r="A225" s="16" t="s">
        <v>92</v>
      </c>
      <c r="B225" s="16">
        <v>99821</v>
      </c>
      <c r="C225" s="15" t="s">
        <v>1105</v>
      </c>
      <c r="D225" s="14" t="s">
        <v>1106</v>
      </c>
      <c r="E225" s="16" t="s">
        <v>95</v>
      </c>
      <c r="F225" s="19">
        <f>F193+F194+F195+F196</f>
        <v>120.72</v>
      </c>
      <c r="G225" s="18">
        <v>3.59</v>
      </c>
      <c r="H225" s="18">
        <f t="shared" si="5"/>
        <v>433.38</v>
      </c>
      <c r="I225" s="61" t="s">
        <v>1107</v>
      </c>
    </row>
    <row r="226" spans="1:15">
      <c r="A226" s="16" t="s">
        <v>92</v>
      </c>
      <c r="B226" s="16">
        <v>99825</v>
      </c>
      <c r="C226" s="15" t="s">
        <v>1108</v>
      </c>
      <c r="D226" s="14" t="s">
        <v>1109</v>
      </c>
      <c r="E226" s="16" t="s">
        <v>95</v>
      </c>
      <c r="F226" s="19">
        <f>F197+F198</f>
        <v>21</v>
      </c>
      <c r="G226" s="18">
        <v>4.09</v>
      </c>
      <c r="H226" s="18">
        <f t="shared" si="5"/>
        <v>85.89</v>
      </c>
      <c r="I226" s="61" t="s">
        <v>1110</v>
      </c>
    </row>
    <row r="227" spans="1:15">
      <c r="A227" s="16" t="s">
        <v>92</v>
      </c>
      <c r="B227" s="16">
        <v>99818</v>
      </c>
      <c r="C227" s="15" t="s">
        <v>1111</v>
      </c>
      <c r="D227" s="14" t="s">
        <v>1112</v>
      </c>
      <c r="E227" s="16" t="s">
        <v>151</v>
      </c>
      <c r="F227" s="19">
        <f>F211+F212</f>
        <v>66</v>
      </c>
      <c r="G227" s="18">
        <v>7.03</v>
      </c>
      <c r="H227" s="18">
        <f t="shared" si="5"/>
        <v>463.98</v>
      </c>
      <c r="I227" s="61" t="s">
        <v>1113</v>
      </c>
    </row>
    <row r="228" spans="1:15">
      <c r="A228" s="16" t="s">
        <v>92</v>
      </c>
      <c r="B228" s="16">
        <v>99817</v>
      </c>
      <c r="C228" s="15" t="s">
        <v>1114</v>
      </c>
      <c r="D228" s="14" t="s">
        <v>1115</v>
      </c>
      <c r="E228" s="16" t="s">
        <v>151</v>
      </c>
      <c r="F228" s="19">
        <f>F215</f>
        <v>69</v>
      </c>
      <c r="G228" s="18">
        <v>7.03</v>
      </c>
      <c r="H228" s="18">
        <f t="shared" si="5"/>
        <v>485.07</v>
      </c>
      <c r="I228" s="61" t="s">
        <v>1116</v>
      </c>
    </row>
    <row r="229" spans="1:15">
      <c r="A229" s="281" t="s">
        <v>1117</v>
      </c>
      <c r="B229" s="282"/>
      <c r="C229" s="10">
        <v>17</v>
      </c>
      <c r="D229" s="278" t="s">
        <v>1118</v>
      </c>
      <c r="E229" s="279"/>
      <c r="F229" s="279"/>
      <c r="G229" s="280"/>
      <c r="H229" s="13">
        <f>TRUNC(H221+H219+H210+H201+H190+H186+H181+H178+H169+H47+H43+H40+H32+H20+H12+H7,2)</f>
        <v>5605904.2199999997</v>
      </c>
      <c r="I229" s="61"/>
      <c r="J229" s="6"/>
      <c r="K229" s="5"/>
      <c r="L229" s="5"/>
      <c r="M229" s="5"/>
      <c r="N229" s="5"/>
      <c r="O229" s="5"/>
    </row>
    <row r="230" spans="1:15">
      <c r="A230" s="283"/>
      <c r="B230" s="284"/>
      <c r="C230" s="10">
        <v>18</v>
      </c>
      <c r="D230" s="278" t="s">
        <v>1119</v>
      </c>
      <c r="E230" s="279"/>
      <c r="F230" s="279"/>
      <c r="G230" s="280"/>
      <c r="H230" s="13">
        <f>TRUNC(H229*H3,2)</f>
        <v>1401476.05</v>
      </c>
      <c r="I230" s="61"/>
      <c r="J230" s="6"/>
      <c r="K230" s="5"/>
      <c r="L230" s="5"/>
      <c r="M230" s="5"/>
      <c r="N230" s="5"/>
      <c r="O230" s="5"/>
    </row>
    <row r="231" spans="1:15">
      <c r="A231" s="285"/>
      <c r="B231" s="286"/>
      <c r="C231" s="10">
        <v>19</v>
      </c>
      <c r="D231" s="278" t="s">
        <v>1120</v>
      </c>
      <c r="E231" s="279"/>
      <c r="F231" s="279"/>
      <c r="G231" s="280"/>
      <c r="H231" s="13">
        <f>TRUNC(H229+H230,2)</f>
        <v>7007380.2699999996</v>
      </c>
      <c r="I231" s="61"/>
      <c r="J231" s="6"/>
      <c r="K231" s="5"/>
      <c r="L231" s="5"/>
      <c r="M231" s="5"/>
      <c r="N231" s="5"/>
      <c r="O231" s="5"/>
    </row>
    <row r="232" spans="1:15">
      <c r="C232" s="251"/>
      <c r="I232" s="61"/>
    </row>
    <row r="233" spans="1:15">
      <c r="C233" s="251"/>
      <c r="I233" s="61"/>
    </row>
    <row r="234" spans="1:15">
      <c r="C234" s="251"/>
      <c r="I234" s="61"/>
    </row>
    <row r="235" spans="1:15">
      <c r="C235" s="251"/>
      <c r="I235" s="61"/>
    </row>
    <row r="236" spans="1:15">
      <c r="C236" s="251"/>
      <c r="I236" s="61"/>
    </row>
    <row r="237" spans="1:15">
      <c r="C237" s="251"/>
      <c r="I237" s="61"/>
    </row>
    <row r="238" spans="1:15">
      <c r="C238" s="251"/>
      <c r="I238" s="61"/>
    </row>
    <row r="239" spans="1:15">
      <c r="C239" s="251"/>
      <c r="I239" s="61"/>
    </row>
  </sheetData>
  <sheetProtection password="C655" sheet="1" objects="1" scenarios="1"/>
  <mergeCells count="33">
    <mergeCell ref="A229:B231"/>
    <mergeCell ref="D210:G210"/>
    <mergeCell ref="D221:G221"/>
    <mergeCell ref="D219:G219"/>
    <mergeCell ref="D229:G229"/>
    <mergeCell ref="D123:G123"/>
    <mergeCell ref="D158:G158"/>
    <mergeCell ref="D106:G106"/>
    <mergeCell ref="D110:G110"/>
    <mergeCell ref="D231:G231"/>
    <mergeCell ref="D151:G151"/>
    <mergeCell ref="D230:G230"/>
    <mergeCell ref="D178:G178"/>
    <mergeCell ref="D186:G186"/>
    <mergeCell ref="D164:G164"/>
    <mergeCell ref="D169:G169"/>
    <mergeCell ref="D181:G181"/>
    <mergeCell ref="D190:G190"/>
    <mergeCell ref="D201:G201"/>
    <mergeCell ref="D116:G116"/>
    <mergeCell ref="A6:A7"/>
    <mergeCell ref="D7:G7"/>
    <mergeCell ref="D12:G12"/>
    <mergeCell ref="D40:G40"/>
    <mergeCell ref="D43:G43"/>
    <mergeCell ref="B6:B7"/>
    <mergeCell ref="D20:G20"/>
    <mergeCell ref="D32:G32"/>
    <mergeCell ref="A47:A48"/>
    <mergeCell ref="B47:B48"/>
    <mergeCell ref="D48:G48"/>
    <mergeCell ref="D78:G78"/>
    <mergeCell ref="D47:G47"/>
  </mergeCells>
  <hyperlinks>
    <hyperlink ref="B112" r:id="rId1"/>
    <hyperlink ref="I112" r:id="rId2"/>
    <hyperlink ref="I113" r:id="rId3"/>
    <hyperlink ref="B113" r:id="rId4"/>
    <hyperlink ref="B114" r:id="rId5"/>
    <hyperlink ref="I114" r:id="rId6"/>
    <hyperlink ref="I147" r:id="rId7" display="https://produto.mercadolivre.com.br/MLB-3347392928-filtro-motobomba-piscina-completo-aspirador-peneira-escova-_JM?matt_tool=47780295&amp;matt_word=&amp;matt_source=google&amp;matt_campaign_id=14302215540&amp;matt_ad_group_id=157843787695&amp;matt_match_type=&amp;matt_network=g&amp;matt_device=c&amp;matt_creative=686778909996&amp;matt_keyword=&amp;matt_ad_position=&amp;matt_ad_type=pla&amp;matt_merchant_id=143601751&amp;matt_product_id=MLB3347392928&amp;matt_product_partition_id=1961862651521&amp;matt_target_id=aud-2009166904988:pla-1961862651521&amp;cq_src=google_ads&amp;cq_cmp=14302215540&amp;cq_net=g&amp;cq_plt=gp&amp;cq_med=pla&amp;gad_source=1&amp;gclid=EAIaIQobChMIpOCM_N_WiQMVEiFECB3B4xIBEAQYBCABEgLQ4fD_BwE"/>
    <hyperlink ref="I160" r:id="rId8" display="https://www.americanas.com.br/produto/7476923806/ar-condicionado-split-hi-wall-inverter-electrolux-color-adapt-wi-fi-9000-btu-h-frio-yi09f-220-volts?offerId=6628e89c17c6b5c0e18ae758&amp;opn=YSMESP&amp;epar=bp_pl_px_go_pmax_clima_3p_split_pb_2_curvatestexpo&amp;gclsrc=aw.ds&amp;gad_source=1&amp;gclid=EAIaIQobChMInoPBguPWiQMVyCRECB0yfgUxEAQYAiABEgIJPfD_BwE&amp;voltagem=220%20Volts&amp;condition=NEW"/>
    <hyperlink ref="I161" r:id="rId9" display="https://www.magazineluiza.com.br/ar-condicionado-split-hi-wall-springer-midea-airvolution-12-000-btus-frio-220v-r-32/p/be68f0c1g5/ar/arsp/?seller_id=climario&amp;region_id=123472&amp;utm_source=google&amp;utm_medium=cpc&amp;utm_term=76909&amp;utm_campaign=google_eco_per_ven_pla_arp_sor_3p_ar-a&amp;utm_content=&amp;partner_id=76909&amp;gclsrc=aw.ds&amp;gclid=EAIaIQobChMIwqqOt-PWiQMVGy5ECB3gEweYEAQYAiABEgKjQfD_BwE"/>
    <hyperlink ref="I162" r:id="rId10"/>
    <hyperlink ref="I163" r:id="rId11"/>
    <hyperlink ref="I214" r:id="rId12"/>
    <hyperlink ref="B3" r:id="rId13" display="https://sei.pi.gov.br/sei/controlador.php?acao=procedimento_trabalhar&amp;acao_origem=procedimento_controlar&amp;acao_retorno=procedimento_controlar&amp;id_procedimento=12092050&amp;infra_sistema=100000100&amp;infra_unidade_atual=110007347&amp;infra_hash=3aacf72bf70daeea4b7fc5d3831f6741e55ef505749be48082c9684d2a1de40f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4"/>
  <rowBreaks count="3" manualBreakCount="3">
    <brk id="46" max="7" man="1"/>
    <brk id="105" max="7" man="1"/>
    <brk id="189" max="7" man="1"/>
  </rowBreaks>
  <colBreaks count="1" manualBreakCount="1">
    <brk id="8" min="5" max="23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Q199"/>
  <sheetViews>
    <sheetView view="pageBreakPreview" zoomScaleNormal="100" zoomScaleSheetLayoutView="100" workbookViewId="0">
      <pane ySplit="1" topLeftCell="A2" activePane="bottomLeft" state="frozen"/>
      <selection pane="bottomLeft" activeCell="D15" sqref="D15"/>
    </sheetView>
  </sheetViews>
  <sheetFormatPr defaultColWidth="9.140625" defaultRowHeight="16.5"/>
  <cols>
    <col min="1" max="1" width="12" style="1" bestFit="1" customWidth="1"/>
    <col min="2" max="2" width="9.85546875" style="1" bestFit="1" customWidth="1"/>
    <col min="3" max="3" width="9.140625" style="3"/>
    <col min="4" max="4" width="59.42578125" style="1" bestFit="1" customWidth="1"/>
    <col min="5" max="5" width="11" style="4" bestFit="1" customWidth="1"/>
    <col min="6" max="6" width="15.5703125" style="8" bestFit="1" customWidth="1"/>
    <col min="7" max="7" width="14.5703125" style="9" bestFit="1" customWidth="1"/>
    <col min="8" max="8" width="29" style="9" bestFit="1" customWidth="1"/>
    <col min="9" max="9" width="15.7109375" style="4" bestFit="1" customWidth="1"/>
    <col min="10" max="10" width="15.140625" style="4" customWidth="1"/>
    <col min="11" max="11" width="14.42578125" style="4" customWidth="1"/>
    <col min="12" max="12" width="17.28515625" style="3" bestFit="1" customWidth="1"/>
    <col min="13" max="15" width="9.140625" style="1"/>
    <col min="16" max="16" width="13.28515625" style="1" bestFit="1" customWidth="1"/>
    <col min="17" max="17" width="20.28515625" style="1" bestFit="1" customWidth="1"/>
    <col min="18" max="16384" width="9.140625" style="1"/>
  </cols>
  <sheetData>
    <row r="1" spans="1:17" s="180" customFormat="1">
      <c r="A1" s="255" t="s">
        <v>123</v>
      </c>
      <c r="B1" s="255" t="s">
        <v>124</v>
      </c>
      <c r="C1" s="253" t="s">
        <v>125</v>
      </c>
      <c r="D1" s="181" t="s">
        <v>600</v>
      </c>
      <c r="E1" s="253" t="s">
        <v>601</v>
      </c>
      <c r="F1" s="182" t="s">
        <v>602</v>
      </c>
      <c r="G1" s="183" t="s">
        <v>603</v>
      </c>
      <c r="H1" s="183" t="s">
        <v>130</v>
      </c>
      <c r="I1" s="183" t="s">
        <v>1121</v>
      </c>
      <c r="J1" s="184" t="s">
        <v>1122</v>
      </c>
      <c r="K1" s="183" t="s">
        <v>1123</v>
      </c>
      <c r="L1" s="182" t="s">
        <v>1124</v>
      </c>
    </row>
    <row r="2" spans="1:17">
      <c r="A2" s="16" t="s">
        <v>92</v>
      </c>
      <c r="B2" s="16">
        <v>103332</v>
      </c>
      <c r="C2" s="15" t="s">
        <v>684</v>
      </c>
      <c r="D2" s="14" t="s">
        <v>685</v>
      </c>
      <c r="E2" s="16" t="s">
        <v>95</v>
      </c>
      <c r="F2" s="17">
        <f>Quantitativos!D139</f>
        <v>6487.44</v>
      </c>
      <c r="G2" s="18">
        <v>115.68</v>
      </c>
      <c r="H2" s="18">
        <f t="shared" ref="H2:H33" si="0">TRUNC(F2*G2,2)</f>
        <v>750467.05</v>
      </c>
      <c r="I2" s="18">
        <f>H2</f>
        <v>750467.05</v>
      </c>
      <c r="J2" s="112">
        <f>TRUNC(H2/$H$199,6)</f>
        <v>0.133464</v>
      </c>
      <c r="K2" s="105">
        <f>J2</f>
        <v>0.133464</v>
      </c>
      <c r="L2" s="119" t="str">
        <f>IF(K2&lt;=$O$3,"A",IF(K2&lt;=$O$4,"B","C"))</f>
        <v>A</v>
      </c>
      <c r="N2" s="97" t="s">
        <v>1125</v>
      </c>
      <c r="O2" s="97" t="s">
        <v>1126</v>
      </c>
      <c r="P2" s="97" t="s">
        <v>1127</v>
      </c>
      <c r="Q2" s="97" t="s">
        <v>1128</v>
      </c>
    </row>
    <row r="3" spans="1:17">
      <c r="A3" s="16" t="s">
        <v>92</v>
      </c>
      <c r="B3" s="16">
        <v>87535</v>
      </c>
      <c r="C3" s="15" t="s">
        <v>991</v>
      </c>
      <c r="D3" s="14" t="s">
        <v>232</v>
      </c>
      <c r="E3" s="16" t="s">
        <v>95</v>
      </c>
      <c r="F3" s="17">
        <f>Quantitativos!F157</f>
        <v>11140.4</v>
      </c>
      <c r="G3" s="18">
        <v>32.909999999999997</v>
      </c>
      <c r="H3" s="18">
        <f t="shared" si="0"/>
        <v>366630.56</v>
      </c>
      <c r="I3" s="18">
        <f>I2+H3</f>
        <v>1117097.6100000001</v>
      </c>
      <c r="J3" s="112">
        <f t="shared" ref="J3:J66" si="1">TRUNC(H3/$H$199,6)</f>
        <v>6.5201999999999996E-2</v>
      </c>
      <c r="K3" s="111">
        <f>TRUNC(J3+K2,6)</f>
        <v>0.19866600000000001</v>
      </c>
      <c r="L3" s="119" t="str">
        <f t="shared" ref="L3:L66" si="2">IF(K3&lt;=$O$3,"A",IF(K3&lt;=$O$4,"B","C"))</f>
        <v>A</v>
      </c>
      <c r="N3" s="121" t="s">
        <v>1129</v>
      </c>
      <c r="O3" s="123">
        <v>0.8</v>
      </c>
      <c r="P3" s="124">
        <f>COUNTIF($L$2:$L$198,N3)/COUNTA($L$2:$L$198)</f>
        <v>0.13705583756345177</v>
      </c>
      <c r="Q3" s="122">
        <f>SUMIF($L$2:$L$198,N3,$J$2:$J$198)</f>
        <v>0.79240700000000008</v>
      </c>
    </row>
    <row r="4" spans="1:17">
      <c r="A4" s="16" t="s">
        <v>629</v>
      </c>
      <c r="B4" s="16"/>
      <c r="C4" s="15" t="s">
        <v>1092</v>
      </c>
      <c r="D4" s="14" t="s">
        <v>1093</v>
      </c>
      <c r="E4" s="16" t="s">
        <v>156</v>
      </c>
      <c r="F4" s="17">
        <v>1</v>
      </c>
      <c r="G4" s="18">
        <f>Quantitativos!F547</f>
        <v>362512.93999999994</v>
      </c>
      <c r="H4" s="18">
        <f t="shared" si="0"/>
        <v>362512.94</v>
      </c>
      <c r="I4" s="18">
        <f t="shared" ref="I4:I67" si="3">I3+H4</f>
        <v>1479610.55</v>
      </c>
      <c r="J4" s="112">
        <f t="shared" si="1"/>
        <v>6.447E-2</v>
      </c>
      <c r="K4" s="111">
        <f t="shared" ref="K4:K67" si="4">TRUNC(J4+K3,6)</f>
        <v>0.26313599999999998</v>
      </c>
      <c r="L4" s="119" t="str">
        <f t="shared" si="2"/>
        <v>A</v>
      </c>
      <c r="N4" s="121" t="s">
        <v>1130</v>
      </c>
      <c r="O4" s="123">
        <v>0.95</v>
      </c>
      <c r="P4" s="124">
        <f t="shared" ref="P4:P5" si="5">COUNTIF($L$2:$L$198,N4)/COUNTA($L$2:$L$198)</f>
        <v>0.21319796954314721</v>
      </c>
      <c r="Q4" s="122">
        <f t="shared" ref="Q4:Q5" si="6">SUMIF($L$2:$L$198,N4,$J$2:$J$198)</f>
        <v>0.15627899999999997</v>
      </c>
    </row>
    <row r="5" spans="1:17">
      <c r="A5" s="16" t="s">
        <v>92</v>
      </c>
      <c r="B5" s="16">
        <v>87257</v>
      </c>
      <c r="C5" s="15" t="s">
        <v>1007</v>
      </c>
      <c r="D5" s="14" t="s">
        <v>1008</v>
      </c>
      <c r="E5" s="16" t="s">
        <v>95</v>
      </c>
      <c r="F5" s="17">
        <f>Quantitativos!L368</f>
        <v>2789.26</v>
      </c>
      <c r="G5" s="18">
        <v>91.2</v>
      </c>
      <c r="H5" s="18">
        <f t="shared" si="0"/>
        <v>254380.51</v>
      </c>
      <c r="I5" s="18">
        <f t="shared" si="3"/>
        <v>1733991.06</v>
      </c>
      <c r="J5" s="112">
        <f t="shared" si="1"/>
        <v>4.5239000000000001E-2</v>
      </c>
      <c r="K5" s="111">
        <f t="shared" si="4"/>
        <v>0.30837500000000001</v>
      </c>
      <c r="L5" s="119" t="str">
        <f t="shared" si="2"/>
        <v>A</v>
      </c>
      <c r="N5" s="60" t="s">
        <v>1131</v>
      </c>
      <c r="O5" s="123">
        <v>1</v>
      </c>
      <c r="P5" s="124">
        <f t="shared" si="5"/>
        <v>0.64974619289340096</v>
      </c>
      <c r="Q5" s="122">
        <f t="shared" si="6"/>
        <v>5.1219999999999953E-2</v>
      </c>
    </row>
    <row r="6" spans="1:17" s="2" customFormat="1">
      <c r="A6" s="16" t="s">
        <v>92</v>
      </c>
      <c r="B6" s="16">
        <v>97927</v>
      </c>
      <c r="C6" s="15" t="s">
        <v>621</v>
      </c>
      <c r="D6" s="14" t="s">
        <v>622</v>
      </c>
      <c r="E6" s="16" t="s">
        <v>619</v>
      </c>
      <c r="F6" s="19">
        <f>Premissas!B17</f>
        <v>1184.5809000000002</v>
      </c>
      <c r="G6" s="18">
        <v>194.31</v>
      </c>
      <c r="H6" s="18">
        <f t="shared" si="0"/>
        <v>230175.91</v>
      </c>
      <c r="I6" s="18">
        <f t="shared" si="3"/>
        <v>1964166.97</v>
      </c>
      <c r="J6" s="112">
        <f t="shared" si="1"/>
        <v>4.0934999999999999E-2</v>
      </c>
      <c r="K6" s="111">
        <f t="shared" si="4"/>
        <v>0.34931000000000001</v>
      </c>
      <c r="L6" s="119" t="str">
        <f t="shared" si="2"/>
        <v>A</v>
      </c>
    </row>
    <row r="7" spans="1:17">
      <c r="A7" s="16" t="s">
        <v>92</v>
      </c>
      <c r="B7" s="16" t="s">
        <v>605</v>
      </c>
      <c r="C7" s="15" t="s">
        <v>606</v>
      </c>
      <c r="D7" s="14" t="s">
        <v>607</v>
      </c>
      <c r="E7" s="16" t="s">
        <v>151</v>
      </c>
      <c r="F7" s="19">
        <v>1</v>
      </c>
      <c r="G7" s="18">
        <f>'Eq. Proj.'!I13</f>
        <v>176130.39</v>
      </c>
      <c r="H7" s="18">
        <f t="shared" si="0"/>
        <v>176130.39</v>
      </c>
      <c r="I7" s="18">
        <f t="shared" si="3"/>
        <v>2140297.36</v>
      </c>
      <c r="J7" s="112">
        <f t="shared" si="1"/>
        <v>3.1322999999999997E-2</v>
      </c>
      <c r="K7" s="111">
        <f t="shared" si="4"/>
        <v>0.380633</v>
      </c>
      <c r="L7" s="119" t="str">
        <f t="shared" si="2"/>
        <v>A</v>
      </c>
    </row>
    <row r="8" spans="1:17">
      <c r="A8" s="16" t="s">
        <v>92</v>
      </c>
      <c r="B8" s="16">
        <v>104611</v>
      </c>
      <c r="C8" s="15" t="s">
        <v>1010</v>
      </c>
      <c r="D8" s="14" t="s">
        <v>1011</v>
      </c>
      <c r="E8" s="16" t="s">
        <v>95</v>
      </c>
      <c r="F8" s="19">
        <f>Quantitativos!I479</f>
        <v>1767.51</v>
      </c>
      <c r="G8" s="18">
        <v>86.78</v>
      </c>
      <c r="H8" s="18">
        <f t="shared" si="0"/>
        <v>153384.51</v>
      </c>
      <c r="I8" s="18">
        <f t="shared" si="3"/>
        <v>2293681.87</v>
      </c>
      <c r="J8" s="112">
        <f t="shared" si="1"/>
        <v>2.7278E-2</v>
      </c>
      <c r="K8" s="111">
        <f t="shared" si="4"/>
        <v>0.40791100000000002</v>
      </c>
      <c r="L8" s="119" t="str">
        <f t="shared" si="2"/>
        <v>A</v>
      </c>
    </row>
    <row r="9" spans="1:17">
      <c r="A9" s="16" t="s">
        <v>92</v>
      </c>
      <c r="B9" s="16">
        <v>92270</v>
      </c>
      <c r="C9" s="15" t="s">
        <v>650</v>
      </c>
      <c r="D9" s="14" t="s">
        <v>199</v>
      </c>
      <c r="E9" s="16" t="s">
        <v>95</v>
      </c>
      <c r="F9" s="19">
        <f>Quantitativos!F84</f>
        <v>1228.78</v>
      </c>
      <c r="G9" s="18">
        <v>123.06</v>
      </c>
      <c r="H9" s="18">
        <f t="shared" si="0"/>
        <v>151213.66</v>
      </c>
      <c r="I9" s="18">
        <f t="shared" si="3"/>
        <v>2444895.5300000003</v>
      </c>
      <c r="J9" s="112">
        <f t="shared" si="1"/>
        <v>2.6891999999999999E-2</v>
      </c>
      <c r="K9" s="111">
        <f t="shared" si="4"/>
        <v>0.434803</v>
      </c>
      <c r="L9" s="119" t="str">
        <f t="shared" si="2"/>
        <v>A</v>
      </c>
    </row>
    <row r="10" spans="1:17">
      <c r="A10" s="16" t="s">
        <v>629</v>
      </c>
      <c r="B10" s="16" t="s">
        <v>935</v>
      </c>
      <c r="C10" s="15" t="s">
        <v>936</v>
      </c>
      <c r="D10" s="14" t="s">
        <v>937</v>
      </c>
      <c r="E10" s="16" t="s">
        <v>104</v>
      </c>
      <c r="F10" s="19">
        <f>Quantitativos!D357</f>
        <v>300.5</v>
      </c>
      <c r="G10" s="18">
        <v>500</v>
      </c>
      <c r="H10" s="18">
        <f t="shared" si="0"/>
        <v>150250</v>
      </c>
      <c r="I10" s="18">
        <f t="shared" si="3"/>
        <v>2595145.5300000003</v>
      </c>
      <c r="J10" s="112">
        <f t="shared" si="1"/>
        <v>2.6720000000000001E-2</v>
      </c>
      <c r="K10" s="111">
        <f t="shared" si="4"/>
        <v>0.46152300000000002</v>
      </c>
      <c r="L10" s="119" t="str">
        <f t="shared" si="2"/>
        <v>A</v>
      </c>
    </row>
    <row r="11" spans="1:17">
      <c r="A11" s="16" t="s">
        <v>92</v>
      </c>
      <c r="B11" s="16">
        <v>96114</v>
      </c>
      <c r="C11" s="15" t="s">
        <v>994</v>
      </c>
      <c r="D11" s="14" t="s">
        <v>995</v>
      </c>
      <c r="E11" s="16" t="s">
        <v>95</v>
      </c>
      <c r="F11" s="19">
        <f>Quantitativos!E419</f>
        <v>1826.9499999999996</v>
      </c>
      <c r="G11" s="18">
        <v>77.17</v>
      </c>
      <c r="H11" s="18">
        <f t="shared" si="0"/>
        <v>140985.73000000001</v>
      </c>
      <c r="I11" s="18">
        <f t="shared" si="3"/>
        <v>2736131.2600000002</v>
      </c>
      <c r="J11" s="112">
        <f t="shared" si="1"/>
        <v>2.5073000000000002E-2</v>
      </c>
      <c r="K11" s="111">
        <f t="shared" si="4"/>
        <v>0.48659599999999997</v>
      </c>
      <c r="L11" s="119" t="str">
        <f t="shared" si="2"/>
        <v>A</v>
      </c>
    </row>
    <row r="12" spans="1:17">
      <c r="A12" s="16" t="s">
        <v>92</v>
      </c>
      <c r="B12" s="16">
        <v>92539</v>
      </c>
      <c r="C12" s="15" t="s">
        <v>691</v>
      </c>
      <c r="D12" s="14" t="s">
        <v>692</v>
      </c>
      <c r="E12" s="16" t="s">
        <v>95</v>
      </c>
      <c r="F12" s="19">
        <f>Quantitativos!E166</f>
        <v>2509.0913100000002</v>
      </c>
      <c r="G12" s="18">
        <v>56.13</v>
      </c>
      <c r="H12" s="18">
        <f t="shared" si="0"/>
        <v>140835.29</v>
      </c>
      <c r="I12" s="18">
        <f t="shared" si="3"/>
        <v>2876966.5500000003</v>
      </c>
      <c r="J12" s="112">
        <f t="shared" si="1"/>
        <v>2.5045999999999999E-2</v>
      </c>
      <c r="K12" s="111">
        <f t="shared" si="4"/>
        <v>0.51164200000000004</v>
      </c>
      <c r="L12" s="119" t="str">
        <f t="shared" si="2"/>
        <v>A</v>
      </c>
    </row>
    <row r="13" spans="1:17">
      <c r="A13" s="16" t="s">
        <v>92</v>
      </c>
      <c r="B13" s="16">
        <v>97630</v>
      </c>
      <c r="C13" s="15" t="s">
        <v>977</v>
      </c>
      <c r="D13" s="14" t="s">
        <v>435</v>
      </c>
      <c r="E13" s="16" t="s">
        <v>95</v>
      </c>
      <c r="F13" s="19">
        <f>Quantitativos!F368</f>
        <v>3010.4399999999996</v>
      </c>
      <c r="G13" s="18">
        <v>44.58</v>
      </c>
      <c r="H13" s="18">
        <f t="shared" si="0"/>
        <v>134205.41</v>
      </c>
      <c r="I13" s="18">
        <f t="shared" si="3"/>
        <v>3011171.9600000004</v>
      </c>
      <c r="J13" s="112">
        <f t="shared" si="1"/>
        <v>2.3866999999999999E-2</v>
      </c>
      <c r="K13" s="111">
        <f t="shared" si="4"/>
        <v>0.53550900000000001</v>
      </c>
      <c r="L13" s="119" t="str">
        <f t="shared" si="2"/>
        <v>A</v>
      </c>
    </row>
    <row r="14" spans="1:17">
      <c r="A14" s="16" t="s">
        <v>92</v>
      </c>
      <c r="B14" s="16">
        <v>90798</v>
      </c>
      <c r="C14" s="15" t="s">
        <v>1020</v>
      </c>
      <c r="D14" s="14" t="s">
        <v>1021</v>
      </c>
      <c r="E14" s="16" t="s">
        <v>95</v>
      </c>
      <c r="F14" s="19">
        <f>Quantitativos!D439</f>
        <v>108</v>
      </c>
      <c r="G14" s="18">
        <v>1172.44</v>
      </c>
      <c r="H14" s="18">
        <f t="shared" si="0"/>
        <v>126623.52</v>
      </c>
      <c r="I14" s="18">
        <f t="shared" si="3"/>
        <v>3137795.4800000004</v>
      </c>
      <c r="J14" s="112">
        <f t="shared" si="1"/>
        <v>2.2519000000000001E-2</v>
      </c>
      <c r="K14" s="111">
        <f t="shared" si="4"/>
        <v>0.55802799999999997</v>
      </c>
      <c r="L14" s="119" t="str">
        <f t="shared" si="2"/>
        <v>A</v>
      </c>
    </row>
    <row r="15" spans="1:17">
      <c r="A15" s="16" t="s">
        <v>629</v>
      </c>
      <c r="B15" s="16" t="s">
        <v>950</v>
      </c>
      <c r="C15" s="15" t="s">
        <v>951</v>
      </c>
      <c r="D15" s="14" t="s">
        <v>952</v>
      </c>
      <c r="E15" s="16" t="s">
        <v>151</v>
      </c>
      <c r="F15" s="19">
        <f>Quantitativos!D340</f>
        <v>14</v>
      </c>
      <c r="G15" s="18">
        <v>8899</v>
      </c>
      <c r="H15" s="18">
        <f t="shared" si="0"/>
        <v>124586</v>
      </c>
      <c r="I15" s="18">
        <f t="shared" si="3"/>
        <v>3262381.4800000004</v>
      </c>
      <c r="J15" s="112">
        <f t="shared" si="1"/>
        <v>2.2155999999999999E-2</v>
      </c>
      <c r="K15" s="111">
        <f t="shared" si="4"/>
        <v>0.58018400000000003</v>
      </c>
      <c r="L15" s="119" t="str">
        <f t="shared" si="2"/>
        <v>A</v>
      </c>
    </row>
    <row r="16" spans="1:17">
      <c r="A16" s="16" t="s">
        <v>629</v>
      </c>
      <c r="B16" s="16" t="s">
        <v>982</v>
      </c>
      <c r="C16" s="15" t="s">
        <v>983</v>
      </c>
      <c r="D16" s="14" t="s">
        <v>984</v>
      </c>
      <c r="E16" s="16" t="s">
        <v>95</v>
      </c>
      <c r="F16" s="19">
        <f>Quantitativos!I368</f>
        <v>1203.9000000000001</v>
      </c>
      <c r="G16" s="18">
        <v>99.04</v>
      </c>
      <c r="H16" s="18">
        <f t="shared" si="0"/>
        <v>119234.25</v>
      </c>
      <c r="I16" s="18">
        <f t="shared" si="3"/>
        <v>3381615.7300000004</v>
      </c>
      <c r="J16" s="112">
        <f t="shared" si="1"/>
        <v>2.1204000000000001E-2</v>
      </c>
      <c r="K16" s="111">
        <f t="shared" si="4"/>
        <v>0.60138800000000003</v>
      </c>
      <c r="L16" s="119" t="str">
        <f t="shared" si="2"/>
        <v>A</v>
      </c>
    </row>
    <row r="17" spans="1:12">
      <c r="A17" s="16" t="s">
        <v>92</v>
      </c>
      <c r="B17" s="16">
        <v>97625</v>
      </c>
      <c r="C17" s="15" t="s">
        <v>617</v>
      </c>
      <c r="D17" s="14" t="s">
        <v>618</v>
      </c>
      <c r="E17" s="16" t="s">
        <v>619</v>
      </c>
      <c r="F17" s="19">
        <f>Premissas!B14</f>
        <v>2241.0990000000002</v>
      </c>
      <c r="G17" s="18">
        <v>53.15</v>
      </c>
      <c r="H17" s="18">
        <f t="shared" si="0"/>
        <v>119114.41</v>
      </c>
      <c r="I17" s="18">
        <f t="shared" si="3"/>
        <v>3500730.1400000006</v>
      </c>
      <c r="J17" s="112">
        <f t="shared" si="1"/>
        <v>2.1183E-2</v>
      </c>
      <c r="K17" s="111">
        <f t="shared" si="4"/>
        <v>0.62257099999999999</v>
      </c>
      <c r="L17" s="119" t="str">
        <f t="shared" si="2"/>
        <v>A</v>
      </c>
    </row>
    <row r="18" spans="1:12">
      <c r="A18" s="16" t="s">
        <v>92</v>
      </c>
      <c r="B18" s="16">
        <v>102487</v>
      </c>
      <c r="C18" s="15" t="s">
        <v>644</v>
      </c>
      <c r="D18" s="14" t="s">
        <v>645</v>
      </c>
      <c r="E18" s="16" t="s">
        <v>619</v>
      </c>
      <c r="F18" s="19">
        <f>Quantitativos!F70</f>
        <v>156.22000000000003</v>
      </c>
      <c r="G18" s="18">
        <v>750.58</v>
      </c>
      <c r="H18" s="18">
        <f t="shared" si="0"/>
        <v>117255.6</v>
      </c>
      <c r="I18" s="18">
        <f t="shared" si="3"/>
        <v>3617985.7400000007</v>
      </c>
      <c r="J18" s="112">
        <f t="shared" si="1"/>
        <v>2.0853E-2</v>
      </c>
      <c r="K18" s="111">
        <f t="shared" si="4"/>
        <v>0.643424</v>
      </c>
      <c r="L18" s="119" t="str">
        <f t="shared" si="2"/>
        <v>A</v>
      </c>
    </row>
    <row r="19" spans="1:12">
      <c r="A19" s="16" t="s">
        <v>92</v>
      </c>
      <c r="B19" s="16">
        <v>92762</v>
      </c>
      <c r="C19" s="15" t="s">
        <v>668</v>
      </c>
      <c r="D19" s="14" t="s">
        <v>669</v>
      </c>
      <c r="E19" s="16" t="s">
        <v>117</v>
      </c>
      <c r="F19" s="19">
        <f>Quantitativos!F117</f>
        <v>10669.84</v>
      </c>
      <c r="G19" s="18">
        <v>10.98</v>
      </c>
      <c r="H19" s="18">
        <f t="shared" si="0"/>
        <v>117154.84</v>
      </c>
      <c r="I19" s="18">
        <f t="shared" si="3"/>
        <v>3735140.5800000005</v>
      </c>
      <c r="J19" s="112">
        <f t="shared" si="1"/>
        <v>2.0834999999999999E-2</v>
      </c>
      <c r="K19" s="111">
        <f t="shared" si="4"/>
        <v>0.66425900000000004</v>
      </c>
      <c r="L19" s="119" t="str">
        <f t="shared" si="2"/>
        <v>A</v>
      </c>
    </row>
    <row r="20" spans="1:12">
      <c r="A20" s="16" t="s">
        <v>92</v>
      </c>
      <c r="B20" s="16">
        <v>92762</v>
      </c>
      <c r="C20" s="15" t="s">
        <v>652</v>
      </c>
      <c r="D20" s="14" t="s">
        <v>653</v>
      </c>
      <c r="E20" s="16" t="s">
        <v>117</v>
      </c>
      <c r="F20" s="19">
        <f>Quantitativos!F90</f>
        <v>10539.24</v>
      </c>
      <c r="G20" s="18">
        <v>10.98</v>
      </c>
      <c r="H20" s="18">
        <f t="shared" si="0"/>
        <v>115720.85</v>
      </c>
      <c r="I20" s="18">
        <f t="shared" si="3"/>
        <v>3850861.4300000006</v>
      </c>
      <c r="J20" s="112">
        <f t="shared" si="1"/>
        <v>2.0580000000000001E-2</v>
      </c>
      <c r="K20" s="111">
        <f t="shared" si="4"/>
        <v>0.68483899999999998</v>
      </c>
      <c r="L20" s="119" t="str">
        <f t="shared" si="2"/>
        <v>A</v>
      </c>
    </row>
    <row r="21" spans="1:12">
      <c r="A21" s="16" t="s">
        <v>92</v>
      </c>
      <c r="B21" s="16">
        <v>97096</v>
      </c>
      <c r="C21" s="15" t="s">
        <v>972</v>
      </c>
      <c r="D21" s="14" t="s">
        <v>973</v>
      </c>
      <c r="E21" s="16" t="s">
        <v>619</v>
      </c>
      <c r="F21" s="19">
        <f>Quantitativos!E368</f>
        <v>150.52199999999999</v>
      </c>
      <c r="G21" s="18">
        <v>676.43</v>
      </c>
      <c r="H21" s="18">
        <f t="shared" si="0"/>
        <v>101817.59</v>
      </c>
      <c r="I21" s="18">
        <f t="shared" si="3"/>
        <v>3952679.0200000005</v>
      </c>
      <c r="J21" s="112">
        <f t="shared" si="1"/>
        <v>1.8107000000000002E-2</v>
      </c>
      <c r="K21" s="111">
        <f t="shared" si="4"/>
        <v>0.70294599999999996</v>
      </c>
      <c r="L21" s="119" t="str">
        <f t="shared" si="2"/>
        <v>A</v>
      </c>
    </row>
    <row r="22" spans="1:12">
      <c r="A22" s="16" t="s">
        <v>92</v>
      </c>
      <c r="B22" s="16">
        <v>94965</v>
      </c>
      <c r="C22" s="15" t="s">
        <v>658</v>
      </c>
      <c r="D22" s="14" t="s">
        <v>659</v>
      </c>
      <c r="E22" s="16" t="s">
        <v>619</v>
      </c>
      <c r="F22" s="19">
        <f>Quantitativos!G96</f>
        <v>144.61000000000001</v>
      </c>
      <c r="G22" s="18">
        <v>664.37</v>
      </c>
      <c r="H22" s="18">
        <f t="shared" si="0"/>
        <v>96074.54</v>
      </c>
      <c r="I22" s="18">
        <f t="shared" si="3"/>
        <v>4048753.5600000005</v>
      </c>
      <c r="J22" s="112">
        <f t="shared" si="1"/>
        <v>1.7086E-2</v>
      </c>
      <c r="K22" s="111">
        <f t="shared" si="4"/>
        <v>0.72003200000000001</v>
      </c>
      <c r="L22" s="119" t="str">
        <f t="shared" si="2"/>
        <v>A</v>
      </c>
    </row>
    <row r="23" spans="1:12">
      <c r="A23" s="16" t="s">
        <v>92</v>
      </c>
      <c r="B23" s="16">
        <v>94965</v>
      </c>
      <c r="C23" s="15" t="s">
        <v>679</v>
      </c>
      <c r="D23" s="14" t="s">
        <v>659</v>
      </c>
      <c r="E23" s="16" t="s">
        <v>619</v>
      </c>
      <c r="F23" s="19">
        <f>Quantitativos!G124</f>
        <v>127.175</v>
      </c>
      <c r="G23" s="18">
        <v>664.37</v>
      </c>
      <c r="H23" s="18">
        <f t="shared" si="0"/>
        <v>84491.25</v>
      </c>
      <c r="I23" s="18">
        <f t="shared" si="3"/>
        <v>4133244.8100000005</v>
      </c>
      <c r="J23" s="112">
        <f t="shared" si="1"/>
        <v>1.5025999999999999E-2</v>
      </c>
      <c r="K23" s="111">
        <f t="shared" si="4"/>
        <v>0.73505799999999999</v>
      </c>
      <c r="L23" s="119" t="str">
        <f t="shared" si="2"/>
        <v>A</v>
      </c>
    </row>
    <row r="24" spans="1:12">
      <c r="A24" s="16" t="s">
        <v>92</v>
      </c>
      <c r="B24" s="16">
        <v>101166</v>
      </c>
      <c r="C24" s="15" t="s">
        <v>647</v>
      </c>
      <c r="D24" s="14" t="s">
        <v>648</v>
      </c>
      <c r="E24" s="16" t="s">
        <v>619</v>
      </c>
      <c r="F24" s="19">
        <f>Quantitativos!F79</f>
        <v>125.10999999999999</v>
      </c>
      <c r="G24" s="18">
        <v>663.24</v>
      </c>
      <c r="H24" s="18">
        <f t="shared" si="0"/>
        <v>82977.95</v>
      </c>
      <c r="I24" s="18">
        <f t="shared" si="3"/>
        <v>4216222.7600000007</v>
      </c>
      <c r="J24" s="112">
        <f t="shared" si="1"/>
        <v>1.4756E-2</v>
      </c>
      <c r="K24" s="111">
        <f t="shared" si="4"/>
        <v>0.74981399999999998</v>
      </c>
      <c r="L24" s="119" t="str">
        <f t="shared" si="2"/>
        <v>A</v>
      </c>
    </row>
    <row r="25" spans="1:12">
      <c r="A25" s="16" t="s">
        <v>92</v>
      </c>
      <c r="B25" s="16">
        <v>97088</v>
      </c>
      <c r="C25" s="15" t="s">
        <v>969</v>
      </c>
      <c r="D25" s="14" t="s">
        <v>970</v>
      </c>
      <c r="E25" s="16" t="s">
        <v>117</v>
      </c>
      <c r="F25" s="19">
        <f>Quantitativos!D368</f>
        <v>4395.2424000000001</v>
      </c>
      <c r="G25" s="18">
        <v>15.14</v>
      </c>
      <c r="H25" s="18">
        <f t="shared" si="0"/>
        <v>66543.960000000006</v>
      </c>
      <c r="I25" s="18">
        <f t="shared" si="3"/>
        <v>4282766.7200000007</v>
      </c>
      <c r="J25" s="112">
        <f t="shared" si="1"/>
        <v>1.1834000000000001E-2</v>
      </c>
      <c r="K25" s="111">
        <f t="shared" si="4"/>
        <v>0.76164799999999999</v>
      </c>
      <c r="L25" s="119" t="str">
        <f t="shared" si="2"/>
        <v>A</v>
      </c>
    </row>
    <row r="26" spans="1:12">
      <c r="A26" s="16" t="s">
        <v>92</v>
      </c>
      <c r="B26" s="16">
        <v>87878</v>
      </c>
      <c r="C26" s="15" t="s">
        <v>989</v>
      </c>
      <c r="D26" s="14" t="s">
        <v>230</v>
      </c>
      <c r="E26" s="16" t="s">
        <v>95</v>
      </c>
      <c r="F26" s="19">
        <f>Quantitativos!F148</f>
        <v>12974.88</v>
      </c>
      <c r="G26" s="18">
        <v>4.9800000000000004</v>
      </c>
      <c r="H26" s="18">
        <f t="shared" si="0"/>
        <v>64614.9</v>
      </c>
      <c r="I26" s="18">
        <f t="shared" si="3"/>
        <v>4347381.620000001</v>
      </c>
      <c r="J26" s="112">
        <f t="shared" si="1"/>
        <v>1.1490999999999999E-2</v>
      </c>
      <c r="K26" s="111">
        <f t="shared" si="4"/>
        <v>0.77313900000000002</v>
      </c>
      <c r="L26" s="119" t="str">
        <f t="shared" si="2"/>
        <v>A</v>
      </c>
    </row>
    <row r="27" spans="1:12">
      <c r="A27" s="16" t="s">
        <v>92</v>
      </c>
      <c r="B27" s="16">
        <v>94569</v>
      </c>
      <c r="C27" s="15" t="s">
        <v>1022</v>
      </c>
      <c r="D27" s="14" t="s">
        <v>1023</v>
      </c>
      <c r="E27" s="16" t="s">
        <v>95</v>
      </c>
      <c r="F27" s="19">
        <f>Quantitativos!E439*2*1</f>
        <v>84</v>
      </c>
      <c r="G27" s="18">
        <v>674.94</v>
      </c>
      <c r="H27" s="18">
        <f t="shared" si="0"/>
        <v>56694.96</v>
      </c>
      <c r="I27" s="18">
        <f t="shared" si="3"/>
        <v>4404076.580000001</v>
      </c>
      <c r="J27" s="112">
        <f t="shared" si="1"/>
        <v>1.0082000000000001E-2</v>
      </c>
      <c r="K27" s="111">
        <f t="shared" si="4"/>
        <v>0.78322099999999995</v>
      </c>
      <c r="L27" s="119" t="str">
        <f t="shared" si="2"/>
        <v>A</v>
      </c>
    </row>
    <row r="28" spans="1:12">
      <c r="A28" s="16" t="s">
        <v>92</v>
      </c>
      <c r="B28" s="16">
        <v>88423</v>
      </c>
      <c r="C28" s="15" t="s">
        <v>1061</v>
      </c>
      <c r="D28" s="14" t="s">
        <v>509</v>
      </c>
      <c r="E28" s="16" t="s">
        <v>95</v>
      </c>
      <c r="F28" s="19">
        <f>Quantitativos!K485</f>
        <v>2681.9500000000003</v>
      </c>
      <c r="G28" s="18">
        <v>19.260000000000002</v>
      </c>
      <c r="H28" s="18">
        <f t="shared" si="0"/>
        <v>51654.35</v>
      </c>
      <c r="I28" s="18">
        <f t="shared" si="3"/>
        <v>4455730.9300000006</v>
      </c>
      <c r="J28" s="112">
        <f t="shared" si="1"/>
        <v>9.1859999999999997E-3</v>
      </c>
      <c r="K28" s="111">
        <f t="shared" si="4"/>
        <v>0.79240699999999997</v>
      </c>
      <c r="L28" s="119" t="str">
        <f t="shared" si="2"/>
        <v>A</v>
      </c>
    </row>
    <row r="29" spans="1:12">
      <c r="A29" s="16" t="s">
        <v>92</v>
      </c>
      <c r="B29" s="16">
        <v>92759</v>
      </c>
      <c r="C29" s="15" t="s">
        <v>670</v>
      </c>
      <c r="D29" s="14" t="s">
        <v>671</v>
      </c>
      <c r="E29" s="16" t="s">
        <v>117</v>
      </c>
      <c r="F29" s="19">
        <f>Quantitativos!F118</f>
        <v>3659.46</v>
      </c>
      <c r="G29" s="18">
        <v>13.78</v>
      </c>
      <c r="H29" s="18">
        <f t="shared" si="0"/>
        <v>50427.35</v>
      </c>
      <c r="I29" s="18">
        <f t="shared" si="3"/>
        <v>4506158.28</v>
      </c>
      <c r="J29" s="112">
        <f t="shared" si="1"/>
        <v>8.9680000000000003E-3</v>
      </c>
      <c r="K29" s="111">
        <f t="shared" si="4"/>
        <v>0.80137499999999995</v>
      </c>
      <c r="L29" s="119" t="str">
        <f t="shared" si="2"/>
        <v>B</v>
      </c>
    </row>
    <row r="30" spans="1:12">
      <c r="A30" s="16" t="s">
        <v>92</v>
      </c>
      <c r="B30" s="16">
        <v>98557</v>
      </c>
      <c r="C30" s="15" t="s">
        <v>661</v>
      </c>
      <c r="D30" s="14" t="s">
        <v>662</v>
      </c>
      <c r="E30" s="16" t="s">
        <v>95</v>
      </c>
      <c r="F30" s="19">
        <f>Quantitativos!G101</f>
        <v>1016.85</v>
      </c>
      <c r="G30" s="18">
        <v>48.44</v>
      </c>
      <c r="H30" s="18">
        <f t="shared" si="0"/>
        <v>49256.21</v>
      </c>
      <c r="I30" s="18">
        <f t="shared" si="3"/>
        <v>4555414.49</v>
      </c>
      <c r="J30" s="112">
        <f t="shared" si="1"/>
        <v>8.7589999999999994E-3</v>
      </c>
      <c r="K30" s="111">
        <f t="shared" si="4"/>
        <v>0.81013400000000002</v>
      </c>
      <c r="L30" s="119" t="str">
        <f t="shared" si="2"/>
        <v>B</v>
      </c>
    </row>
    <row r="31" spans="1:12">
      <c r="A31" s="16" t="s">
        <v>92</v>
      </c>
      <c r="B31" s="16">
        <v>97906</v>
      </c>
      <c r="C31" s="15" t="s">
        <v>815</v>
      </c>
      <c r="D31" s="14" t="s">
        <v>345</v>
      </c>
      <c r="E31" s="16" t="s">
        <v>151</v>
      </c>
      <c r="F31" s="19">
        <f>Quantitativos!O257</f>
        <v>109</v>
      </c>
      <c r="G31" s="18">
        <v>446.52</v>
      </c>
      <c r="H31" s="18">
        <f t="shared" si="0"/>
        <v>48670.68</v>
      </c>
      <c r="I31" s="18">
        <f t="shared" si="3"/>
        <v>4604085.17</v>
      </c>
      <c r="J31" s="112">
        <f t="shared" si="1"/>
        <v>8.6549999999999995E-3</v>
      </c>
      <c r="K31" s="111">
        <f t="shared" si="4"/>
        <v>0.81878899999999999</v>
      </c>
      <c r="L31" s="119" t="str">
        <f t="shared" si="2"/>
        <v>B</v>
      </c>
    </row>
    <row r="32" spans="1:12">
      <c r="A32" s="16" t="s">
        <v>92</v>
      </c>
      <c r="B32" s="16">
        <v>93202</v>
      </c>
      <c r="C32" s="15" t="s">
        <v>687</v>
      </c>
      <c r="D32" s="14" t="s">
        <v>688</v>
      </c>
      <c r="E32" s="16" t="s">
        <v>104</v>
      </c>
      <c r="F32" s="19">
        <f>Quantitativos!B148</f>
        <v>1621.86</v>
      </c>
      <c r="G32" s="18">
        <v>27.86</v>
      </c>
      <c r="H32" s="18">
        <f t="shared" si="0"/>
        <v>45185.01</v>
      </c>
      <c r="I32" s="18">
        <f t="shared" si="3"/>
        <v>4649270.18</v>
      </c>
      <c r="J32" s="112">
        <f t="shared" si="1"/>
        <v>8.0350000000000005E-3</v>
      </c>
      <c r="K32" s="111">
        <f t="shared" si="4"/>
        <v>0.826824</v>
      </c>
      <c r="L32" s="119" t="str">
        <f t="shared" si="2"/>
        <v>B</v>
      </c>
    </row>
    <row r="33" spans="1:12">
      <c r="A33" s="16" t="s">
        <v>92</v>
      </c>
      <c r="B33" s="16">
        <v>92270</v>
      </c>
      <c r="C33" s="15" t="s">
        <v>672</v>
      </c>
      <c r="D33" s="14" t="s">
        <v>199</v>
      </c>
      <c r="E33" s="20" t="s">
        <v>95</v>
      </c>
      <c r="F33" s="19">
        <f>Quantitativos!G107</f>
        <v>352.7</v>
      </c>
      <c r="G33" s="18">
        <v>123.06</v>
      </c>
      <c r="H33" s="18">
        <f t="shared" si="0"/>
        <v>43403.26</v>
      </c>
      <c r="I33" s="18">
        <f t="shared" si="3"/>
        <v>4692673.4399999995</v>
      </c>
      <c r="J33" s="112">
        <f t="shared" si="1"/>
        <v>7.718E-3</v>
      </c>
      <c r="K33" s="111">
        <f t="shared" si="4"/>
        <v>0.83454200000000001</v>
      </c>
      <c r="L33" s="119" t="str">
        <f t="shared" si="2"/>
        <v>B</v>
      </c>
    </row>
    <row r="34" spans="1:12">
      <c r="A34" s="16" t="s">
        <v>92</v>
      </c>
      <c r="B34" s="16">
        <v>88489</v>
      </c>
      <c r="C34" s="15" t="s">
        <v>1058</v>
      </c>
      <c r="D34" s="14" t="s">
        <v>1059</v>
      </c>
      <c r="E34" s="20" t="s">
        <v>95</v>
      </c>
      <c r="F34" s="19">
        <f>Quantitativos!I484</f>
        <v>3675.2700000000004</v>
      </c>
      <c r="G34" s="18">
        <v>11.76</v>
      </c>
      <c r="H34" s="18">
        <f t="shared" ref="H34:H65" si="7">TRUNC(F34*G34,2)</f>
        <v>43221.17</v>
      </c>
      <c r="I34" s="18">
        <f t="shared" si="3"/>
        <v>4735894.6099999994</v>
      </c>
      <c r="J34" s="112">
        <f t="shared" si="1"/>
        <v>7.6860000000000001E-3</v>
      </c>
      <c r="K34" s="111">
        <f t="shared" si="4"/>
        <v>0.84222799999999998</v>
      </c>
      <c r="L34" s="119" t="str">
        <f t="shared" si="2"/>
        <v>B</v>
      </c>
    </row>
    <row r="35" spans="1:12">
      <c r="A35" s="16" t="s">
        <v>92</v>
      </c>
      <c r="B35" s="16">
        <v>88495</v>
      </c>
      <c r="C35" s="15" t="s">
        <v>1052</v>
      </c>
      <c r="D35" s="14" t="s">
        <v>1053</v>
      </c>
      <c r="E35" s="20" t="s">
        <v>95</v>
      </c>
      <c r="F35" s="19">
        <f>Quantitativos!I483</f>
        <v>3675.2700000000004</v>
      </c>
      <c r="G35" s="18">
        <v>10.39</v>
      </c>
      <c r="H35" s="18">
        <f t="shared" si="7"/>
        <v>38186.050000000003</v>
      </c>
      <c r="I35" s="18">
        <f t="shared" si="3"/>
        <v>4774080.6599999992</v>
      </c>
      <c r="J35" s="112">
        <f t="shared" si="1"/>
        <v>6.7910000000000002E-3</v>
      </c>
      <c r="K35" s="111">
        <f t="shared" si="4"/>
        <v>0.84901899999999997</v>
      </c>
      <c r="L35" s="119" t="str">
        <f t="shared" si="2"/>
        <v>B</v>
      </c>
    </row>
    <row r="36" spans="1:12">
      <c r="A36" s="16" t="s">
        <v>92</v>
      </c>
      <c r="B36" s="16">
        <v>88494</v>
      </c>
      <c r="C36" s="15" t="s">
        <v>1049</v>
      </c>
      <c r="D36" s="14" t="s">
        <v>1050</v>
      </c>
      <c r="E36" s="16" t="s">
        <v>95</v>
      </c>
      <c r="F36" s="19">
        <f>Quantitativos!J483</f>
        <v>1826.9499999999996</v>
      </c>
      <c r="G36" s="18">
        <v>19.309999999999999</v>
      </c>
      <c r="H36" s="18">
        <f t="shared" si="7"/>
        <v>35278.400000000001</v>
      </c>
      <c r="I36" s="18">
        <f t="shared" si="3"/>
        <v>4809359.0599999996</v>
      </c>
      <c r="J36" s="112">
        <f t="shared" si="1"/>
        <v>6.2729999999999999E-3</v>
      </c>
      <c r="K36" s="111">
        <f t="shared" si="4"/>
        <v>0.85529200000000005</v>
      </c>
      <c r="L36" s="119" t="str">
        <f t="shared" si="2"/>
        <v>B</v>
      </c>
    </row>
    <row r="37" spans="1:12">
      <c r="A37" s="16" t="s">
        <v>92</v>
      </c>
      <c r="B37" s="16">
        <v>89849</v>
      </c>
      <c r="C37" s="15" t="s">
        <v>769</v>
      </c>
      <c r="D37" s="14" t="s">
        <v>301</v>
      </c>
      <c r="E37" s="16" t="s">
        <v>104</v>
      </c>
      <c r="F37" s="19">
        <f>Quantitativos!O227</f>
        <v>654</v>
      </c>
      <c r="G37" s="18">
        <v>46.13</v>
      </c>
      <c r="H37" s="18">
        <f t="shared" si="7"/>
        <v>30169.02</v>
      </c>
      <c r="I37" s="18">
        <f t="shared" si="3"/>
        <v>4839528.0799999991</v>
      </c>
      <c r="J37" s="112">
        <f t="shared" si="1"/>
        <v>5.365E-3</v>
      </c>
      <c r="K37" s="111">
        <f t="shared" si="4"/>
        <v>0.86065700000000001</v>
      </c>
      <c r="L37" s="119" t="str">
        <f t="shared" si="2"/>
        <v>B</v>
      </c>
    </row>
    <row r="38" spans="1:12">
      <c r="A38" s="16" t="s">
        <v>92</v>
      </c>
      <c r="B38" s="16">
        <v>96521</v>
      </c>
      <c r="C38" s="15" t="s">
        <v>637</v>
      </c>
      <c r="D38" s="14" t="s">
        <v>55</v>
      </c>
      <c r="E38" s="16" t="s">
        <v>619</v>
      </c>
      <c r="F38" s="19">
        <f>Quantitativos!F21+Quantitativos!F37+Quantitativos!F41</f>
        <v>725.18999999999994</v>
      </c>
      <c r="G38" s="18">
        <v>40.08</v>
      </c>
      <c r="H38" s="18">
        <f t="shared" si="7"/>
        <v>29065.61</v>
      </c>
      <c r="I38" s="18">
        <f t="shared" si="3"/>
        <v>4868593.6899999995</v>
      </c>
      <c r="J38" s="112">
        <f t="shared" si="1"/>
        <v>5.169E-3</v>
      </c>
      <c r="K38" s="111">
        <f t="shared" si="4"/>
        <v>0.86582599999999998</v>
      </c>
      <c r="L38" s="119" t="str">
        <f t="shared" si="2"/>
        <v>B</v>
      </c>
    </row>
    <row r="39" spans="1:12">
      <c r="A39" s="16" t="s">
        <v>92</v>
      </c>
      <c r="B39" s="16">
        <v>10616</v>
      </c>
      <c r="C39" s="15" t="s">
        <v>1013</v>
      </c>
      <c r="D39" s="14" t="s">
        <v>1014</v>
      </c>
      <c r="E39" s="16" t="s">
        <v>95</v>
      </c>
      <c r="F39" s="19">
        <f>Quantitativos!C483</f>
        <v>93.02000000000001</v>
      </c>
      <c r="G39" s="18">
        <v>307.61</v>
      </c>
      <c r="H39" s="18">
        <f t="shared" si="7"/>
        <v>28613.88</v>
      </c>
      <c r="I39" s="18">
        <f t="shared" si="3"/>
        <v>4897207.5699999994</v>
      </c>
      <c r="J39" s="112">
        <f t="shared" si="1"/>
        <v>5.0879999999999996E-3</v>
      </c>
      <c r="K39" s="111">
        <f t="shared" si="4"/>
        <v>0.87091399999999997</v>
      </c>
      <c r="L39" s="119" t="str">
        <f t="shared" si="2"/>
        <v>B</v>
      </c>
    </row>
    <row r="40" spans="1:12">
      <c r="A40" s="16" t="s">
        <v>92</v>
      </c>
      <c r="B40" s="16">
        <v>86931</v>
      </c>
      <c r="C40" s="15" t="s">
        <v>1067</v>
      </c>
      <c r="D40" s="14" t="s">
        <v>1068</v>
      </c>
      <c r="E40" s="16" t="s">
        <v>151</v>
      </c>
      <c r="F40" s="19">
        <f>Quantitativos!B493</f>
        <v>53</v>
      </c>
      <c r="G40" s="18">
        <v>507.6</v>
      </c>
      <c r="H40" s="18">
        <f t="shared" si="7"/>
        <v>26902.799999999999</v>
      </c>
      <c r="I40" s="18">
        <f t="shared" si="3"/>
        <v>4924110.3699999992</v>
      </c>
      <c r="J40" s="112">
        <f t="shared" si="1"/>
        <v>4.7840000000000001E-3</v>
      </c>
      <c r="K40" s="111">
        <f t="shared" si="4"/>
        <v>0.87569799999999998</v>
      </c>
      <c r="L40" s="119" t="str">
        <f t="shared" si="2"/>
        <v>B</v>
      </c>
    </row>
    <row r="41" spans="1:12">
      <c r="A41" s="16" t="s">
        <v>92</v>
      </c>
      <c r="B41" s="16">
        <v>98556</v>
      </c>
      <c r="C41" s="15" t="s">
        <v>975</v>
      </c>
      <c r="D41" s="14" t="s">
        <v>976</v>
      </c>
      <c r="E41" s="16" t="s">
        <v>95</v>
      </c>
      <c r="F41" s="19">
        <f>Quantitativos!F382</f>
        <v>382.54</v>
      </c>
      <c r="G41" s="18">
        <v>69.849999999999994</v>
      </c>
      <c r="H41" s="18">
        <f t="shared" si="7"/>
        <v>26720.41</v>
      </c>
      <c r="I41" s="18">
        <f t="shared" si="3"/>
        <v>4950830.7799999993</v>
      </c>
      <c r="J41" s="112">
        <f t="shared" si="1"/>
        <v>4.7520000000000001E-3</v>
      </c>
      <c r="K41" s="111">
        <f t="shared" si="4"/>
        <v>0.88044999999999995</v>
      </c>
      <c r="L41" s="119" t="str">
        <f t="shared" si="2"/>
        <v>B</v>
      </c>
    </row>
    <row r="42" spans="1:12">
      <c r="A42" s="16" t="s">
        <v>92</v>
      </c>
      <c r="B42" s="16">
        <v>88485</v>
      </c>
      <c r="C42" s="15" t="s">
        <v>1046</v>
      </c>
      <c r="D42" s="14" t="s">
        <v>1047</v>
      </c>
      <c r="E42" s="16" t="s">
        <v>95</v>
      </c>
      <c r="F42" s="19">
        <f>Quantitativos!I482</f>
        <v>6357.2200000000012</v>
      </c>
      <c r="G42" s="18">
        <v>4.03</v>
      </c>
      <c r="H42" s="18">
        <f t="shared" si="7"/>
        <v>25619.59</v>
      </c>
      <c r="I42" s="18">
        <f t="shared" si="3"/>
        <v>4976450.3699999992</v>
      </c>
      <c r="J42" s="112">
        <f t="shared" si="1"/>
        <v>4.5560000000000002E-3</v>
      </c>
      <c r="K42" s="111">
        <f t="shared" si="4"/>
        <v>0.88500599999999996</v>
      </c>
      <c r="L42" s="119" t="str">
        <f t="shared" si="2"/>
        <v>B</v>
      </c>
    </row>
    <row r="43" spans="1:12">
      <c r="A43" s="16" t="s">
        <v>92</v>
      </c>
      <c r="B43" s="16">
        <v>88488</v>
      </c>
      <c r="C43" s="15" t="s">
        <v>1055</v>
      </c>
      <c r="D43" s="14" t="s">
        <v>1056</v>
      </c>
      <c r="E43" s="16" t="s">
        <v>95</v>
      </c>
      <c r="F43" s="19">
        <f>Quantitativos!J484</f>
        <v>1826.9499999999996</v>
      </c>
      <c r="G43" s="18">
        <v>13.96</v>
      </c>
      <c r="H43" s="18">
        <f t="shared" si="7"/>
        <v>25504.22</v>
      </c>
      <c r="I43" s="18">
        <f t="shared" si="3"/>
        <v>5001954.5899999989</v>
      </c>
      <c r="J43" s="112">
        <f t="shared" si="1"/>
        <v>4.535E-3</v>
      </c>
      <c r="K43" s="111">
        <f t="shared" si="4"/>
        <v>0.88954100000000003</v>
      </c>
      <c r="L43" s="119" t="str">
        <f t="shared" si="2"/>
        <v>B</v>
      </c>
    </row>
    <row r="44" spans="1:12">
      <c r="A44" s="16" t="s">
        <v>629</v>
      </c>
      <c r="B44" s="16" t="s">
        <v>942</v>
      </c>
      <c r="C44" s="15" t="s">
        <v>943</v>
      </c>
      <c r="D44" s="14" t="s">
        <v>944</v>
      </c>
      <c r="E44" s="16" t="s">
        <v>151</v>
      </c>
      <c r="F44" s="19">
        <f>Quantitativos!D338</f>
        <v>11</v>
      </c>
      <c r="G44" s="18">
        <v>2245.9899999999998</v>
      </c>
      <c r="H44" s="18">
        <f t="shared" si="7"/>
        <v>24705.89</v>
      </c>
      <c r="I44" s="18">
        <f t="shared" si="3"/>
        <v>5026660.4799999986</v>
      </c>
      <c r="J44" s="112">
        <f t="shared" si="1"/>
        <v>4.3930000000000002E-3</v>
      </c>
      <c r="K44" s="111">
        <f t="shared" si="4"/>
        <v>0.89393400000000001</v>
      </c>
      <c r="L44" s="119" t="str">
        <f t="shared" si="2"/>
        <v>B</v>
      </c>
    </row>
    <row r="45" spans="1:12">
      <c r="A45" s="16" t="s">
        <v>92</v>
      </c>
      <c r="B45" s="16">
        <v>92759</v>
      </c>
      <c r="C45" s="15" t="s">
        <v>655</v>
      </c>
      <c r="D45" s="14" t="s">
        <v>656</v>
      </c>
      <c r="E45" s="16" t="s">
        <v>117</v>
      </c>
      <c r="F45" s="19">
        <f>Quantitativos!F91</f>
        <v>1516.44</v>
      </c>
      <c r="G45" s="18">
        <v>13.78</v>
      </c>
      <c r="H45" s="18">
        <f t="shared" si="7"/>
        <v>20896.54</v>
      </c>
      <c r="I45" s="18">
        <f t="shared" si="3"/>
        <v>5047557.0199999986</v>
      </c>
      <c r="J45" s="112">
        <f t="shared" si="1"/>
        <v>3.7160000000000001E-3</v>
      </c>
      <c r="K45" s="111">
        <f t="shared" si="4"/>
        <v>0.89764999999999995</v>
      </c>
      <c r="L45" s="119" t="str">
        <f t="shared" si="2"/>
        <v>B</v>
      </c>
    </row>
    <row r="46" spans="1:12">
      <c r="A46" s="16" t="s">
        <v>92</v>
      </c>
      <c r="B46" s="16">
        <v>90799</v>
      </c>
      <c r="C46" s="15" t="s">
        <v>1017</v>
      </c>
      <c r="D46" s="14" t="s">
        <v>1018</v>
      </c>
      <c r="E46" s="16" t="s">
        <v>95</v>
      </c>
      <c r="F46" s="19">
        <f>Quantitativos!C439</f>
        <v>17</v>
      </c>
      <c r="G46" s="18">
        <v>1209.4100000000001</v>
      </c>
      <c r="H46" s="18">
        <f t="shared" si="7"/>
        <v>20559.97</v>
      </c>
      <c r="I46" s="18">
        <f t="shared" si="3"/>
        <v>5068116.9899999984</v>
      </c>
      <c r="J46" s="112">
        <f t="shared" si="1"/>
        <v>3.656E-3</v>
      </c>
      <c r="K46" s="111">
        <f t="shared" si="4"/>
        <v>0.90130600000000005</v>
      </c>
      <c r="L46" s="119" t="str">
        <f t="shared" si="2"/>
        <v>B</v>
      </c>
    </row>
    <row r="47" spans="1:12">
      <c r="A47" s="16" t="s">
        <v>595</v>
      </c>
      <c r="B47" s="16">
        <v>4800412</v>
      </c>
      <c r="C47" s="15" t="s">
        <v>626</v>
      </c>
      <c r="D47" s="14" t="s">
        <v>627</v>
      </c>
      <c r="E47" s="16" t="s">
        <v>619</v>
      </c>
      <c r="F47" s="19">
        <f>Dados!B4</f>
        <v>4851</v>
      </c>
      <c r="G47" s="18">
        <v>4.09</v>
      </c>
      <c r="H47" s="18">
        <f t="shared" si="7"/>
        <v>19840.59</v>
      </c>
      <c r="I47" s="18">
        <f t="shared" si="3"/>
        <v>5087957.5799999982</v>
      </c>
      <c r="J47" s="112">
        <f t="shared" si="1"/>
        <v>3.5279999999999999E-3</v>
      </c>
      <c r="K47" s="111">
        <f t="shared" si="4"/>
        <v>0.90483400000000003</v>
      </c>
      <c r="L47" s="119" t="str">
        <f t="shared" si="2"/>
        <v>B</v>
      </c>
    </row>
    <row r="48" spans="1:12">
      <c r="A48" s="16" t="s">
        <v>595</v>
      </c>
      <c r="B48" s="16">
        <v>4413984</v>
      </c>
      <c r="C48" s="15" t="s">
        <v>624</v>
      </c>
      <c r="D48" s="14" t="s">
        <v>53</v>
      </c>
      <c r="E48" s="16" t="s">
        <v>619</v>
      </c>
      <c r="F48" s="19">
        <f>Premissas!B19</f>
        <v>4453.3838700000006</v>
      </c>
      <c r="G48" s="18">
        <v>3.82</v>
      </c>
      <c r="H48" s="18">
        <f t="shared" si="7"/>
        <v>17011.919999999998</v>
      </c>
      <c r="I48" s="18">
        <f t="shared" si="3"/>
        <v>5104969.4999999981</v>
      </c>
      <c r="J48" s="112">
        <f t="shared" si="1"/>
        <v>3.0249999999999999E-3</v>
      </c>
      <c r="K48" s="111">
        <f t="shared" si="4"/>
        <v>0.90785899999999997</v>
      </c>
      <c r="L48" s="119" t="str">
        <f t="shared" si="2"/>
        <v>B</v>
      </c>
    </row>
    <row r="49" spans="1:12">
      <c r="A49" s="16" t="s">
        <v>92</v>
      </c>
      <c r="B49" s="16">
        <v>91928</v>
      </c>
      <c r="C49" s="15" t="s">
        <v>884</v>
      </c>
      <c r="D49" s="14" t="str">
        <f>Quantitativos!A297</f>
        <v>Cabo flexível 4mm2</v>
      </c>
      <c r="E49" s="16" t="str">
        <f>Quantitativos!B297</f>
        <v>m</v>
      </c>
      <c r="F49" s="19">
        <f>Quantitativos!R297</f>
        <v>2436</v>
      </c>
      <c r="G49" s="18">
        <v>6.96</v>
      </c>
      <c r="H49" s="18">
        <f t="shared" si="7"/>
        <v>16954.560000000001</v>
      </c>
      <c r="I49" s="18">
        <f t="shared" si="3"/>
        <v>5121924.0599999977</v>
      </c>
      <c r="J49" s="112">
        <f t="shared" si="1"/>
        <v>3.0149999999999999E-3</v>
      </c>
      <c r="K49" s="111">
        <f t="shared" si="4"/>
        <v>0.91087399999999996</v>
      </c>
      <c r="L49" s="119" t="str">
        <f t="shared" si="2"/>
        <v>B</v>
      </c>
    </row>
    <row r="50" spans="1:12">
      <c r="A50" s="16" t="s">
        <v>92</v>
      </c>
      <c r="B50" s="16">
        <v>104737</v>
      </c>
      <c r="C50" s="15" t="s">
        <v>664</v>
      </c>
      <c r="D50" s="14" t="s">
        <v>665</v>
      </c>
      <c r="E50" s="16" t="s">
        <v>619</v>
      </c>
      <c r="F50" s="19">
        <f>F40</f>
        <v>53</v>
      </c>
      <c r="G50" s="18">
        <v>20.84</v>
      </c>
      <c r="H50" s="18">
        <f t="shared" si="7"/>
        <v>1104.52</v>
      </c>
      <c r="I50" s="18">
        <f t="shared" si="3"/>
        <v>5123028.5799999973</v>
      </c>
      <c r="J50" s="112">
        <f t="shared" si="1"/>
        <v>1.9599999999999999E-4</v>
      </c>
      <c r="K50" s="111">
        <f t="shared" si="4"/>
        <v>0.91107000000000005</v>
      </c>
      <c r="L50" s="119" t="str">
        <f t="shared" si="2"/>
        <v>B</v>
      </c>
    </row>
    <row r="51" spans="1:12">
      <c r="A51" s="16" t="s">
        <v>92</v>
      </c>
      <c r="B51" s="16">
        <v>89714</v>
      </c>
      <c r="C51" s="15" t="s">
        <v>771</v>
      </c>
      <c r="D51" s="14" t="s">
        <v>303</v>
      </c>
      <c r="E51" s="16" t="s">
        <v>104</v>
      </c>
      <c r="F51" s="19">
        <f>Quantitativos!O228</f>
        <v>440</v>
      </c>
      <c r="G51" s="18">
        <v>32.619999999999997</v>
      </c>
      <c r="H51" s="18">
        <f t="shared" si="7"/>
        <v>14352.8</v>
      </c>
      <c r="I51" s="18">
        <f t="shared" si="3"/>
        <v>5137381.3799999971</v>
      </c>
      <c r="J51" s="112">
        <f t="shared" si="1"/>
        <v>2.552E-3</v>
      </c>
      <c r="K51" s="111">
        <f t="shared" si="4"/>
        <v>0.91362200000000005</v>
      </c>
      <c r="L51" s="119" t="str">
        <f t="shared" si="2"/>
        <v>B</v>
      </c>
    </row>
    <row r="52" spans="1:12">
      <c r="A52" s="16" t="s">
        <v>92</v>
      </c>
      <c r="B52" s="16">
        <v>94569</v>
      </c>
      <c r="C52" s="15" t="s">
        <v>1025</v>
      </c>
      <c r="D52" s="14" t="s">
        <v>1026</v>
      </c>
      <c r="E52" s="16" t="s">
        <v>95</v>
      </c>
      <c r="F52" s="19">
        <f>Quantitativos!F439*1.5*1</f>
        <v>21</v>
      </c>
      <c r="G52" s="18">
        <v>674.94</v>
      </c>
      <c r="H52" s="18">
        <f t="shared" si="7"/>
        <v>14173.74</v>
      </c>
      <c r="I52" s="18">
        <f t="shared" si="3"/>
        <v>5151555.1199999973</v>
      </c>
      <c r="J52" s="112">
        <f t="shared" si="1"/>
        <v>2.5200000000000001E-3</v>
      </c>
      <c r="K52" s="111">
        <f t="shared" si="4"/>
        <v>0.91614200000000001</v>
      </c>
      <c r="L52" s="119" t="str">
        <f t="shared" si="2"/>
        <v>B</v>
      </c>
    </row>
    <row r="53" spans="1:12">
      <c r="A53" s="16" t="s">
        <v>629</v>
      </c>
      <c r="B53" s="16"/>
      <c r="C53" s="15" t="s">
        <v>630</v>
      </c>
      <c r="D53" s="14" t="s">
        <v>631</v>
      </c>
      <c r="E53" s="16" t="s">
        <v>95</v>
      </c>
      <c r="F53" s="19">
        <v>45</v>
      </c>
      <c r="G53" s="18">
        <v>312.06</v>
      </c>
      <c r="H53" s="18">
        <f t="shared" si="7"/>
        <v>14042.7</v>
      </c>
      <c r="I53" s="18">
        <f t="shared" si="3"/>
        <v>5165597.8199999975</v>
      </c>
      <c r="J53" s="112">
        <f t="shared" si="1"/>
        <v>2.4970000000000001E-3</v>
      </c>
      <c r="K53" s="111">
        <f t="shared" si="4"/>
        <v>0.91863899999999998</v>
      </c>
      <c r="L53" s="119" t="str">
        <f t="shared" si="2"/>
        <v>B</v>
      </c>
    </row>
    <row r="54" spans="1:12">
      <c r="A54" s="16" t="s">
        <v>92</v>
      </c>
      <c r="B54" s="16">
        <v>99059</v>
      </c>
      <c r="C54" s="15" t="s">
        <v>633</v>
      </c>
      <c r="D54" s="14" t="s">
        <v>634</v>
      </c>
      <c r="E54" s="16" t="s">
        <v>104</v>
      </c>
      <c r="F54" s="19">
        <v>248</v>
      </c>
      <c r="G54" s="18">
        <v>56.01</v>
      </c>
      <c r="H54" s="18">
        <f t="shared" si="7"/>
        <v>13890.48</v>
      </c>
      <c r="I54" s="18">
        <f t="shared" si="3"/>
        <v>5179488.299999998</v>
      </c>
      <c r="J54" s="112">
        <f t="shared" si="1"/>
        <v>2.47E-3</v>
      </c>
      <c r="K54" s="111">
        <f t="shared" si="4"/>
        <v>0.92110899999999996</v>
      </c>
      <c r="L54" s="119" t="str">
        <f t="shared" si="2"/>
        <v>B</v>
      </c>
    </row>
    <row r="55" spans="1:12">
      <c r="A55" s="16" t="s">
        <v>92</v>
      </c>
      <c r="B55" s="16">
        <v>99825</v>
      </c>
      <c r="C55" s="15" t="s">
        <v>1108</v>
      </c>
      <c r="D55" s="14" t="s">
        <v>1109</v>
      </c>
      <c r="E55" s="16" t="s">
        <v>95</v>
      </c>
      <c r="F55" s="19">
        <f>F57+F165</f>
        <v>3110.26</v>
      </c>
      <c r="G55" s="18">
        <v>4.09</v>
      </c>
      <c r="H55" s="18">
        <f t="shared" si="7"/>
        <v>12720.96</v>
      </c>
      <c r="I55" s="18">
        <f t="shared" si="3"/>
        <v>5192209.2599999979</v>
      </c>
      <c r="J55" s="112">
        <f t="shared" si="1"/>
        <v>2.2620000000000001E-3</v>
      </c>
      <c r="K55" s="111">
        <f t="shared" si="4"/>
        <v>0.92337100000000005</v>
      </c>
      <c r="L55" s="119" t="str">
        <f t="shared" si="2"/>
        <v>B</v>
      </c>
    </row>
    <row r="56" spans="1:12">
      <c r="A56" s="16" t="s">
        <v>92</v>
      </c>
      <c r="B56" s="16">
        <v>91926</v>
      </c>
      <c r="C56" s="15" t="s">
        <v>886</v>
      </c>
      <c r="D56" s="14" t="str">
        <f>Quantitativos!A298</f>
        <v>Cabo flexível 2,5mm2</v>
      </c>
      <c r="E56" s="16" t="str">
        <f>Quantitativos!B298</f>
        <v>m</v>
      </c>
      <c r="F56" s="19">
        <f>Quantitativos!R298</f>
        <v>2587</v>
      </c>
      <c r="G56" s="18">
        <v>4.46</v>
      </c>
      <c r="H56" s="18">
        <f t="shared" si="7"/>
        <v>11538.02</v>
      </c>
      <c r="I56" s="18">
        <f t="shared" si="3"/>
        <v>5203747.2799999975</v>
      </c>
      <c r="J56" s="112">
        <f t="shared" si="1"/>
        <v>2.0509999999999999E-3</v>
      </c>
      <c r="K56" s="111">
        <f t="shared" si="4"/>
        <v>0.92542199999999997</v>
      </c>
      <c r="L56" s="119" t="str">
        <f t="shared" si="2"/>
        <v>B</v>
      </c>
    </row>
    <row r="57" spans="1:12">
      <c r="A57" s="16" t="s">
        <v>92</v>
      </c>
      <c r="B57" s="16">
        <v>99821</v>
      </c>
      <c r="C57" s="15" t="s">
        <v>1105</v>
      </c>
      <c r="D57" s="14" t="s">
        <v>1106</v>
      </c>
      <c r="E57" s="16" t="s">
        <v>95</v>
      </c>
      <c r="F57" s="19">
        <f>F138+F139+F140+F141</f>
        <v>3044.26</v>
      </c>
      <c r="G57" s="18">
        <v>3.59</v>
      </c>
      <c r="H57" s="18">
        <f t="shared" si="7"/>
        <v>10928.89</v>
      </c>
      <c r="I57" s="18">
        <f t="shared" si="3"/>
        <v>5214676.1699999971</v>
      </c>
      <c r="J57" s="112">
        <f t="shared" si="1"/>
        <v>1.9430000000000001E-3</v>
      </c>
      <c r="K57" s="111">
        <f t="shared" si="4"/>
        <v>0.92736499999999999</v>
      </c>
      <c r="L57" s="119" t="str">
        <f t="shared" si="2"/>
        <v>B</v>
      </c>
    </row>
    <row r="58" spans="1:12">
      <c r="A58" s="16" t="s">
        <v>92</v>
      </c>
      <c r="B58" s="16">
        <v>91854</v>
      </c>
      <c r="C58" s="15" t="s">
        <v>868</v>
      </c>
      <c r="D58" s="14" t="str">
        <f>Quantitativos!A289</f>
        <v>Eletroduto flexível Ø25mm</v>
      </c>
      <c r="E58" s="16" t="str">
        <f>Quantitativos!B289</f>
        <v>m</v>
      </c>
      <c r="F58" s="19">
        <f>Quantitativos!R289</f>
        <v>1189.8</v>
      </c>
      <c r="G58" s="18">
        <v>9.18</v>
      </c>
      <c r="H58" s="18">
        <f t="shared" si="7"/>
        <v>10922.36</v>
      </c>
      <c r="I58" s="18">
        <f t="shared" si="3"/>
        <v>5225598.5299999975</v>
      </c>
      <c r="J58" s="112">
        <f t="shared" si="1"/>
        <v>1.9419999999999999E-3</v>
      </c>
      <c r="K58" s="111">
        <f t="shared" si="4"/>
        <v>0.92930699999999999</v>
      </c>
      <c r="L58" s="119" t="str">
        <f t="shared" si="2"/>
        <v>B</v>
      </c>
    </row>
    <row r="59" spans="1:12">
      <c r="A59" s="16" t="s">
        <v>92</v>
      </c>
      <c r="B59" s="16">
        <v>89512</v>
      </c>
      <c r="C59" s="15" t="s">
        <v>822</v>
      </c>
      <c r="D59" s="14" t="s">
        <v>351</v>
      </c>
      <c r="E59" s="16" t="s">
        <v>104</v>
      </c>
      <c r="F59" s="19">
        <f>Quantitativos!O264</f>
        <v>260</v>
      </c>
      <c r="G59" s="18">
        <v>41.01</v>
      </c>
      <c r="H59" s="18">
        <f t="shared" si="7"/>
        <v>10662.6</v>
      </c>
      <c r="I59" s="18">
        <f t="shared" si="3"/>
        <v>5236261.1299999971</v>
      </c>
      <c r="J59" s="112">
        <f t="shared" si="1"/>
        <v>1.8959999999999999E-3</v>
      </c>
      <c r="K59" s="111">
        <f t="shared" si="4"/>
        <v>0.931203</v>
      </c>
      <c r="L59" s="119" t="str">
        <f t="shared" si="2"/>
        <v>B</v>
      </c>
    </row>
    <row r="60" spans="1:12">
      <c r="A60" s="16" t="s">
        <v>92</v>
      </c>
      <c r="B60" s="16">
        <v>95472</v>
      </c>
      <c r="C60" s="15" t="s">
        <v>1070</v>
      </c>
      <c r="D60" s="14" t="s">
        <v>1071</v>
      </c>
      <c r="E60" s="16" t="s">
        <v>151</v>
      </c>
      <c r="F60" s="19">
        <f>Quantitativos!C493</f>
        <v>13</v>
      </c>
      <c r="G60" s="18">
        <v>791.26</v>
      </c>
      <c r="H60" s="18">
        <f t="shared" si="7"/>
        <v>10286.379999999999</v>
      </c>
      <c r="I60" s="18">
        <f t="shared" si="3"/>
        <v>5246547.509999997</v>
      </c>
      <c r="J60" s="112">
        <f t="shared" si="1"/>
        <v>1.8289999999999999E-3</v>
      </c>
      <c r="K60" s="111">
        <f t="shared" si="4"/>
        <v>0.93303199999999997</v>
      </c>
      <c r="L60" s="119" t="str">
        <f t="shared" si="2"/>
        <v>B</v>
      </c>
    </row>
    <row r="61" spans="1:12">
      <c r="A61" s="16" t="s">
        <v>92</v>
      </c>
      <c r="B61" s="16">
        <v>92004</v>
      </c>
      <c r="C61" s="15" t="s">
        <v>890</v>
      </c>
      <c r="D61" s="14" t="str">
        <f>Quantitativos!A300</f>
        <v>Tomada dupla</v>
      </c>
      <c r="E61" s="16" t="str">
        <f>Quantitativos!B300</f>
        <v>und</v>
      </c>
      <c r="F61" s="19">
        <f>Quantitativos!R300</f>
        <v>163</v>
      </c>
      <c r="G61" s="18">
        <v>59.96</v>
      </c>
      <c r="H61" s="18">
        <f t="shared" si="7"/>
        <v>9773.48</v>
      </c>
      <c r="I61" s="18">
        <f t="shared" si="3"/>
        <v>5256320.9899999974</v>
      </c>
      <c r="J61" s="112">
        <f t="shared" si="1"/>
        <v>1.738E-3</v>
      </c>
      <c r="K61" s="111">
        <f t="shared" si="4"/>
        <v>0.93476999999999999</v>
      </c>
      <c r="L61" s="119" t="str">
        <f t="shared" si="2"/>
        <v>B</v>
      </c>
    </row>
    <row r="62" spans="1:12">
      <c r="A62" s="16" t="s">
        <v>92</v>
      </c>
      <c r="B62" s="16">
        <v>100869</v>
      </c>
      <c r="C62" s="15" t="s">
        <v>1073</v>
      </c>
      <c r="D62" s="14" t="s">
        <v>1074</v>
      </c>
      <c r="E62" s="16" t="s">
        <v>151</v>
      </c>
      <c r="F62" s="19">
        <f>Quantitativos!D493</f>
        <v>26</v>
      </c>
      <c r="G62" s="18">
        <v>366.42</v>
      </c>
      <c r="H62" s="18">
        <f t="shared" si="7"/>
        <v>9526.92</v>
      </c>
      <c r="I62" s="18">
        <f t="shared" si="3"/>
        <v>5265847.9099999974</v>
      </c>
      <c r="J62" s="112">
        <f t="shared" si="1"/>
        <v>1.694E-3</v>
      </c>
      <c r="K62" s="111">
        <f t="shared" si="4"/>
        <v>0.93646399999999996</v>
      </c>
      <c r="L62" s="119" t="str">
        <f t="shared" si="2"/>
        <v>B</v>
      </c>
    </row>
    <row r="63" spans="1:12">
      <c r="A63" s="16" t="s">
        <v>629</v>
      </c>
      <c r="B63" s="16" t="s">
        <v>946</v>
      </c>
      <c r="C63" s="15" t="s">
        <v>947</v>
      </c>
      <c r="D63" s="14" t="s">
        <v>948</v>
      </c>
      <c r="E63" s="16" t="s">
        <v>151</v>
      </c>
      <c r="F63" s="19">
        <f>Quantitativos!D339</f>
        <v>3</v>
      </c>
      <c r="G63" s="18">
        <v>3173.91</v>
      </c>
      <c r="H63" s="18">
        <f t="shared" si="7"/>
        <v>9521.73</v>
      </c>
      <c r="I63" s="18">
        <f t="shared" si="3"/>
        <v>5275369.6399999978</v>
      </c>
      <c r="J63" s="112">
        <f t="shared" si="1"/>
        <v>1.6930000000000001E-3</v>
      </c>
      <c r="K63" s="111">
        <f t="shared" si="4"/>
        <v>0.93815700000000002</v>
      </c>
      <c r="L63" s="119" t="str">
        <f t="shared" si="2"/>
        <v>B</v>
      </c>
    </row>
    <row r="64" spans="1:12">
      <c r="A64" s="16" t="s">
        <v>92</v>
      </c>
      <c r="B64" s="16">
        <v>88484</v>
      </c>
      <c r="C64" s="15" t="s">
        <v>1043</v>
      </c>
      <c r="D64" s="14" t="s">
        <v>1044</v>
      </c>
      <c r="E64" s="16" t="s">
        <v>95</v>
      </c>
      <c r="F64" s="19">
        <f>Quantitativos!J482</f>
        <v>1826.9499999999996</v>
      </c>
      <c r="G64" s="18">
        <v>4.92</v>
      </c>
      <c r="H64" s="18">
        <f t="shared" si="7"/>
        <v>8988.59</v>
      </c>
      <c r="I64" s="18">
        <f t="shared" si="3"/>
        <v>5284358.2299999977</v>
      </c>
      <c r="J64" s="112">
        <f t="shared" si="1"/>
        <v>1.598E-3</v>
      </c>
      <c r="K64" s="111">
        <f t="shared" si="4"/>
        <v>0.93975500000000001</v>
      </c>
      <c r="L64" s="119" t="str">
        <f t="shared" si="2"/>
        <v>B</v>
      </c>
    </row>
    <row r="65" spans="1:12">
      <c r="A65" s="16" t="s">
        <v>92</v>
      </c>
      <c r="B65" s="16">
        <v>97607</v>
      </c>
      <c r="C65" s="15" t="s">
        <v>896</v>
      </c>
      <c r="D65" s="14" t="str">
        <f>Quantitativos!A303</f>
        <v>Luminárias arandelas</v>
      </c>
      <c r="E65" s="16" t="str">
        <f>Quantitativos!B303</f>
        <v>und</v>
      </c>
      <c r="F65" s="19">
        <f>Quantitativos!R303</f>
        <v>80</v>
      </c>
      <c r="G65" s="18">
        <v>109.15</v>
      </c>
      <c r="H65" s="18">
        <f t="shared" si="7"/>
        <v>8732</v>
      </c>
      <c r="I65" s="18">
        <f t="shared" si="3"/>
        <v>5293090.2299999977</v>
      </c>
      <c r="J65" s="112">
        <f t="shared" si="1"/>
        <v>1.552E-3</v>
      </c>
      <c r="K65" s="111">
        <f t="shared" si="4"/>
        <v>0.941307</v>
      </c>
      <c r="L65" s="119" t="str">
        <f t="shared" si="2"/>
        <v>B</v>
      </c>
    </row>
    <row r="66" spans="1:12">
      <c r="A66" s="16" t="s">
        <v>92</v>
      </c>
      <c r="B66" s="16">
        <v>99817</v>
      </c>
      <c r="C66" s="15" t="s">
        <v>1114</v>
      </c>
      <c r="D66" s="14" t="s">
        <v>1115</v>
      </c>
      <c r="E66" s="16" t="s">
        <v>151</v>
      </c>
      <c r="F66" s="19">
        <f>F152</f>
        <v>1203.9000000000001</v>
      </c>
      <c r="G66" s="18">
        <v>7.03</v>
      </c>
      <c r="H66" s="18">
        <f t="shared" ref="H66:H97" si="8">TRUNC(F66*G66,2)</f>
        <v>8463.41</v>
      </c>
      <c r="I66" s="18">
        <f t="shared" si="3"/>
        <v>5301553.6399999978</v>
      </c>
      <c r="J66" s="112">
        <f t="shared" si="1"/>
        <v>1.505E-3</v>
      </c>
      <c r="K66" s="111">
        <f t="shared" si="4"/>
        <v>0.94281199999999998</v>
      </c>
      <c r="L66" s="119" t="str">
        <f t="shared" si="2"/>
        <v>B</v>
      </c>
    </row>
    <row r="67" spans="1:12">
      <c r="A67" s="16" t="s">
        <v>92</v>
      </c>
      <c r="B67" s="16">
        <v>102616</v>
      </c>
      <c r="C67" s="15" t="s">
        <v>717</v>
      </c>
      <c r="D67" s="14" t="s">
        <v>718</v>
      </c>
      <c r="E67" s="16" t="s">
        <v>151</v>
      </c>
      <c r="F67" s="19">
        <f>Quantitativos!O181</f>
        <v>4</v>
      </c>
      <c r="G67" s="18">
        <v>2120.06</v>
      </c>
      <c r="H67" s="18">
        <f t="shared" si="8"/>
        <v>8480.24</v>
      </c>
      <c r="I67" s="18">
        <f t="shared" si="3"/>
        <v>5310033.879999998</v>
      </c>
      <c r="J67" s="112">
        <f t="shared" ref="J67:J130" si="9">TRUNC(H67/$H$199,6)</f>
        <v>1.508E-3</v>
      </c>
      <c r="K67" s="111">
        <f t="shared" si="4"/>
        <v>0.94432000000000005</v>
      </c>
      <c r="L67" s="119" t="str">
        <f t="shared" ref="L67:L130" si="10">IF(K67&lt;=$O$3,"A",IF(K67&lt;=$O$4,"B","C"))</f>
        <v>B</v>
      </c>
    </row>
    <row r="68" spans="1:12">
      <c r="A68" s="16" t="s">
        <v>92</v>
      </c>
      <c r="B68" s="16">
        <v>89865</v>
      </c>
      <c r="C68" s="15" t="s">
        <v>956</v>
      </c>
      <c r="D68" s="14" t="s">
        <v>363</v>
      </c>
      <c r="E68" s="16" t="s">
        <v>104</v>
      </c>
      <c r="F68" s="19">
        <f>Quantitativos!E357</f>
        <v>540.5</v>
      </c>
      <c r="G68" s="18">
        <v>15.63</v>
      </c>
      <c r="H68" s="18">
        <f t="shared" si="8"/>
        <v>8448.01</v>
      </c>
      <c r="I68" s="18">
        <f t="shared" ref="I68:I131" si="11">I67+H68</f>
        <v>5318481.8899999978</v>
      </c>
      <c r="J68" s="112">
        <f t="shared" si="9"/>
        <v>1.5020000000000001E-3</v>
      </c>
      <c r="K68" s="111">
        <f t="shared" ref="K68:K131" si="12">TRUNC(J68+K67,6)</f>
        <v>0.94582200000000005</v>
      </c>
      <c r="L68" s="119" t="str">
        <f t="shared" si="10"/>
        <v>B</v>
      </c>
    </row>
    <row r="69" spans="1:12">
      <c r="A69" s="16" t="s">
        <v>92</v>
      </c>
      <c r="B69" s="16">
        <v>90447</v>
      </c>
      <c r="C69" s="15" t="s">
        <v>864</v>
      </c>
      <c r="D69" s="14" t="str">
        <f>Quantitativos!A287</f>
        <v>Rasgo em alvenaria para passagens de eletrodutos</v>
      </c>
      <c r="E69" s="16" t="str">
        <f>Quantitativos!B287</f>
        <v>m</v>
      </c>
      <c r="F69" s="19">
        <f>Quantitativos!R287</f>
        <v>1069</v>
      </c>
      <c r="G69" s="18">
        <v>7.61</v>
      </c>
      <c r="H69" s="18">
        <f t="shared" si="8"/>
        <v>8135.09</v>
      </c>
      <c r="I69" s="18">
        <f t="shared" si="11"/>
        <v>5326616.9799999977</v>
      </c>
      <c r="J69" s="112">
        <f t="shared" si="9"/>
        <v>1.446E-3</v>
      </c>
      <c r="K69" s="111">
        <f t="shared" si="12"/>
        <v>0.947268</v>
      </c>
      <c r="L69" s="119" t="str">
        <f t="shared" si="10"/>
        <v>B</v>
      </c>
    </row>
    <row r="70" spans="1:12">
      <c r="A70" s="16" t="s">
        <v>92</v>
      </c>
      <c r="B70" s="16">
        <v>97087</v>
      </c>
      <c r="C70" s="15" t="s">
        <v>967</v>
      </c>
      <c r="D70" s="14" t="s">
        <v>432</v>
      </c>
      <c r="E70" s="16" t="s">
        <v>95</v>
      </c>
      <c r="F70" s="19">
        <f>Quantitativos!C368</f>
        <v>3010.4399999999996</v>
      </c>
      <c r="G70" s="18">
        <v>2.65</v>
      </c>
      <c r="H70" s="18">
        <f t="shared" si="8"/>
        <v>7977.66</v>
      </c>
      <c r="I70" s="18">
        <f t="shared" si="11"/>
        <v>5334594.6399999978</v>
      </c>
      <c r="J70" s="112">
        <f t="shared" si="9"/>
        <v>1.418E-3</v>
      </c>
      <c r="K70" s="111">
        <f t="shared" si="12"/>
        <v>0.94868600000000003</v>
      </c>
      <c r="L70" s="119" t="str">
        <f t="shared" si="10"/>
        <v>B</v>
      </c>
    </row>
    <row r="71" spans="1:12">
      <c r="A71" s="16" t="s">
        <v>92</v>
      </c>
      <c r="B71" s="16">
        <v>89712</v>
      </c>
      <c r="C71" s="15" t="s">
        <v>775</v>
      </c>
      <c r="D71" s="14" t="s">
        <v>307</v>
      </c>
      <c r="E71" s="16" t="s">
        <v>104</v>
      </c>
      <c r="F71" s="19">
        <f>Quantitativos!O230</f>
        <v>330</v>
      </c>
      <c r="G71" s="18">
        <v>23.41</v>
      </c>
      <c r="H71" s="18">
        <f t="shared" si="8"/>
        <v>7725.3</v>
      </c>
      <c r="I71" s="18">
        <f t="shared" si="11"/>
        <v>5342319.9399999976</v>
      </c>
      <c r="J71" s="112">
        <f t="shared" si="9"/>
        <v>1.3730000000000001E-3</v>
      </c>
      <c r="K71" s="111">
        <f t="shared" si="12"/>
        <v>0.95005899999999999</v>
      </c>
      <c r="L71" s="119" t="str">
        <f t="shared" si="10"/>
        <v>C</v>
      </c>
    </row>
    <row r="72" spans="1:12">
      <c r="A72" s="16" t="s">
        <v>92</v>
      </c>
      <c r="B72" s="16">
        <v>86889</v>
      </c>
      <c r="C72" s="15" t="s">
        <v>997</v>
      </c>
      <c r="D72" s="14" t="s">
        <v>998</v>
      </c>
      <c r="E72" s="16" t="s">
        <v>151</v>
      </c>
      <c r="F72" s="19">
        <f>Quantitativos!C422+Quantitativos!C423+Quantitativos!C424+Quantitativos!C425+Quantitativos!C426</f>
        <v>9</v>
      </c>
      <c r="G72" s="18">
        <v>836.88</v>
      </c>
      <c r="H72" s="18">
        <f t="shared" si="8"/>
        <v>7531.92</v>
      </c>
      <c r="I72" s="18">
        <f t="shared" si="11"/>
        <v>5349851.8599999975</v>
      </c>
      <c r="J72" s="112">
        <f t="shared" si="9"/>
        <v>1.3389999999999999E-3</v>
      </c>
      <c r="K72" s="111">
        <f t="shared" si="12"/>
        <v>0.95139799999999997</v>
      </c>
      <c r="L72" s="119" t="str">
        <f t="shared" si="10"/>
        <v>C</v>
      </c>
    </row>
    <row r="73" spans="1:12">
      <c r="A73" s="16" t="s">
        <v>92</v>
      </c>
      <c r="B73" s="16">
        <v>103782</v>
      </c>
      <c r="C73" s="15" t="s">
        <v>894</v>
      </c>
      <c r="D73" s="14" t="str">
        <f>Quantitativos!A302</f>
        <v>Luminárias</v>
      </c>
      <c r="E73" s="16" t="str">
        <f>Quantitativos!B302</f>
        <v>und</v>
      </c>
      <c r="F73" s="19">
        <f>Quantitativos!R302</f>
        <v>221</v>
      </c>
      <c r="G73" s="18">
        <v>32</v>
      </c>
      <c r="H73" s="18">
        <f t="shared" si="8"/>
        <v>7072</v>
      </c>
      <c r="I73" s="18">
        <f t="shared" si="11"/>
        <v>5356923.8599999975</v>
      </c>
      <c r="J73" s="112">
        <f t="shared" si="9"/>
        <v>1.2570000000000001E-3</v>
      </c>
      <c r="K73" s="111">
        <f t="shared" si="12"/>
        <v>0.95265500000000003</v>
      </c>
      <c r="L73" s="119" t="str">
        <f t="shared" si="10"/>
        <v>C</v>
      </c>
    </row>
    <row r="74" spans="1:12">
      <c r="A74" s="16" t="s">
        <v>92</v>
      </c>
      <c r="B74" s="16">
        <v>89987</v>
      </c>
      <c r="C74" s="15" t="s">
        <v>761</v>
      </c>
      <c r="D74" s="14" t="s">
        <v>287</v>
      </c>
      <c r="E74" s="16" t="s">
        <v>151</v>
      </c>
      <c r="F74" s="19">
        <f>Quantitativos!O208</f>
        <v>66</v>
      </c>
      <c r="G74" s="18">
        <v>105.3</v>
      </c>
      <c r="H74" s="18">
        <f t="shared" si="8"/>
        <v>6949.8</v>
      </c>
      <c r="I74" s="18">
        <f t="shared" si="11"/>
        <v>5363873.6599999974</v>
      </c>
      <c r="J74" s="112">
        <f t="shared" si="9"/>
        <v>1.235E-3</v>
      </c>
      <c r="K74" s="111">
        <f t="shared" si="12"/>
        <v>0.95389000000000002</v>
      </c>
      <c r="L74" s="119" t="str">
        <f t="shared" si="10"/>
        <v>C</v>
      </c>
    </row>
    <row r="75" spans="1:12">
      <c r="A75" s="16" t="s">
        <v>92</v>
      </c>
      <c r="B75" s="16">
        <v>91856</v>
      </c>
      <c r="C75" s="15" t="s">
        <v>866</v>
      </c>
      <c r="D75" s="14" t="str">
        <f>Quantitativos!A288</f>
        <v>Eletroduto flexível Ø32mm</v>
      </c>
      <c r="E75" s="16" t="str">
        <f>Quantitativos!B288</f>
        <v>m</v>
      </c>
      <c r="F75" s="19">
        <f>Quantitativos!R288</f>
        <v>579.5</v>
      </c>
      <c r="G75" s="18">
        <v>11.88</v>
      </c>
      <c r="H75" s="18">
        <f t="shared" si="8"/>
        <v>6884.46</v>
      </c>
      <c r="I75" s="18">
        <f t="shared" si="11"/>
        <v>5370758.1199999973</v>
      </c>
      <c r="J75" s="112">
        <f t="shared" si="9"/>
        <v>1.224E-3</v>
      </c>
      <c r="K75" s="111">
        <f t="shared" si="12"/>
        <v>0.95511400000000002</v>
      </c>
      <c r="L75" s="119" t="str">
        <f t="shared" si="10"/>
        <v>C</v>
      </c>
    </row>
    <row r="76" spans="1:12">
      <c r="A76" s="16" t="s">
        <v>92</v>
      </c>
      <c r="B76" s="16">
        <v>100702</v>
      </c>
      <c r="C76" s="15" t="s">
        <v>1031</v>
      </c>
      <c r="D76" s="14" t="s">
        <v>1032</v>
      </c>
      <c r="E76" s="16" t="s">
        <v>95</v>
      </c>
      <c r="F76" s="19">
        <f>Quantitativos!I439*8*2.1</f>
        <v>16.8</v>
      </c>
      <c r="G76" s="18">
        <v>394.82</v>
      </c>
      <c r="H76" s="18">
        <f t="shared" si="8"/>
        <v>6632.97</v>
      </c>
      <c r="I76" s="18">
        <f t="shared" si="11"/>
        <v>5377391.0899999971</v>
      </c>
      <c r="J76" s="112">
        <f t="shared" si="9"/>
        <v>1.1789999999999999E-3</v>
      </c>
      <c r="K76" s="111">
        <f t="shared" si="12"/>
        <v>0.95629299999999995</v>
      </c>
      <c r="L76" s="119" t="str">
        <f t="shared" si="10"/>
        <v>C</v>
      </c>
    </row>
    <row r="77" spans="1:12">
      <c r="A77" s="16" t="s">
        <v>92</v>
      </c>
      <c r="B77" s="16">
        <v>89356</v>
      </c>
      <c r="C77" s="15" t="s">
        <v>709</v>
      </c>
      <c r="D77" s="14" t="s">
        <v>251</v>
      </c>
      <c r="E77" s="16" t="s">
        <v>104</v>
      </c>
      <c r="F77" s="19">
        <f>Quantitativos!O175</f>
        <v>302.45999999999998</v>
      </c>
      <c r="G77" s="18">
        <v>21.51</v>
      </c>
      <c r="H77" s="18">
        <f t="shared" si="8"/>
        <v>6505.91</v>
      </c>
      <c r="I77" s="18">
        <f t="shared" si="11"/>
        <v>5383896.9999999972</v>
      </c>
      <c r="J77" s="112">
        <f t="shared" si="9"/>
        <v>1.157E-3</v>
      </c>
      <c r="K77" s="111">
        <f t="shared" si="12"/>
        <v>0.95745000000000002</v>
      </c>
      <c r="L77" s="119" t="str">
        <f t="shared" si="10"/>
        <v>C</v>
      </c>
    </row>
    <row r="78" spans="1:12">
      <c r="A78" s="16" t="s">
        <v>92</v>
      </c>
      <c r="B78" s="16">
        <v>91959</v>
      </c>
      <c r="C78" s="15" t="s">
        <v>892</v>
      </c>
      <c r="D78" s="14" t="str">
        <f>Quantitativos!A301</f>
        <v>Interruptores</v>
      </c>
      <c r="E78" s="16" t="str">
        <f>Quantitativos!B301</f>
        <v>und</v>
      </c>
      <c r="F78" s="19">
        <f>Quantitativos!R301</f>
        <v>137</v>
      </c>
      <c r="G78" s="18">
        <v>46.59</v>
      </c>
      <c r="H78" s="18">
        <f t="shared" si="8"/>
        <v>6382.83</v>
      </c>
      <c r="I78" s="18">
        <f t="shared" si="11"/>
        <v>5390279.8299999973</v>
      </c>
      <c r="J78" s="112">
        <f t="shared" si="9"/>
        <v>1.1349999999999999E-3</v>
      </c>
      <c r="K78" s="111">
        <f t="shared" si="12"/>
        <v>0.95858500000000002</v>
      </c>
      <c r="L78" s="119" t="str">
        <f t="shared" si="10"/>
        <v>C</v>
      </c>
    </row>
    <row r="79" spans="1:12">
      <c r="A79" s="16" t="s">
        <v>92</v>
      </c>
      <c r="B79" s="16">
        <v>92984</v>
      </c>
      <c r="C79" s="15" t="s">
        <v>878</v>
      </c>
      <c r="D79" s="14" t="str">
        <f>Quantitativos!A294</f>
        <v>Cabo flexível 25mm2</v>
      </c>
      <c r="E79" s="16" t="str">
        <f>Quantitativos!B294</f>
        <v>m</v>
      </c>
      <c r="F79" s="19">
        <f>Quantitativos!R294</f>
        <v>207</v>
      </c>
      <c r="G79" s="18">
        <v>29.72</v>
      </c>
      <c r="H79" s="18">
        <f t="shared" si="8"/>
        <v>6152.04</v>
      </c>
      <c r="I79" s="18">
        <f t="shared" si="11"/>
        <v>5396431.8699999973</v>
      </c>
      <c r="J79" s="112">
        <f t="shared" si="9"/>
        <v>1.0939999999999999E-3</v>
      </c>
      <c r="K79" s="111">
        <f t="shared" si="12"/>
        <v>0.95967899999999995</v>
      </c>
      <c r="L79" s="119" t="str">
        <f t="shared" si="10"/>
        <v>C</v>
      </c>
    </row>
    <row r="80" spans="1:12">
      <c r="A80" s="16" t="s">
        <v>92</v>
      </c>
      <c r="B80" s="16">
        <v>94569</v>
      </c>
      <c r="C80" s="15" t="s">
        <v>1027</v>
      </c>
      <c r="D80" s="14" t="s">
        <v>1028</v>
      </c>
      <c r="E80" s="16" t="s">
        <v>95</v>
      </c>
      <c r="F80" s="19">
        <f>Quantitativos!G439*1*1</f>
        <v>9</v>
      </c>
      <c r="G80" s="18">
        <v>674.94</v>
      </c>
      <c r="H80" s="18">
        <f t="shared" si="8"/>
        <v>6074.46</v>
      </c>
      <c r="I80" s="18">
        <f t="shared" si="11"/>
        <v>5402506.3299999973</v>
      </c>
      <c r="J80" s="112">
        <f t="shared" si="9"/>
        <v>1.08E-3</v>
      </c>
      <c r="K80" s="111">
        <f t="shared" si="12"/>
        <v>0.96075900000000003</v>
      </c>
      <c r="L80" s="119" t="str">
        <f t="shared" si="10"/>
        <v>C</v>
      </c>
    </row>
    <row r="81" spans="1:12">
      <c r="A81" s="16" t="s">
        <v>832</v>
      </c>
      <c r="B81" s="16" t="s">
        <v>1076</v>
      </c>
      <c r="C81" s="15" t="s">
        <v>1077</v>
      </c>
      <c r="D81" s="14" t="s">
        <v>1078</v>
      </c>
      <c r="E81" s="16" t="s">
        <v>151</v>
      </c>
      <c r="F81" s="19">
        <f>Quantitativos!E493</f>
        <v>56</v>
      </c>
      <c r="G81" s="18">
        <v>107.84</v>
      </c>
      <c r="H81" s="18">
        <f t="shared" si="8"/>
        <v>6039.04</v>
      </c>
      <c r="I81" s="18">
        <f t="shared" si="11"/>
        <v>5408545.3699999973</v>
      </c>
      <c r="J81" s="112">
        <f t="shared" si="9"/>
        <v>1.073E-3</v>
      </c>
      <c r="K81" s="111">
        <f t="shared" si="12"/>
        <v>0.96183200000000002</v>
      </c>
      <c r="L81" s="119" t="str">
        <f t="shared" si="10"/>
        <v>C</v>
      </c>
    </row>
    <row r="82" spans="1:12">
      <c r="A82" s="16" t="s">
        <v>92</v>
      </c>
      <c r="B82" s="16">
        <v>91338</v>
      </c>
      <c r="C82" s="15" t="s">
        <v>1036</v>
      </c>
      <c r="D82" s="14" t="s">
        <v>1037</v>
      </c>
      <c r="E82" s="16" t="s">
        <v>95</v>
      </c>
      <c r="F82" s="19">
        <f>Quantitativos!K439</f>
        <v>8</v>
      </c>
      <c r="G82" s="18">
        <v>745.63</v>
      </c>
      <c r="H82" s="18">
        <f t="shared" si="8"/>
        <v>5965.04</v>
      </c>
      <c r="I82" s="18">
        <f t="shared" si="11"/>
        <v>5414510.4099999974</v>
      </c>
      <c r="J82" s="112">
        <f t="shared" si="9"/>
        <v>1.06E-3</v>
      </c>
      <c r="K82" s="111">
        <f t="shared" si="12"/>
        <v>0.96289199999999997</v>
      </c>
      <c r="L82" s="119" t="str">
        <f t="shared" si="10"/>
        <v>C</v>
      </c>
    </row>
    <row r="83" spans="1:12">
      <c r="A83" s="16" t="s">
        <v>92</v>
      </c>
      <c r="B83" s="16">
        <v>94273</v>
      </c>
      <c r="C83" s="15" t="s">
        <v>979</v>
      </c>
      <c r="D83" s="14" t="s">
        <v>980</v>
      </c>
      <c r="E83" s="16" t="s">
        <v>95</v>
      </c>
      <c r="F83" s="19">
        <f>Quantitativos!G368</f>
        <v>155.69999999999999</v>
      </c>
      <c r="G83" s="18">
        <v>38.29</v>
      </c>
      <c r="H83" s="18">
        <f t="shared" si="8"/>
        <v>5961.75</v>
      </c>
      <c r="I83" s="18">
        <f t="shared" si="11"/>
        <v>5420472.1599999974</v>
      </c>
      <c r="J83" s="112">
        <f t="shared" si="9"/>
        <v>1.06E-3</v>
      </c>
      <c r="K83" s="111">
        <f t="shared" si="12"/>
        <v>0.96395200000000003</v>
      </c>
      <c r="L83" s="119" t="str">
        <f t="shared" si="10"/>
        <v>C</v>
      </c>
    </row>
    <row r="84" spans="1:12">
      <c r="A84" s="16" t="s">
        <v>92</v>
      </c>
      <c r="B84" s="16">
        <v>95543</v>
      </c>
      <c r="C84" s="15" t="s">
        <v>1089</v>
      </c>
      <c r="D84" s="14" t="s">
        <v>1090</v>
      </c>
      <c r="E84" s="16" t="s">
        <v>151</v>
      </c>
      <c r="F84" s="19">
        <f>Quantitativos!I493</f>
        <v>56</v>
      </c>
      <c r="G84" s="18">
        <v>106.28</v>
      </c>
      <c r="H84" s="18">
        <f t="shared" si="8"/>
        <v>5951.68</v>
      </c>
      <c r="I84" s="18">
        <f t="shared" si="11"/>
        <v>5426423.8399999971</v>
      </c>
      <c r="J84" s="112">
        <f t="shared" si="9"/>
        <v>1.0579999999999999E-3</v>
      </c>
      <c r="K84" s="111">
        <f t="shared" si="12"/>
        <v>0.96501000000000003</v>
      </c>
      <c r="L84" s="119" t="str">
        <f t="shared" si="10"/>
        <v>C</v>
      </c>
    </row>
    <row r="85" spans="1:12">
      <c r="A85" s="16" t="s">
        <v>92</v>
      </c>
      <c r="B85" s="16">
        <v>98556</v>
      </c>
      <c r="C85" s="15" t="s">
        <v>680</v>
      </c>
      <c r="D85" s="14" t="s">
        <v>681</v>
      </c>
      <c r="E85" s="16" t="s">
        <v>95</v>
      </c>
      <c r="F85" s="19">
        <f>Quantitativos!G130</f>
        <v>81.25</v>
      </c>
      <c r="G85" s="18">
        <v>69.849999999999994</v>
      </c>
      <c r="H85" s="18">
        <f t="shared" si="8"/>
        <v>5675.31</v>
      </c>
      <c r="I85" s="18">
        <f t="shared" si="11"/>
        <v>5432099.1499999966</v>
      </c>
      <c r="J85" s="112">
        <f t="shared" si="9"/>
        <v>1.0089999999999999E-3</v>
      </c>
      <c r="K85" s="111">
        <f t="shared" si="12"/>
        <v>0.96601899999999996</v>
      </c>
      <c r="L85" s="119" t="str">
        <f t="shared" si="10"/>
        <v>C</v>
      </c>
    </row>
    <row r="86" spans="1:12">
      <c r="A86" s="16" t="s">
        <v>92</v>
      </c>
      <c r="B86" s="16">
        <v>91924</v>
      </c>
      <c r="C86" s="15" t="s">
        <v>888</v>
      </c>
      <c r="D86" s="14" t="str">
        <f>Quantitativos!A299</f>
        <v>Cabo flexível 1,5mm2</v>
      </c>
      <c r="E86" s="16" t="str">
        <f>Quantitativos!B299</f>
        <v>m</v>
      </c>
      <c r="F86" s="19">
        <f>Quantitativos!R299</f>
        <v>1862</v>
      </c>
      <c r="G86" s="18">
        <v>3.04</v>
      </c>
      <c r="H86" s="18">
        <f t="shared" si="8"/>
        <v>5660.48</v>
      </c>
      <c r="I86" s="18">
        <f t="shared" si="11"/>
        <v>5437759.6299999971</v>
      </c>
      <c r="J86" s="112">
        <f t="shared" si="9"/>
        <v>1.0059999999999999E-3</v>
      </c>
      <c r="K86" s="111">
        <f t="shared" si="12"/>
        <v>0.96702500000000002</v>
      </c>
      <c r="L86" s="119" t="str">
        <f t="shared" si="10"/>
        <v>C</v>
      </c>
    </row>
    <row r="87" spans="1:12">
      <c r="A87" s="16" t="s">
        <v>92</v>
      </c>
      <c r="B87" s="16">
        <v>89985</v>
      </c>
      <c r="C87" s="15" t="s">
        <v>763</v>
      </c>
      <c r="D87" s="14" t="s">
        <v>288</v>
      </c>
      <c r="E87" s="16" t="s">
        <v>151</v>
      </c>
      <c r="F87" s="19">
        <f>Quantitativos!O209</f>
        <v>56</v>
      </c>
      <c r="G87" s="18">
        <v>99.9</v>
      </c>
      <c r="H87" s="18">
        <f t="shared" si="8"/>
        <v>5594.4</v>
      </c>
      <c r="I87" s="18">
        <f t="shared" si="11"/>
        <v>5443354.0299999975</v>
      </c>
      <c r="J87" s="112">
        <f t="shared" si="9"/>
        <v>9.9400000000000009E-4</v>
      </c>
      <c r="K87" s="111">
        <f t="shared" si="12"/>
        <v>0.96801899999999996</v>
      </c>
      <c r="L87" s="119" t="str">
        <f t="shared" si="10"/>
        <v>C</v>
      </c>
    </row>
    <row r="88" spans="1:12">
      <c r="A88" s="16" t="s">
        <v>92</v>
      </c>
      <c r="B88" s="16">
        <v>99803</v>
      </c>
      <c r="C88" s="15" t="s">
        <v>1102</v>
      </c>
      <c r="D88" s="14" t="s">
        <v>1103</v>
      </c>
      <c r="E88" s="16" t="s">
        <v>95</v>
      </c>
      <c r="F88" s="19">
        <f>Quantitativos!D557</f>
        <v>2789.26</v>
      </c>
      <c r="G88" s="18">
        <v>2</v>
      </c>
      <c r="H88" s="18">
        <f t="shared" si="8"/>
        <v>5578.52</v>
      </c>
      <c r="I88" s="18">
        <f t="shared" si="11"/>
        <v>5448932.549999997</v>
      </c>
      <c r="J88" s="112">
        <f t="shared" si="9"/>
        <v>9.9200000000000004E-4</v>
      </c>
      <c r="K88" s="111">
        <f t="shared" si="12"/>
        <v>0.96901099999999996</v>
      </c>
      <c r="L88" s="119" t="str">
        <f t="shared" si="10"/>
        <v>C</v>
      </c>
    </row>
    <row r="89" spans="1:12">
      <c r="A89" s="16" t="s">
        <v>92</v>
      </c>
      <c r="B89" s="16">
        <v>95544</v>
      </c>
      <c r="C89" s="15" t="s">
        <v>1083</v>
      </c>
      <c r="D89" s="14" t="s">
        <v>1084</v>
      </c>
      <c r="E89" s="16" t="s">
        <v>151</v>
      </c>
      <c r="F89" s="19">
        <f>Quantitativos!G493</f>
        <v>66</v>
      </c>
      <c r="G89" s="18">
        <v>82.5</v>
      </c>
      <c r="H89" s="18">
        <f t="shared" si="8"/>
        <v>5445</v>
      </c>
      <c r="I89" s="18">
        <f t="shared" si="11"/>
        <v>5454377.549999997</v>
      </c>
      <c r="J89" s="112">
        <f t="shared" si="9"/>
        <v>9.68E-4</v>
      </c>
      <c r="K89" s="111">
        <f t="shared" si="12"/>
        <v>0.96997900000000004</v>
      </c>
      <c r="L89" s="119" t="str">
        <f t="shared" si="10"/>
        <v>C</v>
      </c>
    </row>
    <row r="90" spans="1:12">
      <c r="A90" s="16" t="s">
        <v>92</v>
      </c>
      <c r="B90" s="16">
        <v>86906</v>
      </c>
      <c r="C90" s="15" t="s">
        <v>1080</v>
      </c>
      <c r="D90" s="14" t="s">
        <v>1081</v>
      </c>
      <c r="E90" s="16" t="s">
        <v>151</v>
      </c>
      <c r="F90" s="19">
        <f>Quantitativos!F493</f>
        <v>69</v>
      </c>
      <c r="G90" s="18">
        <v>78.72</v>
      </c>
      <c r="H90" s="18">
        <f t="shared" si="8"/>
        <v>5431.68</v>
      </c>
      <c r="I90" s="18">
        <f t="shared" si="11"/>
        <v>5459809.2299999967</v>
      </c>
      <c r="J90" s="112">
        <f t="shared" si="9"/>
        <v>9.6500000000000004E-4</v>
      </c>
      <c r="K90" s="111">
        <f t="shared" si="12"/>
        <v>0.97094400000000003</v>
      </c>
      <c r="L90" s="119" t="str">
        <f t="shared" si="10"/>
        <v>C</v>
      </c>
    </row>
    <row r="91" spans="1:12">
      <c r="A91" s="16" t="s">
        <v>92</v>
      </c>
      <c r="B91" s="16">
        <v>89707</v>
      </c>
      <c r="C91" s="15" t="s">
        <v>813</v>
      </c>
      <c r="D91" s="14" t="s">
        <v>343</v>
      </c>
      <c r="E91" s="16" t="s">
        <v>151</v>
      </c>
      <c r="F91" s="19">
        <f>Quantitativos!O256</f>
        <v>120</v>
      </c>
      <c r="G91" s="18">
        <v>45</v>
      </c>
      <c r="H91" s="18">
        <f t="shared" si="8"/>
        <v>5400</v>
      </c>
      <c r="I91" s="18">
        <f t="shared" si="11"/>
        <v>5465209.2299999967</v>
      </c>
      <c r="J91" s="112">
        <f t="shared" si="9"/>
        <v>9.6000000000000002E-4</v>
      </c>
      <c r="K91" s="111">
        <f t="shared" si="12"/>
        <v>0.97190399999999999</v>
      </c>
      <c r="L91" s="119" t="str">
        <f t="shared" si="10"/>
        <v>C</v>
      </c>
    </row>
    <row r="92" spans="1:12">
      <c r="A92" s="16" t="s">
        <v>92</v>
      </c>
      <c r="B92" s="16">
        <v>91940</v>
      </c>
      <c r="C92" s="15" t="s">
        <v>874</v>
      </c>
      <c r="D92" s="14" t="str">
        <f>Quantitativos!A292</f>
        <v>Caixa de Passagem 4"x2"</v>
      </c>
      <c r="E92" s="16" t="str">
        <f>Quantitativos!B292</f>
        <v>und</v>
      </c>
      <c r="F92" s="19">
        <f>Quantitativos!R292</f>
        <v>300</v>
      </c>
      <c r="G92" s="18">
        <v>17.21</v>
      </c>
      <c r="H92" s="18">
        <f t="shared" si="8"/>
        <v>5163</v>
      </c>
      <c r="I92" s="18">
        <f t="shared" si="11"/>
        <v>5470372.2299999967</v>
      </c>
      <c r="J92" s="112">
        <f t="shared" si="9"/>
        <v>9.1799999999999998E-4</v>
      </c>
      <c r="K92" s="111">
        <f t="shared" si="12"/>
        <v>0.97282199999999996</v>
      </c>
      <c r="L92" s="119" t="str">
        <f t="shared" si="10"/>
        <v>C</v>
      </c>
    </row>
    <row r="93" spans="1:12">
      <c r="A93" s="16" t="s">
        <v>92</v>
      </c>
      <c r="B93" s="16">
        <v>101876</v>
      </c>
      <c r="C93" s="15" t="s">
        <v>898</v>
      </c>
      <c r="D93" s="14" t="str">
        <f>Quantitativos!A304</f>
        <v>Quadro</v>
      </c>
      <c r="E93" s="16" t="str">
        <f>Quantitativos!B304</f>
        <v>und</v>
      </c>
      <c r="F93" s="19">
        <f>Quantitativos!R304</f>
        <v>54</v>
      </c>
      <c r="G93" s="18">
        <v>90.8</v>
      </c>
      <c r="H93" s="18">
        <f t="shared" si="8"/>
        <v>4903.2</v>
      </c>
      <c r="I93" s="18">
        <f t="shared" si="11"/>
        <v>5475275.4299999969</v>
      </c>
      <c r="J93" s="112">
        <f t="shared" si="9"/>
        <v>8.7100000000000003E-4</v>
      </c>
      <c r="K93" s="111">
        <f t="shared" si="12"/>
        <v>0.97369300000000003</v>
      </c>
      <c r="L93" s="119" t="str">
        <f t="shared" si="10"/>
        <v>C</v>
      </c>
    </row>
    <row r="94" spans="1:12">
      <c r="A94" s="16" t="s">
        <v>92</v>
      </c>
      <c r="B94" s="16">
        <v>92554</v>
      </c>
      <c r="C94" s="15" t="s">
        <v>694</v>
      </c>
      <c r="D94" s="14" t="s">
        <v>695</v>
      </c>
      <c r="E94" s="16" t="s">
        <v>151</v>
      </c>
      <c r="F94" s="19">
        <v>2</v>
      </c>
      <c r="G94" s="18">
        <v>2417.54</v>
      </c>
      <c r="H94" s="18">
        <f t="shared" si="8"/>
        <v>4835.08</v>
      </c>
      <c r="I94" s="18">
        <f t="shared" si="11"/>
        <v>5480110.509999997</v>
      </c>
      <c r="J94" s="112">
        <f t="shared" si="9"/>
        <v>8.5899999999999995E-4</v>
      </c>
      <c r="K94" s="111">
        <f t="shared" si="12"/>
        <v>0.97455199999999997</v>
      </c>
      <c r="L94" s="119" t="str">
        <f t="shared" si="10"/>
        <v>C</v>
      </c>
    </row>
    <row r="95" spans="1:12">
      <c r="A95" s="16" t="s">
        <v>92</v>
      </c>
      <c r="B95" s="16">
        <v>91863</v>
      </c>
      <c r="C95" s="15" t="s">
        <v>872</v>
      </c>
      <c r="D95" s="14" t="str">
        <f>Quantitativos!A291</f>
        <v>Eletroduto rígido Ø25mm</v>
      </c>
      <c r="E95" s="16" t="str">
        <f>Quantitativos!B291</f>
        <v>m</v>
      </c>
      <c r="F95" s="19">
        <f>Quantitativos!R291</f>
        <v>437</v>
      </c>
      <c r="G95" s="18">
        <v>10.97</v>
      </c>
      <c r="H95" s="18">
        <f t="shared" si="8"/>
        <v>4793.8900000000003</v>
      </c>
      <c r="I95" s="18">
        <f t="shared" si="11"/>
        <v>5484904.3999999966</v>
      </c>
      <c r="J95" s="112">
        <f t="shared" si="9"/>
        <v>8.52E-4</v>
      </c>
      <c r="K95" s="111">
        <f t="shared" si="12"/>
        <v>0.97540400000000005</v>
      </c>
      <c r="L95" s="119" t="str">
        <f t="shared" si="10"/>
        <v>C</v>
      </c>
    </row>
    <row r="96" spans="1:12">
      <c r="A96" s="16" t="s">
        <v>92</v>
      </c>
      <c r="B96" s="16">
        <v>91930</v>
      </c>
      <c r="C96" s="15" t="s">
        <v>882</v>
      </c>
      <c r="D96" s="14" t="str">
        <f>Quantitativos!A296</f>
        <v>Cabo flexível 6mm2</v>
      </c>
      <c r="E96" s="16" t="str">
        <f>Quantitativos!B296</f>
        <v>m</v>
      </c>
      <c r="F96" s="19">
        <f>Quantitativos!R296</f>
        <v>468</v>
      </c>
      <c r="G96" s="18">
        <v>9.75</v>
      </c>
      <c r="H96" s="18">
        <f t="shared" si="8"/>
        <v>4563</v>
      </c>
      <c r="I96" s="18">
        <f t="shared" si="11"/>
        <v>5489467.3999999966</v>
      </c>
      <c r="J96" s="112">
        <f t="shared" si="9"/>
        <v>8.1099999999999998E-4</v>
      </c>
      <c r="K96" s="111">
        <f t="shared" si="12"/>
        <v>0.97621500000000005</v>
      </c>
      <c r="L96" s="119" t="str">
        <f t="shared" si="10"/>
        <v>C</v>
      </c>
    </row>
    <row r="97" spans="1:12">
      <c r="A97" s="16" t="s">
        <v>92</v>
      </c>
      <c r="B97" s="16">
        <v>94569</v>
      </c>
      <c r="C97" s="15" t="s">
        <v>1029</v>
      </c>
      <c r="D97" s="14" t="s">
        <v>1030</v>
      </c>
      <c r="E97" s="16" t="s">
        <v>95</v>
      </c>
      <c r="F97" s="19">
        <f>Quantitativos!H439*1.2*0.4</f>
        <v>6.7200000000000006</v>
      </c>
      <c r="G97" s="18">
        <v>674.94</v>
      </c>
      <c r="H97" s="18">
        <f t="shared" si="8"/>
        <v>4535.59</v>
      </c>
      <c r="I97" s="18">
        <f t="shared" si="11"/>
        <v>5494002.9899999965</v>
      </c>
      <c r="J97" s="112">
        <f t="shared" si="9"/>
        <v>8.0599999999999997E-4</v>
      </c>
      <c r="K97" s="111">
        <f t="shared" si="12"/>
        <v>0.97702100000000003</v>
      </c>
      <c r="L97" s="119" t="str">
        <f t="shared" si="10"/>
        <v>C</v>
      </c>
    </row>
    <row r="98" spans="1:12">
      <c r="A98" s="16" t="s">
        <v>92</v>
      </c>
      <c r="B98" s="16">
        <v>99260</v>
      </c>
      <c r="C98" s="15" t="s">
        <v>826</v>
      </c>
      <c r="D98" s="14" t="s">
        <v>345</v>
      </c>
      <c r="E98" s="16" t="s">
        <v>151</v>
      </c>
      <c r="F98" s="19">
        <f>Quantitativos!O270</f>
        <v>10</v>
      </c>
      <c r="G98" s="18">
        <v>429.87</v>
      </c>
      <c r="H98" s="18">
        <f t="shared" ref="H98:H129" si="13">TRUNC(F98*G98,2)</f>
        <v>4298.7</v>
      </c>
      <c r="I98" s="18">
        <f t="shared" si="11"/>
        <v>5498301.6899999967</v>
      </c>
      <c r="J98" s="112">
        <f t="shared" si="9"/>
        <v>7.6400000000000003E-4</v>
      </c>
      <c r="K98" s="111">
        <f t="shared" si="12"/>
        <v>0.97778500000000002</v>
      </c>
      <c r="L98" s="119" t="str">
        <f t="shared" si="10"/>
        <v>C</v>
      </c>
    </row>
    <row r="99" spans="1:12">
      <c r="A99" s="16" t="s">
        <v>92</v>
      </c>
      <c r="B99" s="16">
        <v>89403</v>
      </c>
      <c r="C99" s="15" t="s">
        <v>707</v>
      </c>
      <c r="D99" s="14" t="s">
        <v>250</v>
      </c>
      <c r="E99" s="16" t="s">
        <v>104</v>
      </c>
      <c r="F99" s="19">
        <f>Quantitativos!O174</f>
        <v>241</v>
      </c>
      <c r="G99" s="18">
        <v>17.13</v>
      </c>
      <c r="H99" s="18">
        <f t="shared" si="13"/>
        <v>4128.33</v>
      </c>
      <c r="I99" s="18">
        <f t="shared" si="11"/>
        <v>5502430.0199999968</v>
      </c>
      <c r="J99" s="112">
        <f t="shared" si="9"/>
        <v>7.3399999999999995E-4</v>
      </c>
      <c r="K99" s="111">
        <f t="shared" si="12"/>
        <v>0.97851900000000003</v>
      </c>
      <c r="L99" s="119" t="str">
        <f t="shared" si="10"/>
        <v>C</v>
      </c>
    </row>
    <row r="100" spans="1:12">
      <c r="A100" s="16" t="s">
        <v>92</v>
      </c>
      <c r="B100" s="16">
        <v>95542</v>
      </c>
      <c r="C100" s="15" t="s">
        <v>1086</v>
      </c>
      <c r="D100" s="14" t="s">
        <v>1087</v>
      </c>
      <c r="E100" s="16" t="s">
        <v>151</v>
      </c>
      <c r="F100" s="19">
        <f>Quantitativos!H493</f>
        <v>63</v>
      </c>
      <c r="G100" s="18">
        <v>65.39</v>
      </c>
      <c r="H100" s="18">
        <f t="shared" si="13"/>
        <v>4119.57</v>
      </c>
      <c r="I100" s="18">
        <f t="shared" si="11"/>
        <v>5506549.5899999971</v>
      </c>
      <c r="J100" s="112">
        <f t="shared" si="9"/>
        <v>7.3200000000000001E-4</v>
      </c>
      <c r="K100" s="111">
        <f t="shared" si="12"/>
        <v>0.97925099999999998</v>
      </c>
      <c r="L100" s="119" t="str">
        <f t="shared" si="10"/>
        <v>C</v>
      </c>
    </row>
    <row r="101" spans="1:12">
      <c r="A101" s="16" t="s">
        <v>92</v>
      </c>
      <c r="B101" s="16">
        <v>89731</v>
      </c>
      <c r="C101" s="15" t="s">
        <v>791</v>
      </c>
      <c r="D101" s="14" t="s">
        <v>322</v>
      </c>
      <c r="E101" s="16" t="s">
        <v>151</v>
      </c>
      <c r="F101" s="19">
        <f>Quantitativos!O241</f>
        <v>264</v>
      </c>
      <c r="G101" s="18">
        <v>14.35</v>
      </c>
      <c r="H101" s="18">
        <f t="shared" si="13"/>
        <v>3788.4</v>
      </c>
      <c r="I101" s="18">
        <f t="shared" si="11"/>
        <v>5510337.9899999974</v>
      </c>
      <c r="J101" s="112">
        <f t="shared" si="9"/>
        <v>6.7299999999999999E-4</v>
      </c>
      <c r="K101" s="111">
        <f t="shared" si="12"/>
        <v>0.97992400000000002</v>
      </c>
      <c r="L101" s="119" t="str">
        <f t="shared" si="10"/>
        <v>C</v>
      </c>
    </row>
    <row r="102" spans="1:12">
      <c r="A102" s="16" t="s">
        <v>92</v>
      </c>
      <c r="B102" s="16">
        <v>92268</v>
      </c>
      <c r="C102" s="15" t="s">
        <v>673</v>
      </c>
      <c r="D102" s="14" t="s">
        <v>674</v>
      </c>
      <c r="E102" s="16" t="s">
        <v>95</v>
      </c>
      <c r="F102" s="19">
        <f>Quantitativos!G108</f>
        <v>34</v>
      </c>
      <c r="G102" s="18">
        <v>111.19</v>
      </c>
      <c r="H102" s="18">
        <f t="shared" si="13"/>
        <v>3780.46</v>
      </c>
      <c r="I102" s="18">
        <f t="shared" si="11"/>
        <v>5514118.4499999974</v>
      </c>
      <c r="J102" s="112">
        <f t="shared" si="9"/>
        <v>6.7199999999999996E-4</v>
      </c>
      <c r="K102" s="111">
        <f t="shared" si="12"/>
        <v>0.98059600000000002</v>
      </c>
      <c r="L102" s="119" t="str">
        <f t="shared" si="10"/>
        <v>C</v>
      </c>
    </row>
    <row r="103" spans="1:12">
      <c r="A103" s="16" t="s">
        <v>92</v>
      </c>
      <c r="B103" s="16">
        <v>93008</v>
      </c>
      <c r="C103" s="15" t="s">
        <v>924</v>
      </c>
      <c r="D103" s="14" t="s">
        <v>373</v>
      </c>
      <c r="E103" s="16" t="s">
        <v>104</v>
      </c>
      <c r="F103" s="19">
        <f>Quantitativos!R314</f>
        <v>186</v>
      </c>
      <c r="G103" s="18">
        <v>18.399999999999999</v>
      </c>
      <c r="H103" s="18">
        <f t="shared" si="13"/>
        <v>3422.4</v>
      </c>
      <c r="I103" s="18">
        <f t="shared" si="11"/>
        <v>5517540.8499999978</v>
      </c>
      <c r="J103" s="112">
        <f t="shared" si="9"/>
        <v>6.0800000000000003E-4</v>
      </c>
      <c r="K103" s="111">
        <f t="shared" si="12"/>
        <v>0.98120399999999997</v>
      </c>
      <c r="L103" s="119" t="str">
        <f t="shared" si="10"/>
        <v>C</v>
      </c>
    </row>
    <row r="104" spans="1:12">
      <c r="A104" s="16" t="s">
        <v>92</v>
      </c>
      <c r="B104" s="16">
        <v>101909</v>
      </c>
      <c r="C104" s="15" t="s">
        <v>830</v>
      </c>
      <c r="D104" s="14" t="s">
        <v>358</v>
      </c>
      <c r="E104" s="16" t="s">
        <v>151</v>
      </c>
      <c r="F104" s="19">
        <f>Quantitativos!B277</f>
        <v>12</v>
      </c>
      <c r="G104" s="18">
        <v>272.33999999999997</v>
      </c>
      <c r="H104" s="18">
        <f t="shared" si="13"/>
        <v>3268.08</v>
      </c>
      <c r="I104" s="18">
        <f t="shared" si="11"/>
        <v>5520808.9299999978</v>
      </c>
      <c r="J104" s="112">
        <f t="shared" si="9"/>
        <v>5.8100000000000003E-4</v>
      </c>
      <c r="K104" s="111">
        <f t="shared" si="12"/>
        <v>0.98178500000000002</v>
      </c>
      <c r="L104" s="119" t="str">
        <f t="shared" si="10"/>
        <v>C</v>
      </c>
    </row>
    <row r="105" spans="1:12">
      <c r="A105" s="16" t="s">
        <v>92</v>
      </c>
      <c r="B105" s="16">
        <v>3806402</v>
      </c>
      <c r="C105" s="15" t="s">
        <v>1096</v>
      </c>
      <c r="D105" s="14" t="s">
        <v>1097</v>
      </c>
      <c r="E105" s="16" t="s">
        <v>95</v>
      </c>
      <c r="F105" s="19">
        <f>Quantitativos!C557+Quantitativos!C559</f>
        <v>1417.95</v>
      </c>
      <c r="G105" s="18">
        <v>2.27</v>
      </c>
      <c r="H105" s="18">
        <f t="shared" si="13"/>
        <v>3218.74</v>
      </c>
      <c r="I105" s="18">
        <f t="shared" si="11"/>
        <v>5524027.6699999981</v>
      </c>
      <c r="J105" s="112">
        <f t="shared" si="9"/>
        <v>5.7200000000000003E-4</v>
      </c>
      <c r="K105" s="111">
        <f t="shared" si="12"/>
        <v>0.98235700000000004</v>
      </c>
      <c r="L105" s="119" t="str">
        <f t="shared" si="10"/>
        <v>C</v>
      </c>
    </row>
    <row r="106" spans="1:12">
      <c r="A106" s="16" t="s">
        <v>92</v>
      </c>
      <c r="B106" s="16">
        <v>99861</v>
      </c>
      <c r="C106" s="15" t="s">
        <v>1039</v>
      </c>
      <c r="D106" s="14" t="s">
        <v>1040</v>
      </c>
      <c r="E106" s="16" t="s">
        <v>95</v>
      </c>
      <c r="F106" s="19">
        <f>Quantitativos!L439*2.5*2.1</f>
        <v>5.25</v>
      </c>
      <c r="G106" s="18">
        <v>586.46</v>
      </c>
      <c r="H106" s="18">
        <f t="shared" si="13"/>
        <v>3078.91</v>
      </c>
      <c r="I106" s="18">
        <f t="shared" si="11"/>
        <v>5527106.5799999982</v>
      </c>
      <c r="J106" s="112">
        <f t="shared" si="9"/>
        <v>5.4699999999999996E-4</v>
      </c>
      <c r="K106" s="111">
        <f t="shared" si="12"/>
        <v>0.982904</v>
      </c>
      <c r="L106" s="119" t="str">
        <f t="shared" si="10"/>
        <v>C</v>
      </c>
    </row>
    <row r="107" spans="1:12">
      <c r="A107" s="16" t="s">
        <v>92</v>
      </c>
      <c r="B107" s="16">
        <v>103328</v>
      </c>
      <c r="C107" s="15" t="s">
        <v>676</v>
      </c>
      <c r="D107" s="14" t="s">
        <v>677</v>
      </c>
      <c r="E107" s="16" t="s">
        <v>95</v>
      </c>
      <c r="F107" s="19">
        <f>Quantitativos!G109</f>
        <v>34</v>
      </c>
      <c r="G107" s="18">
        <v>88.31</v>
      </c>
      <c r="H107" s="18">
        <f t="shared" si="13"/>
        <v>3002.54</v>
      </c>
      <c r="I107" s="18">
        <f t="shared" si="11"/>
        <v>5530109.1199999982</v>
      </c>
      <c r="J107" s="112">
        <f t="shared" si="9"/>
        <v>5.3300000000000005E-4</v>
      </c>
      <c r="K107" s="111">
        <f t="shared" si="12"/>
        <v>0.98343700000000001</v>
      </c>
      <c r="L107" s="119" t="str">
        <f t="shared" si="10"/>
        <v>C</v>
      </c>
    </row>
    <row r="108" spans="1:12">
      <c r="A108" s="16" t="s">
        <v>92</v>
      </c>
      <c r="B108" s="16">
        <v>93008</v>
      </c>
      <c r="C108" s="15" t="s">
        <v>870</v>
      </c>
      <c r="D108" s="14" t="str">
        <f>Quantitativos!A290</f>
        <v>Eletroduto rígido Ø50mm</v>
      </c>
      <c r="E108" s="16" t="str">
        <f>Quantitativos!B290</f>
        <v>m</v>
      </c>
      <c r="F108" s="19">
        <f>Quantitativos!R290</f>
        <v>155</v>
      </c>
      <c r="G108" s="18">
        <v>18.399999999999999</v>
      </c>
      <c r="H108" s="18">
        <f t="shared" si="13"/>
        <v>2852</v>
      </c>
      <c r="I108" s="18">
        <f t="shared" si="11"/>
        <v>5532961.1199999982</v>
      </c>
      <c r="J108" s="112">
        <f t="shared" si="9"/>
        <v>5.0699999999999996E-4</v>
      </c>
      <c r="K108" s="111">
        <f t="shared" si="12"/>
        <v>0.98394400000000004</v>
      </c>
      <c r="L108" s="119" t="str">
        <f t="shared" si="10"/>
        <v>C</v>
      </c>
    </row>
    <row r="109" spans="1:12">
      <c r="A109" s="16" t="s">
        <v>92</v>
      </c>
      <c r="B109" s="16">
        <v>90373</v>
      </c>
      <c r="C109" s="15" t="s">
        <v>734</v>
      </c>
      <c r="D109" s="14" t="s">
        <v>265</v>
      </c>
      <c r="E109" s="16" t="s">
        <v>151</v>
      </c>
      <c r="F109" s="19">
        <f>Quantitativos!O188</f>
        <v>252</v>
      </c>
      <c r="G109" s="18">
        <v>11.17</v>
      </c>
      <c r="H109" s="18">
        <f t="shared" si="13"/>
        <v>2814.84</v>
      </c>
      <c r="I109" s="18">
        <f t="shared" si="11"/>
        <v>5535775.9599999981</v>
      </c>
      <c r="J109" s="112">
        <f t="shared" si="9"/>
        <v>5.0000000000000001E-4</v>
      </c>
      <c r="K109" s="111">
        <f t="shared" si="12"/>
        <v>0.98444399999999999</v>
      </c>
      <c r="L109" s="119" t="str">
        <f t="shared" si="10"/>
        <v>C</v>
      </c>
    </row>
    <row r="110" spans="1:12">
      <c r="A110" s="16" t="s">
        <v>92</v>
      </c>
      <c r="B110" s="16">
        <v>103689</v>
      </c>
      <c r="C110" s="15" t="s">
        <v>614</v>
      </c>
      <c r="D110" s="14" t="s">
        <v>615</v>
      </c>
      <c r="E110" s="16" t="s">
        <v>95</v>
      </c>
      <c r="F110" s="19">
        <v>6</v>
      </c>
      <c r="G110" s="18">
        <v>461.44</v>
      </c>
      <c r="H110" s="18">
        <f t="shared" si="13"/>
        <v>2768.64</v>
      </c>
      <c r="I110" s="18">
        <f t="shared" si="11"/>
        <v>5538544.5999999978</v>
      </c>
      <c r="J110" s="112">
        <f t="shared" si="9"/>
        <v>4.9200000000000003E-4</v>
      </c>
      <c r="K110" s="111">
        <f t="shared" si="12"/>
        <v>0.98493600000000003</v>
      </c>
      <c r="L110" s="119" t="str">
        <f t="shared" si="10"/>
        <v>C</v>
      </c>
    </row>
    <row r="111" spans="1:12">
      <c r="A111" s="16" t="s">
        <v>92</v>
      </c>
      <c r="B111" s="16">
        <v>93653</v>
      </c>
      <c r="C111" s="15" t="s">
        <v>902</v>
      </c>
      <c r="D111" s="14" t="str">
        <f>Quantitativos!A306</f>
        <v>Disjuntor monopolar 10A</v>
      </c>
      <c r="E111" s="16" t="str">
        <f>Quantitativos!B306</f>
        <v>und</v>
      </c>
      <c r="F111" s="19">
        <f>Quantitativos!R306</f>
        <v>226</v>
      </c>
      <c r="G111" s="18">
        <v>12.22</v>
      </c>
      <c r="H111" s="18">
        <f t="shared" si="13"/>
        <v>2761.72</v>
      </c>
      <c r="I111" s="18">
        <f t="shared" si="11"/>
        <v>5541306.3199999975</v>
      </c>
      <c r="J111" s="112">
        <f t="shared" si="9"/>
        <v>4.9100000000000001E-4</v>
      </c>
      <c r="K111" s="111">
        <f t="shared" si="12"/>
        <v>0.98542700000000005</v>
      </c>
      <c r="L111" s="119" t="str">
        <f t="shared" si="10"/>
        <v>C</v>
      </c>
    </row>
    <row r="112" spans="1:12">
      <c r="A112" s="16" t="s">
        <v>92</v>
      </c>
      <c r="B112" s="16">
        <v>91937</v>
      </c>
      <c r="C112" s="15" t="s">
        <v>876</v>
      </c>
      <c r="D112" s="14" t="str">
        <f>Quantitativos!A293</f>
        <v>Caixa de Passagem 3"x3"</v>
      </c>
      <c r="E112" s="16" t="str">
        <f>Quantitativos!B293</f>
        <v>und</v>
      </c>
      <c r="F112" s="19">
        <f>Quantitativos!R293</f>
        <v>177</v>
      </c>
      <c r="G112" s="18">
        <v>15.25</v>
      </c>
      <c r="H112" s="18">
        <f t="shared" si="13"/>
        <v>2699.25</v>
      </c>
      <c r="I112" s="18">
        <f t="shared" si="11"/>
        <v>5544005.5699999975</v>
      </c>
      <c r="J112" s="112">
        <f t="shared" si="9"/>
        <v>4.8000000000000001E-4</v>
      </c>
      <c r="K112" s="111">
        <f t="shared" si="12"/>
        <v>0.98590699999999998</v>
      </c>
      <c r="L112" s="119" t="str">
        <f t="shared" si="10"/>
        <v>C</v>
      </c>
    </row>
    <row r="113" spans="1:12">
      <c r="A113" s="16" t="s">
        <v>92</v>
      </c>
      <c r="B113" s="16">
        <v>91854</v>
      </c>
      <c r="C113" s="15" t="s">
        <v>925</v>
      </c>
      <c r="D113" s="14" t="s">
        <v>372</v>
      </c>
      <c r="E113" s="16" t="s">
        <v>104</v>
      </c>
      <c r="F113" s="19">
        <f>Quantitativos!R315</f>
        <v>283</v>
      </c>
      <c r="G113" s="18">
        <v>9.18</v>
      </c>
      <c r="H113" s="18">
        <f t="shared" si="13"/>
        <v>2597.94</v>
      </c>
      <c r="I113" s="18">
        <f t="shared" si="11"/>
        <v>5546603.5099999979</v>
      </c>
      <c r="J113" s="112">
        <f t="shared" si="9"/>
        <v>4.6200000000000001E-4</v>
      </c>
      <c r="K113" s="111">
        <f t="shared" si="12"/>
        <v>0.98636900000000005</v>
      </c>
      <c r="L113" s="119" t="str">
        <f t="shared" si="10"/>
        <v>C</v>
      </c>
    </row>
    <row r="114" spans="1:12">
      <c r="A114" s="16" t="s">
        <v>92</v>
      </c>
      <c r="B114" s="16">
        <v>94195</v>
      </c>
      <c r="C114" s="15" t="s">
        <v>697</v>
      </c>
      <c r="D114" s="14" t="s">
        <v>698</v>
      </c>
      <c r="E114" s="16" t="s">
        <v>95</v>
      </c>
      <c r="F114" s="19">
        <f>Quantitativos!F166</f>
        <v>2509.0913100000002</v>
      </c>
      <c r="G114" s="18">
        <v>1</v>
      </c>
      <c r="H114" s="18">
        <f t="shared" si="13"/>
        <v>2509.09</v>
      </c>
      <c r="I114" s="18">
        <f t="shared" si="11"/>
        <v>5549112.5999999978</v>
      </c>
      <c r="J114" s="112">
        <f t="shared" si="9"/>
        <v>4.46E-4</v>
      </c>
      <c r="K114" s="111">
        <f t="shared" si="12"/>
        <v>0.986815</v>
      </c>
      <c r="L114" s="119" t="str">
        <f t="shared" si="10"/>
        <v>C</v>
      </c>
    </row>
    <row r="115" spans="1:12">
      <c r="A115" s="16" t="s">
        <v>629</v>
      </c>
      <c r="B115" s="16" t="s">
        <v>860</v>
      </c>
      <c r="C115" s="15" t="s">
        <v>861</v>
      </c>
      <c r="D115" s="14" t="s">
        <v>368</v>
      </c>
      <c r="E115" s="16" t="s">
        <v>151</v>
      </c>
      <c r="F115" s="19">
        <f>Quantitativos!O284</f>
        <v>2</v>
      </c>
      <c r="G115" s="18">
        <v>1250</v>
      </c>
      <c r="H115" s="18">
        <f t="shared" si="13"/>
        <v>2500</v>
      </c>
      <c r="I115" s="18">
        <f t="shared" si="11"/>
        <v>5551612.5999999978</v>
      </c>
      <c r="J115" s="112">
        <f t="shared" si="9"/>
        <v>4.44E-4</v>
      </c>
      <c r="K115" s="111">
        <f t="shared" si="12"/>
        <v>0.987259</v>
      </c>
      <c r="L115" s="119" t="str">
        <f t="shared" si="10"/>
        <v>C</v>
      </c>
    </row>
    <row r="116" spans="1:12">
      <c r="A116" s="16" t="s">
        <v>92</v>
      </c>
      <c r="B116" s="16">
        <v>10345</v>
      </c>
      <c r="C116" s="15" t="s">
        <v>809</v>
      </c>
      <c r="D116" s="14" t="s">
        <v>339</v>
      </c>
      <c r="E116" s="16" t="s">
        <v>151</v>
      </c>
      <c r="F116" s="19">
        <f>Quantitativos!O253</f>
        <v>62</v>
      </c>
      <c r="G116" s="18">
        <v>39.04</v>
      </c>
      <c r="H116" s="18">
        <f t="shared" si="13"/>
        <v>2420.48</v>
      </c>
      <c r="I116" s="18">
        <f t="shared" si="11"/>
        <v>5554033.0799999982</v>
      </c>
      <c r="J116" s="112">
        <f t="shared" si="9"/>
        <v>4.2999999999999999E-4</v>
      </c>
      <c r="K116" s="111">
        <f t="shared" si="12"/>
        <v>0.98768900000000004</v>
      </c>
      <c r="L116" s="119" t="str">
        <f t="shared" si="10"/>
        <v>C</v>
      </c>
    </row>
    <row r="117" spans="1:12">
      <c r="A117" s="16" t="s">
        <v>92</v>
      </c>
      <c r="B117" s="16">
        <v>95693</v>
      </c>
      <c r="C117" s="15" t="s">
        <v>779</v>
      </c>
      <c r="D117" s="14" t="s">
        <v>312</v>
      </c>
      <c r="E117" s="16" t="s">
        <v>151</v>
      </c>
      <c r="F117" s="19">
        <f>Quantitativos!O233</f>
        <v>54</v>
      </c>
      <c r="G117" s="18">
        <v>42.31</v>
      </c>
      <c r="H117" s="18">
        <f t="shared" si="13"/>
        <v>2284.7399999999998</v>
      </c>
      <c r="I117" s="18">
        <f t="shared" si="11"/>
        <v>5556317.8199999984</v>
      </c>
      <c r="J117" s="112">
        <f t="shared" si="9"/>
        <v>4.06E-4</v>
      </c>
      <c r="K117" s="111">
        <f t="shared" si="12"/>
        <v>0.98809499999999995</v>
      </c>
      <c r="L117" s="119" t="str">
        <f t="shared" si="10"/>
        <v>C</v>
      </c>
    </row>
    <row r="118" spans="1:12">
      <c r="A118" s="16" t="s">
        <v>92</v>
      </c>
      <c r="B118" s="16">
        <v>102500</v>
      </c>
      <c r="C118" s="15" t="s">
        <v>1063</v>
      </c>
      <c r="D118" s="14" t="s">
        <v>1064</v>
      </c>
      <c r="E118" s="16" t="s">
        <v>104</v>
      </c>
      <c r="F118" s="19">
        <f>(60.1+45)*4+(40+55)</f>
        <v>515.4</v>
      </c>
      <c r="G118" s="18">
        <v>4.1399999999999997</v>
      </c>
      <c r="H118" s="18">
        <f t="shared" si="13"/>
        <v>2133.75</v>
      </c>
      <c r="I118" s="18">
        <f t="shared" si="11"/>
        <v>5558451.5699999984</v>
      </c>
      <c r="J118" s="112">
        <f t="shared" si="9"/>
        <v>3.79E-4</v>
      </c>
      <c r="K118" s="111">
        <f t="shared" si="12"/>
        <v>0.98847399999999996</v>
      </c>
      <c r="L118" s="119" t="str">
        <f t="shared" si="10"/>
        <v>C</v>
      </c>
    </row>
    <row r="119" spans="1:12">
      <c r="A119" s="16" t="s">
        <v>92</v>
      </c>
      <c r="B119" s="16">
        <v>97083</v>
      </c>
      <c r="C119" s="15" t="s">
        <v>639</v>
      </c>
      <c r="D119" s="14" t="s">
        <v>193</v>
      </c>
      <c r="E119" s="16" t="s">
        <v>95</v>
      </c>
      <c r="F119" s="19">
        <f>Quantitativos!F51</f>
        <v>663.56</v>
      </c>
      <c r="G119" s="18">
        <v>3.17</v>
      </c>
      <c r="H119" s="18">
        <f t="shared" si="13"/>
        <v>2103.48</v>
      </c>
      <c r="I119" s="18">
        <f t="shared" si="11"/>
        <v>5560555.0499999989</v>
      </c>
      <c r="J119" s="112">
        <f t="shared" si="9"/>
        <v>3.7399999999999998E-4</v>
      </c>
      <c r="K119" s="111">
        <f t="shared" si="12"/>
        <v>0.98884799999999995</v>
      </c>
      <c r="L119" s="119" t="str">
        <f t="shared" si="10"/>
        <v>C</v>
      </c>
    </row>
    <row r="120" spans="1:12">
      <c r="A120" s="16" t="s">
        <v>92</v>
      </c>
      <c r="B120" s="16">
        <v>98262</v>
      </c>
      <c r="C120" s="15" t="s">
        <v>927</v>
      </c>
      <c r="D120" s="14" t="s">
        <v>397</v>
      </c>
      <c r="E120" s="16" t="s">
        <v>104</v>
      </c>
      <c r="F120" s="19">
        <f>Quantitativos!R317</f>
        <v>402</v>
      </c>
      <c r="G120" s="18">
        <v>4.9800000000000004</v>
      </c>
      <c r="H120" s="18">
        <f t="shared" si="13"/>
        <v>2001.96</v>
      </c>
      <c r="I120" s="18">
        <f t="shared" si="11"/>
        <v>5562557.0099999988</v>
      </c>
      <c r="J120" s="112">
        <f t="shared" si="9"/>
        <v>3.5599999999999998E-4</v>
      </c>
      <c r="K120" s="111">
        <f t="shared" si="12"/>
        <v>0.98920399999999997</v>
      </c>
      <c r="L120" s="119" t="str">
        <f t="shared" si="10"/>
        <v>C</v>
      </c>
    </row>
    <row r="121" spans="1:12">
      <c r="A121" s="16"/>
      <c r="B121" s="16"/>
      <c r="C121" s="15" t="s">
        <v>609</v>
      </c>
      <c r="D121" s="14" t="s">
        <v>610</v>
      </c>
      <c r="E121" s="16" t="s">
        <v>156</v>
      </c>
      <c r="F121" s="19">
        <v>1</v>
      </c>
      <c r="G121" s="18">
        <v>2000</v>
      </c>
      <c r="H121" s="18">
        <f t="shared" si="13"/>
        <v>2000</v>
      </c>
      <c r="I121" s="18">
        <f t="shared" si="11"/>
        <v>5564557.0099999988</v>
      </c>
      <c r="J121" s="112">
        <f t="shared" si="9"/>
        <v>3.5500000000000001E-4</v>
      </c>
      <c r="K121" s="111">
        <f t="shared" si="12"/>
        <v>0.98955899999999997</v>
      </c>
      <c r="L121" s="119" t="str">
        <f t="shared" si="10"/>
        <v>C</v>
      </c>
    </row>
    <row r="122" spans="1:12">
      <c r="A122" s="16"/>
      <c r="B122" s="16"/>
      <c r="C122" s="15" t="s">
        <v>611</v>
      </c>
      <c r="D122" s="14" t="s">
        <v>612</v>
      </c>
      <c r="E122" s="16" t="s">
        <v>156</v>
      </c>
      <c r="F122" s="19">
        <v>1</v>
      </c>
      <c r="G122" s="18">
        <v>2000</v>
      </c>
      <c r="H122" s="18">
        <f t="shared" si="13"/>
        <v>2000</v>
      </c>
      <c r="I122" s="18">
        <f t="shared" si="11"/>
        <v>5566557.0099999988</v>
      </c>
      <c r="J122" s="112">
        <f t="shared" si="9"/>
        <v>3.5500000000000001E-4</v>
      </c>
      <c r="K122" s="111">
        <f t="shared" si="12"/>
        <v>0.98991399999999996</v>
      </c>
      <c r="L122" s="119" t="str">
        <f t="shared" si="10"/>
        <v>C</v>
      </c>
    </row>
    <row r="123" spans="1:12">
      <c r="A123" s="16" t="s">
        <v>629</v>
      </c>
      <c r="B123" s="16" t="s">
        <v>938</v>
      </c>
      <c r="C123" s="15" t="s">
        <v>939</v>
      </c>
      <c r="D123" s="14" t="s">
        <v>940</v>
      </c>
      <c r="E123" s="16" t="s">
        <v>151</v>
      </c>
      <c r="F123" s="19">
        <f>Quantitativos!D337</f>
        <v>1</v>
      </c>
      <c r="G123" s="18">
        <v>1978.2</v>
      </c>
      <c r="H123" s="18">
        <f t="shared" si="13"/>
        <v>1978.2</v>
      </c>
      <c r="I123" s="18">
        <f t="shared" si="11"/>
        <v>5568535.209999999</v>
      </c>
      <c r="J123" s="112">
        <f t="shared" si="9"/>
        <v>3.5100000000000002E-4</v>
      </c>
      <c r="K123" s="111">
        <f t="shared" si="12"/>
        <v>0.99026499999999995</v>
      </c>
      <c r="L123" s="119" t="str">
        <f t="shared" si="10"/>
        <v>C</v>
      </c>
    </row>
    <row r="124" spans="1:12">
      <c r="A124" s="16" t="s">
        <v>92</v>
      </c>
      <c r="B124" s="16">
        <v>89732</v>
      </c>
      <c r="C124" s="15" t="s">
        <v>799</v>
      </c>
      <c r="D124" s="14" t="s">
        <v>328</v>
      </c>
      <c r="E124" s="16" t="s">
        <v>151</v>
      </c>
      <c r="F124" s="19">
        <f>Quantitativos!O245</f>
        <v>132</v>
      </c>
      <c r="G124" s="18">
        <v>14.91</v>
      </c>
      <c r="H124" s="18">
        <f t="shared" si="13"/>
        <v>1968.12</v>
      </c>
      <c r="I124" s="18">
        <f t="shared" si="11"/>
        <v>5570503.3299999991</v>
      </c>
      <c r="J124" s="112">
        <f t="shared" si="9"/>
        <v>3.5E-4</v>
      </c>
      <c r="K124" s="111">
        <f t="shared" si="12"/>
        <v>0.99061500000000002</v>
      </c>
      <c r="L124" s="119" t="str">
        <f t="shared" si="10"/>
        <v>C</v>
      </c>
    </row>
    <row r="125" spans="1:12">
      <c r="A125" s="16" t="s">
        <v>92</v>
      </c>
      <c r="B125" s="16">
        <v>983098</v>
      </c>
      <c r="C125" s="15" t="s">
        <v>929</v>
      </c>
      <c r="D125" s="14" t="s">
        <v>398</v>
      </c>
      <c r="E125" s="16" t="s">
        <v>151</v>
      </c>
      <c r="F125" s="19">
        <f>Quantitativos!R318</f>
        <v>58</v>
      </c>
      <c r="G125" s="18">
        <v>33.479999999999997</v>
      </c>
      <c r="H125" s="18">
        <f t="shared" si="13"/>
        <v>1941.84</v>
      </c>
      <c r="I125" s="18">
        <f t="shared" si="11"/>
        <v>5572445.169999999</v>
      </c>
      <c r="J125" s="112">
        <f t="shared" si="9"/>
        <v>3.4499999999999998E-4</v>
      </c>
      <c r="K125" s="111">
        <f t="shared" si="12"/>
        <v>0.99095999999999995</v>
      </c>
      <c r="L125" s="119" t="str">
        <f t="shared" si="10"/>
        <v>C</v>
      </c>
    </row>
    <row r="126" spans="1:12">
      <c r="A126" s="16" t="s">
        <v>92</v>
      </c>
      <c r="B126" s="16">
        <v>98104</v>
      </c>
      <c r="C126" s="15" t="s">
        <v>817</v>
      </c>
      <c r="D126" s="14" t="s">
        <v>346</v>
      </c>
      <c r="E126" s="16" t="s">
        <v>151</v>
      </c>
      <c r="F126" s="19">
        <f>Quantitativos!O258</f>
        <v>5</v>
      </c>
      <c r="G126" s="18">
        <v>380.38</v>
      </c>
      <c r="H126" s="18">
        <f t="shared" si="13"/>
        <v>1901.9</v>
      </c>
      <c r="I126" s="18">
        <f t="shared" si="11"/>
        <v>5574347.0699999994</v>
      </c>
      <c r="J126" s="112">
        <f t="shared" si="9"/>
        <v>3.3799999999999998E-4</v>
      </c>
      <c r="K126" s="111">
        <f t="shared" si="12"/>
        <v>0.99129800000000001</v>
      </c>
      <c r="L126" s="119" t="str">
        <f t="shared" si="10"/>
        <v>C</v>
      </c>
    </row>
    <row r="127" spans="1:12">
      <c r="A127" s="16" t="s">
        <v>92</v>
      </c>
      <c r="B127" s="16">
        <v>89711</v>
      </c>
      <c r="C127" s="15" t="s">
        <v>777</v>
      </c>
      <c r="D127" s="14" t="s">
        <v>309</v>
      </c>
      <c r="E127" s="16" t="s">
        <v>104</v>
      </c>
      <c r="F127" s="19">
        <f>Quantitativos!O231</f>
        <v>97.5</v>
      </c>
      <c r="G127" s="18">
        <v>18.79</v>
      </c>
      <c r="H127" s="18">
        <f t="shared" si="13"/>
        <v>1832.02</v>
      </c>
      <c r="I127" s="18">
        <f t="shared" si="11"/>
        <v>5576179.0899999989</v>
      </c>
      <c r="J127" s="112">
        <f t="shared" si="9"/>
        <v>3.2499999999999999E-4</v>
      </c>
      <c r="K127" s="111">
        <f t="shared" si="12"/>
        <v>0.99162300000000003</v>
      </c>
      <c r="L127" s="119" t="str">
        <f t="shared" si="10"/>
        <v>C</v>
      </c>
    </row>
    <row r="128" spans="1:12">
      <c r="A128" s="16" t="s">
        <v>92</v>
      </c>
      <c r="B128" s="16">
        <v>104779</v>
      </c>
      <c r="C128" s="15" t="s">
        <v>703</v>
      </c>
      <c r="D128" s="14" t="s">
        <v>246</v>
      </c>
      <c r="E128" s="16" t="s">
        <v>104</v>
      </c>
      <c r="F128" s="19">
        <f>Quantitativos!O172</f>
        <v>302.45999999999998</v>
      </c>
      <c r="G128" s="18">
        <v>6.04</v>
      </c>
      <c r="H128" s="18">
        <f t="shared" si="13"/>
        <v>1826.85</v>
      </c>
      <c r="I128" s="18">
        <f t="shared" si="11"/>
        <v>5578005.9399999985</v>
      </c>
      <c r="J128" s="112">
        <f t="shared" si="9"/>
        <v>3.2400000000000001E-4</v>
      </c>
      <c r="K128" s="111">
        <f t="shared" si="12"/>
        <v>0.99194700000000002</v>
      </c>
      <c r="L128" s="119" t="str">
        <f t="shared" si="10"/>
        <v>C</v>
      </c>
    </row>
    <row r="129" spans="1:12">
      <c r="A129" s="16" t="s">
        <v>92</v>
      </c>
      <c r="B129" s="16">
        <v>89746</v>
      </c>
      <c r="C129" s="15" t="s">
        <v>795</v>
      </c>
      <c r="D129" s="14" t="s">
        <v>326</v>
      </c>
      <c r="E129" s="16" t="s">
        <v>151</v>
      </c>
      <c r="F129" s="19">
        <f>Quantitativos!O243</f>
        <v>65</v>
      </c>
      <c r="G129" s="18">
        <v>26.68</v>
      </c>
      <c r="H129" s="18">
        <f t="shared" si="13"/>
        <v>1734.2</v>
      </c>
      <c r="I129" s="18">
        <f t="shared" si="11"/>
        <v>5579740.1399999987</v>
      </c>
      <c r="J129" s="112">
        <f t="shared" si="9"/>
        <v>3.0800000000000001E-4</v>
      </c>
      <c r="K129" s="111">
        <f t="shared" si="12"/>
        <v>0.992255</v>
      </c>
      <c r="L129" s="119" t="str">
        <f t="shared" si="10"/>
        <v>C</v>
      </c>
    </row>
    <row r="130" spans="1:12">
      <c r="A130" s="16" t="s">
        <v>629</v>
      </c>
      <c r="B130" s="16" t="s">
        <v>910</v>
      </c>
      <c r="C130" s="15" t="s">
        <v>911</v>
      </c>
      <c r="D130" s="14" t="str">
        <f>Quantitativos!A311</f>
        <v>Conjunto moto-bomba e filtro</v>
      </c>
      <c r="E130" s="16" t="str">
        <f>Quantitativos!B311</f>
        <v>und</v>
      </c>
      <c r="F130" s="19">
        <f>Quantitativos!R311</f>
        <v>1</v>
      </c>
      <c r="G130" s="18">
        <v>1723.04</v>
      </c>
      <c r="H130" s="18">
        <f t="shared" ref="H130:H161" si="14">TRUNC(F130*G130,2)</f>
        <v>1723.04</v>
      </c>
      <c r="I130" s="18">
        <f t="shared" si="11"/>
        <v>5581463.1799999988</v>
      </c>
      <c r="J130" s="112">
        <f t="shared" si="9"/>
        <v>3.0600000000000001E-4</v>
      </c>
      <c r="K130" s="111">
        <f t="shared" si="12"/>
        <v>0.99256100000000003</v>
      </c>
      <c r="L130" s="119" t="str">
        <f t="shared" si="10"/>
        <v>C</v>
      </c>
    </row>
    <row r="131" spans="1:12">
      <c r="A131" s="16" t="s">
        <v>92</v>
      </c>
      <c r="B131" s="16">
        <v>89744</v>
      </c>
      <c r="C131" s="15" t="s">
        <v>789</v>
      </c>
      <c r="D131" s="14" t="s">
        <v>319</v>
      </c>
      <c r="E131" s="16" t="s">
        <v>151</v>
      </c>
      <c r="F131" s="19">
        <f>Quantitativos!O239</f>
        <v>65</v>
      </c>
      <c r="G131" s="18">
        <v>26.03</v>
      </c>
      <c r="H131" s="18">
        <f t="shared" si="14"/>
        <v>1691.95</v>
      </c>
      <c r="I131" s="18">
        <f t="shared" si="11"/>
        <v>5583155.129999999</v>
      </c>
      <c r="J131" s="112">
        <f t="shared" ref="J131:J194" si="15">TRUNC(H131/$H$199,6)</f>
        <v>2.9999999999999997E-4</v>
      </c>
      <c r="K131" s="111">
        <f t="shared" si="12"/>
        <v>0.99286099999999999</v>
      </c>
      <c r="L131" s="119" t="str">
        <f t="shared" ref="L131:L194" si="16">IF(K131&lt;=$O$3,"A",IF(K131&lt;=$O$4,"B","C"))</f>
        <v>C</v>
      </c>
    </row>
    <row r="132" spans="1:12">
      <c r="A132" s="16" t="s">
        <v>92</v>
      </c>
      <c r="B132" s="16">
        <v>100702</v>
      </c>
      <c r="C132" s="15" t="s">
        <v>1034</v>
      </c>
      <c r="D132" s="14" t="s">
        <v>1035</v>
      </c>
      <c r="E132" s="16" t="s">
        <v>95</v>
      </c>
      <c r="F132" s="19">
        <f>Quantitativos!J439*2*2.1</f>
        <v>4.2</v>
      </c>
      <c r="G132" s="18">
        <v>394.82</v>
      </c>
      <c r="H132" s="18">
        <f t="shared" si="14"/>
        <v>1658.24</v>
      </c>
      <c r="I132" s="18">
        <f t="shared" ref="I132:I195" si="17">I131+H132</f>
        <v>5584813.3699999992</v>
      </c>
      <c r="J132" s="112">
        <f t="shared" si="15"/>
        <v>2.9399999999999999E-4</v>
      </c>
      <c r="K132" s="111">
        <f t="shared" ref="K132:K195" si="18">TRUNC(J132+K131,6)</f>
        <v>0.99315500000000001</v>
      </c>
      <c r="L132" s="119" t="str">
        <f t="shared" si="16"/>
        <v>C</v>
      </c>
    </row>
    <row r="133" spans="1:12">
      <c r="A133" s="16" t="s">
        <v>92</v>
      </c>
      <c r="B133" s="16">
        <v>97599</v>
      </c>
      <c r="C133" s="15" t="s">
        <v>843</v>
      </c>
      <c r="D133" s="14" t="s">
        <v>844</v>
      </c>
      <c r="E133" s="16" t="s">
        <v>151</v>
      </c>
      <c r="F133" s="19">
        <f>Quantitativos!C277</f>
        <v>75</v>
      </c>
      <c r="G133" s="18">
        <v>21.91</v>
      </c>
      <c r="H133" s="18">
        <f t="shared" si="14"/>
        <v>1643.25</v>
      </c>
      <c r="I133" s="18">
        <f t="shared" si="17"/>
        <v>5586456.6199999992</v>
      </c>
      <c r="J133" s="112">
        <f t="shared" si="15"/>
        <v>2.92E-4</v>
      </c>
      <c r="K133" s="111">
        <f t="shared" si="18"/>
        <v>0.99344699999999997</v>
      </c>
      <c r="L133" s="119" t="str">
        <f t="shared" si="16"/>
        <v>C</v>
      </c>
    </row>
    <row r="134" spans="1:12">
      <c r="A134" s="16" t="s">
        <v>92</v>
      </c>
      <c r="B134" s="16">
        <v>89395</v>
      </c>
      <c r="C134" s="15" t="s">
        <v>752</v>
      </c>
      <c r="D134" s="14" t="s">
        <v>282</v>
      </c>
      <c r="E134" s="16" t="s">
        <v>151</v>
      </c>
      <c r="F134" s="19">
        <f>Quantitativos!O203</f>
        <v>133</v>
      </c>
      <c r="G134" s="18">
        <v>12.1</v>
      </c>
      <c r="H134" s="18">
        <f t="shared" si="14"/>
        <v>1609.3</v>
      </c>
      <c r="I134" s="18">
        <f t="shared" si="17"/>
        <v>5588065.919999999</v>
      </c>
      <c r="J134" s="112">
        <f t="shared" si="15"/>
        <v>2.8600000000000001E-4</v>
      </c>
      <c r="K134" s="111">
        <f t="shared" si="18"/>
        <v>0.99373299999999998</v>
      </c>
      <c r="L134" s="119" t="str">
        <f t="shared" si="16"/>
        <v>C</v>
      </c>
    </row>
    <row r="135" spans="1:12">
      <c r="A135" s="16" t="s">
        <v>92</v>
      </c>
      <c r="B135" s="16">
        <v>96619</v>
      </c>
      <c r="C135" s="15" t="s">
        <v>641</v>
      </c>
      <c r="D135" s="14" t="s">
        <v>642</v>
      </c>
      <c r="E135" s="16" t="s">
        <v>619</v>
      </c>
      <c r="F135" s="19">
        <f>Quantitativos!F61</f>
        <v>33.049999999999997</v>
      </c>
      <c r="G135" s="18">
        <v>47.17</v>
      </c>
      <c r="H135" s="18">
        <f t="shared" si="14"/>
        <v>1558.96</v>
      </c>
      <c r="I135" s="18">
        <f t="shared" si="17"/>
        <v>5589624.879999999</v>
      </c>
      <c r="J135" s="112">
        <f t="shared" si="15"/>
        <v>2.7700000000000001E-4</v>
      </c>
      <c r="K135" s="111">
        <f t="shared" si="18"/>
        <v>0.99400999999999995</v>
      </c>
      <c r="L135" s="119" t="str">
        <f t="shared" si="16"/>
        <v>C</v>
      </c>
    </row>
    <row r="136" spans="1:12">
      <c r="A136" s="16" t="s">
        <v>92</v>
      </c>
      <c r="B136" s="16">
        <v>89449</v>
      </c>
      <c r="C136" s="15" t="s">
        <v>705</v>
      </c>
      <c r="D136" s="14" t="s">
        <v>249</v>
      </c>
      <c r="E136" s="16" t="s">
        <v>104</v>
      </c>
      <c r="F136" s="19">
        <f>Quantitativos!O173</f>
        <v>96</v>
      </c>
      <c r="G136" s="18">
        <v>15.95</v>
      </c>
      <c r="H136" s="18">
        <f t="shared" si="14"/>
        <v>1531.2</v>
      </c>
      <c r="I136" s="18">
        <f t="shared" si="17"/>
        <v>5591156.0799999991</v>
      </c>
      <c r="J136" s="112">
        <f t="shared" si="15"/>
        <v>2.72E-4</v>
      </c>
      <c r="K136" s="111">
        <f t="shared" si="18"/>
        <v>0.994282</v>
      </c>
      <c r="L136" s="119" t="str">
        <f t="shared" si="16"/>
        <v>C</v>
      </c>
    </row>
    <row r="137" spans="1:12">
      <c r="A137" s="16" t="s">
        <v>92</v>
      </c>
      <c r="B137" s="16">
        <v>89784</v>
      </c>
      <c r="C137" s="15" t="s">
        <v>803</v>
      </c>
      <c r="D137" s="14" t="s">
        <v>333</v>
      </c>
      <c r="E137" s="16" t="s">
        <v>151</v>
      </c>
      <c r="F137" s="19">
        <f>Quantitativos!O248</f>
        <v>63</v>
      </c>
      <c r="G137" s="18">
        <v>22.75</v>
      </c>
      <c r="H137" s="18">
        <f t="shared" si="14"/>
        <v>1433.25</v>
      </c>
      <c r="I137" s="18">
        <f t="shared" si="17"/>
        <v>5592589.3299999991</v>
      </c>
      <c r="J137" s="112">
        <f t="shared" si="15"/>
        <v>2.5399999999999999E-4</v>
      </c>
      <c r="K137" s="111">
        <f t="shared" si="18"/>
        <v>0.99453599999999998</v>
      </c>
      <c r="L137" s="119" t="str">
        <f t="shared" si="16"/>
        <v>C</v>
      </c>
    </row>
    <row r="138" spans="1:12">
      <c r="A138" s="16" t="s">
        <v>92</v>
      </c>
      <c r="B138" s="16">
        <v>99802</v>
      </c>
      <c r="C138" s="15" t="s">
        <v>1099</v>
      </c>
      <c r="D138" s="14" t="s">
        <v>1100</v>
      </c>
      <c r="E138" s="16" t="s">
        <v>95</v>
      </c>
      <c r="F138" s="19">
        <f>Quantitativos!D557</f>
        <v>2789.26</v>
      </c>
      <c r="G138" s="18">
        <v>0.51</v>
      </c>
      <c r="H138" s="18">
        <f t="shared" si="14"/>
        <v>1422.52</v>
      </c>
      <c r="I138" s="18">
        <f t="shared" si="17"/>
        <v>5594011.8499999987</v>
      </c>
      <c r="J138" s="112">
        <f t="shared" si="15"/>
        <v>2.52E-4</v>
      </c>
      <c r="K138" s="111">
        <f t="shared" si="18"/>
        <v>0.99478800000000001</v>
      </c>
      <c r="L138" s="119" t="str">
        <f t="shared" si="16"/>
        <v>C</v>
      </c>
    </row>
    <row r="139" spans="1:12">
      <c r="A139" s="16" t="s">
        <v>92</v>
      </c>
      <c r="B139" s="16">
        <v>86934</v>
      </c>
      <c r="C139" s="15" t="s">
        <v>1003</v>
      </c>
      <c r="D139" s="14" t="s">
        <v>1004</v>
      </c>
      <c r="E139" s="16" t="s">
        <v>151</v>
      </c>
      <c r="F139" s="19">
        <v>3</v>
      </c>
      <c r="G139" s="18">
        <v>469.17</v>
      </c>
      <c r="H139" s="18">
        <f t="shared" si="14"/>
        <v>1407.51</v>
      </c>
      <c r="I139" s="18">
        <f t="shared" si="17"/>
        <v>5595419.3599999985</v>
      </c>
      <c r="J139" s="112">
        <f t="shared" si="15"/>
        <v>2.5000000000000001E-4</v>
      </c>
      <c r="K139" s="111">
        <f t="shared" si="18"/>
        <v>0.99503799999999998</v>
      </c>
      <c r="L139" s="119" t="str">
        <f t="shared" si="16"/>
        <v>C</v>
      </c>
    </row>
    <row r="140" spans="1:12">
      <c r="A140" s="16" t="s">
        <v>92</v>
      </c>
      <c r="B140" s="16">
        <v>89429</v>
      </c>
      <c r="C140" s="15" t="s">
        <v>759</v>
      </c>
      <c r="D140" s="14" t="s">
        <v>286</v>
      </c>
      <c r="E140" s="16" t="s">
        <v>151</v>
      </c>
      <c r="F140" s="19">
        <f>Quantitativos!O207</f>
        <v>242</v>
      </c>
      <c r="G140" s="18">
        <v>5.63</v>
      </c>
      <c r="H140" s="18">
        <f t="shared" si="14"/>
        <v>1362.46</v>
      </c>
      <c r="I140" s="18">
        <f t="shared" si="17"/>
        <v>5596781.8199999984</v>
      </c>
      <c r="J140" s="112">
        <f t="shared" si="15"/>
        <v>2.42E-4</v>
      </c>
      <c r="K140" s="111">
        <f t="shared" si="18"/>
        <v>0.99528000000000005</v>
      </c>
      <c r="L140" s="119" t="str">
        <f t="shared" si="16"/>
        <v>C</v>
      </c>
    </row>
    <row r="141" spans="1:12">
      <c r="A141" s="16" t="s">
        <v>92</v>
      </c>
      <c r="B141" s="16">
        <v>97881</v>
      </c>
      <c r="C141" s="15" t="s">
        <v>919</v>
      </c>
      <c r="D141" s="14" t="s">
        <v>920</v>
      </c>
      <c r="E141" s="16" t="s">
        <v>151</v>
      </c>
      <c r="F141" s="19">
        <v>10</v>
      </c>
      <c r="G141" s="18">
        <v>129.61000000000001</v>
      </c>
      <c r="H141" s="18">
        <f t="shared" si="14"/>
        <v>1296.0999999999999</v>
      </c>
      <c r="I141" s="18">
        <f t="shared" si="17"/>
        <v>5598077.9199999981</v>
      </c>
      <c r="J141" s="112">
        <f t="shared" si="15"/>
        <v>2.3000000000000001E-4</v>
      </c>
      <c r="K141" s="111">
        <f t="shared" si="18"/>
        <v>0.99551000000000001</v>
      </c>
      <c r="L141" s="119" t="str">
        <f t="shared" si="16"/>
        <v>C</v>
      </c>
    </row>
    <row r="142" spans="1:12">
      <c r="A142" s="16" t="s">
        <v>92</v>
      </c>
      <c r="B142" s="16">
        <v>92981</v>
      </c>
      <c r="C142" s="15" t="s">
        <v>880</v>
      </c>
      <c r="D142" s="14" t="str">
        <f>Quantitativos!A295</f>
        <v>Cabo flexível 16mm2</v>
      </c>
      <c r="E142" s="16" t="str">
        <f>Quantitativos!B295</f>
        <v>m</v>
      </c>
      <c r="F142" s="19">
        <f>Quantitativos!R295</f>
        <v>75</v>
      </c>
      <c r="G142" s="18">
        <v>17.09</v>
      </c>
      <c r="H142" s="18">
        <f t="shared" si="14"/>
        <v>1281.75</v>
      </c>
      <c r="I142" s="18">
        <f t="shared" si="17"/>
        <v>5599359.6699999981</v>
      </c>
      <c r="J142" s="112">
        <f t="shared" si="15"/>
        <v>2.2699999999999999E-4</v>
      </c>
      <c r="K142" s="111">
        <f t="shared" si="18"/>
        <v>0.99573699999999998</v>
      </c>
      <c r="L142" s="119" t="str">
        <f t="shared" si="16"/>
        <v>C</v>
      </c>
    </row>
    <row r="143" spans="1:12">
      <c r="A143" s="16" t="s">
        <v>92</v>
      </c>
      <c r="B143" s="16">
        <v>89724</v>
      </c>
      <c r="C143" s="15" t="s">
        <v>793</v>
      </c>
      <c r="D143" s="14" t="s">
        <v>324</v>
      </c>
      <c r="E143" s="16" t="s">
        <v>151</v>
      </c>
      <c r="F143" s="19">
        <f>Quantitativos!O242</f>
        <v>132</v>
      </c>
      <c r="G143" s="18">
        <v>9.26</v>
      </c>
      <c r="H143" s="18">
        <f t="shared" si="14"/>
        <v>1222.32</v>
      </c>
      <c r="I143" s="18">
        <f t="shared" si="17"/>
        <v>5600581.9899999984</v>
      </c>
      <c r="J143" s="112">
        <f t="shared" si="15"/>
        <v>2.1699999999999999E-4</v>
      </c>
      <c r="K143" s="111">
        <f t="shared" si="18"/>
        <v>0.99595400000000001</v>
      </c>
      <c r="L143" s="119" t="str">
        <f t="shared" si="16"/>
        <v>C</v>
      </c>
    </row>
    <row r="144" spans="1:12">
      <c r="A144" s="16" t="s">
        <v>92</v>
      </c>
      <c r="B144" s="16">
        <v>89867</v>
      </c>
      <c r="C144" s="15" t="s">
        <v>960</v>
      </c>
      <c r="D144" s="14" t="s">
        <v>961</v>
      </c>
      <c r="E144" s="16" t="s">
        <v>151</v>
      </c>
      <c r="F144" s="19">
        <f>Quantitativos!G357</f>
        <v>160</v>
      </c>
      <c r="G144" s="18">
        <v>7.49</v>
      </c>
      <c r="H144" s="18">
        <f t="shared" si="14"/>
        <v>1198.4000000000001</v>
      </c>
      <c r="I144" s="18">
        <f t="shared" si="17"/>
        <v>5601780.3899999987</v>
      </c>
      <c r="J144" s="112">
        <f t="shared" si="15"/>
        <v>2.13E-4</v>
      </c>
      <c r="K144" s="111">
        <f t="shared" si="18"/>
        <v>0.99616700000000002</v>
      </c>
      <c r="L144" s="119" t="str">
        <f t="shared" si="16"/>
        <v>C</v>
      </c>
    </row>
    <row r="145" spans="1:12">
      <c r="A145" s="16" t="s">
        <v>92</v>
      </c>
      <c r="B145" s="16">
        <v>92688</v>
      </c>
      <c r="C145" s="15" t="s">
        <v>848</v>
      </c>
      <c r="D145" s="14" t="s">
        <v>363</v>
      </c>
      <c r="E145" s="16" t="s">
        <v>104</v>
      </c>
      <c r="F145" s="19">
        <f>Quantitativos!O280</f>
        <v>30</v>
      </c>
      <c r="G145" s="18">
        <v>38.549999999999997</v>
      </c>
      <c r="H145" s="18">
        <f t="shared" si="14"/>
        <v>1156.5</v>
      </c>
      <c r="I145" s="18">
        <f t="shared" si="17"/>
        <v>5602936.8899999987</v>
      </c>
      <c r="J145" s="112">
        <f t="shared" si="15"/>
        <v>2.05E-4</v>
      </c>
      <c r="K145" s="111">
        <f t="shared" si="18"/>
        <v>0.99637200000000004</v>
      </c>
      <c r="L145" s="119" t="str">
        <f t="shared" si="16"/>
        <v>C</v>
      </c>
    </row>
    <row r="146" spans="1:12">
      <c r="A146" s="16" t="s">
        <v>92</v>
      </c>
      <c r="B146" s="16">
        <v>89778</v>
      </c>
      <c r="C146" s="15" t="s">
        <v>781</v>
      </c>
      <c r="D146" s="14" t="s">
        <v>314</v>
      </c>
      <c r="E146" s="16" t="s">
        <v>151</v>
      </c>
      <c r="F146" s="19">
        <f>Quantitativos!O234</f>
        <v>73</v>
      </c>
      <c r="G146" s="18">
        <v>15.66</v>
      </c>
      <c r="H146" s="18">
        <f t="shared" si="14"/>
        <v>1143.18</v>
      </c>
      <c r="I146" s="18">
        <f t="shared" si="17"/>
        <v>5604080.0699999984</v>
      </c>
      <c r="J146" s="112">
        <f t="shared" si="15"/>
        <v>2.03E-4</v>
      </c>
      <c r="K146" s="111">
        <f t="shared" si="18"/>
        <v>0.99657499999999999</v>
      </c>
      <c r="L146" s="119" t="str">
        <f t="shared" si="16"/>
        <v>C</v>
      </c>
    </row>
    <row r="147" spans="1:12">
      <c r="A147" s="16" t="s">
        <v>92</v>
      </c>
      <c r="B147" s="16">
        <v>89866</v>
      </c>
      <c r="C147" s="15" t="s">
        <v>958</v>
      </c>
      <c r="D147" s="14" t="s">
        <v>365</v>
      </c>
      <c r="E147" s="16" t="s">
        <v>151</v>
      </c>
      <c r="F147" s="19">
        <f>Quantitativos!F357</f>
        <v>160</v>
      </c>
      <c r="G147" s="18">
        <v>6.8</v>
      </c>
      <c r="H147" s="18">
        <f t="shared" si="14"/>
        <v>1088</v>
      </c>
      <c r="I147" s="18">
        <f t="shared" si="17"/>
        <v>5605168.0699999984</v>
      </c>
      <c r="J147" s="112">
        <f t="shared" si="15"/>
        <v>1.93E-4</v>
      </c>
      <c r="K147" s="111">
        <f t="shared" si="18"/>
        <v>0.99676799999999999</v>
      </c>
      <c r="L147" s="119" t="str">
        <f t="shared" si="16"/>
        <v>C</v>
      </c>
    </row>
    <row r="148" spans="1:12">
      <c r="A148" s="16" t="s">
        <v>92</v>
      </c>
      <c r="B148" s="16">
        <v>89443</v>
      </c>
      <c r="C148" s="15" t="s">
        <v>750</v>
      </c>
      <c r="D148" s="14" t="s">
        <v>281</v>
      </c>
      <c r="E148" s="16" t="s">
        <v>151</v>
      </c>
      <c r="F148" s="19">
        <f>Quantitativos!O202</f>
        <v>68</v>
      </c>
      <c r="G148" s="18">
        <v>15.58</v>
      </c>
      <c r="H148" s="18">
        <f t="shared" si="14"/>
        <v>1059.44</v>
      </c>
      <c r="I148" s="18">
        <f t="shared" si="17"/>
        <v>5606227.5099999988</v>
      </c>
      <c r="J148" s="112">
        <f t="shared" si="15"/>
        <v>1.8799999999999999E-4</v>
      </c>
      <c r="K148" s="111">
        <f t="shared" si="18"/>
        <v>0.99695599999999995</v>
      </c>
      <c r="L148" s="119" t="str">
        <f t="shared" si="16"/>
        <v>C</v>
      </c>
    </row>
    <row r="149" spans="1:12">
      <c r="A149" s="16" t="s">
        <v>92</v>
      </c>
      <c r="B149" s="16">
        <v>86900</v>
      </c>
      <c r="C149" s="15" t="s">
        <v>1000</v>
      </c>
      <c r="D149" s="14" t="s">
        <v>1001</v>
      </c>
      <c r="E149" s="16" t="s">
        <v>151</v>
      </c>
      <c r="F149" s="19">
        <f>Quantitativos!D428</f>
        <v>5</v>
      </c>
      <c r="G149" s="18">
        <v>211.81</v>
      </c>
      <c r="H149" s="18">
        <f t="shared" si="14"/>
        <v>1059.05</v>
      </c>
      <c r="I149" s="18">
        <f t="shared" si="17"/>
        <v>5607286.5599999987</v>
      </c>
      <c r="J149" s="112">
        <f t="shared" si="15"/>
        <v>1.8799999999999999E-4</v>
      </c>
      <c r="K149" s="111">
        <f t="shared" si="18"/>
        <v>0.99714400000000003</v>
      </c>
      <c r="L149" s="119" t="str">
        <f t="shared" si="16"/>
        <v>C</v>
      </c>
    </row>
    <row r="150" spans="1:12">
      <c r="A150" s="16" t="s">
        <v>92</v>
      </c>
      <c r="B150" s="16">
        <v>91940</v>
      </c>
      <c r="C150" s="15" t="s">
        <v>926</v>
      </c>
      <c r="D150" s="14" t="s">
        <v>376</v>
      </c>
      <c r="E150" s="16" t="s">
        <v>151</v>
      </c>
      <c r="F150" s="19">
        <f>Quantitativos!R316</f>
        <v>58</v>
      </c>
      <c r="G150" s="18">
        <v>17.21</v>
      </c>
      <c r="H150" s="18">
        <f t="shared" si="14"/>
        <v>998.18</v>
      </c>
      <c r="I150" s="18">
        <f t="shared" si="17"/>
        <v>5608284.7399999984</v>
      </c>
      <c r="J150" s="112">
        <f t="shared" si="15"/>
        <v>1.7699999999999999E-4</v>
      </c>
      <c r="K150" s="111">
        <f t="shared" si="18"/>
        <v>0.99732100000000001</v>
      </c>
      <c r="L150" s="119" t="str">
        <f t="shared" si="16"/>
        <v>C</v>
      </c>
    </row>
    <row r="151" spans="1:12">
      <c r="A151" s="16" t="s">
        <v>92</v>
      </c>
      <c r="B151" s="16">
        <v>101881</v>
      </c>
      <c r="C151" s="15" t="s">
        <v>900</v>
      </c>
      <c r="D151" s="14" t="str">
        <f>Quantitativos!A305</f>
        <v>Quadro geral</v>
      </c>
      <c r="E151" s="16" t="str">
        <f>Quantitativos!B305</f>
        <v>und</v>
      </c>
      <c r="F151" s="19">
        <f>Quantitativos!R305</f>
        <v>1</v>
      </c>
      <c r="G151" s="18">
        <v>902.69</v>
      </c>
      <c r="H151" s="18">
        <f t="shared" si="14"/>
        <v>902.69</v>
      </c>
      <c r="I151" s="18">
        <f t="shared" si="17"/>
        <v>5609187.4299999988</v>
      </c>
      <c r="J151" s="112">
        <f t="shared" si="15"/>
        <v>1.6000000000000001E-4</v>
      </c>
      <c r="K151" s="111">
        <f t="shared" si="18"/>
        <v>0.99748099999999995</v>
      </c>
      <c r="L151" s="119" t="str">
        <f t="shared" si="16"/>
        <v>C</v>
      </c>
    </row>
    <row r="152" spans="1:12">
      <c r="A152" s="16" t="s">
        <v>92</v>
      </c>
      <c r="B152" s="16">
        <v>97084</v>
      </c>
      <c r="C152" s="15" t="s">
        <v>986</v>
      </c>
      <c r="D152" s="14" t="s">
        <v>193</v>
      </c>
      <c r="E152" s="16" t="s">
        <v>95</v>
      </c>
      <c r="F152" s="19">
        <f>Quantitativos!J368</f>
        <v>1203.9000000000001</v>
      </c>
      <c r="G152" s="18">
        <v>0.67</v>
      </c>
      <c r="H152" s="18">
        <f t="shared" si="14"/>
        <v>806.61</v>
      </c>
      <c r="I152" s="18">
        <f t="shared" si="17"/>
        <v>5609994.0399999991</v>
      </c>
      <c r="J152" s="112">
        <f t="shared" si="15"/>
        <v>1.4300000000000001E-4</v>
      </c>
      <c r="K152" s="111">
        <f t="shared" si="18"/>
        <v>0.99762399999999996</v>
      </c>
      <c r="L152" s="119" t="str">
        <f t="shared" si="16"/>
        <v>C</v>
      </c>
    </row>
    <row r="153" spans="1:12">
      <c r="A153" s="16" t="s">
        <v>92</v>
      </c>
      <c r="B153" s="16">
        <v>98104</v>
      </c>
      <c r="C153" s="15" t="s">
        <v>819</v>
      </c>
      <c r="D153" s="14" t="s">
        <v>347</v>
      </c>
      <c r="E153" s="16" t="s">
        <v>151</v>
      </c>
      <c r="F153" s="19">
        <f>Quantitativos!O259</f>
        <v>2</v>
      </c>
      <c r="G153" s="18">
        <v>380.38</v>
      </c>
      <c r="H153" s="18">
        <f t="shared" si="14"/>
        <v>760.76</v>
      </c>
      <c r="I153" s="18">
        <f t="shared" si="17"/>
        <v>5610754.7999999989</v>
      </c>
      <c r="J153" s="112">
        <f t="shared" si="15"/>
        <v>1.35E-4</v>
      </c>
      <c r="K153" s="111">
        <f t="shared" si="18"/>
        <v>0.99775899999999995</v>
      </c>
      <c r="L153" s="119" t="str">
        <f t="shared" si="16"/>
        <v>C</v>
      </c>
    </row>
    <row r="154" spans="1:12">
      <c r="A154" s="16" t="s">
        <v>92</v>
      </c>
      <c r="B154" s="16">
        <v>89362</v>
      </c>
      <c r="C154" s="15" t="s">
        <v>746</v>
      </c>
      <c r="D154" s="14" t="s">
        <v>273</v>
      </c>
      <c r="E154" s="16" t="s">
        <v>151</v>
      </c>
      <c r="F154" s="19">
        <f>Quantitativos!O195</f>
        <v>83</v>
      </c>
      <c r="G154" s="18">
        <v>8.76</v>
      </c>
      <c r="H154" s="18">
        <f t="shared" si="14"/>
        <v>727.08</v>
      </c>
      <c r="I154" s="18">
        <f t="shared" si="17"/>
        <v>5611481.879999999</v>
      </c>
      <c r="J154" s="112">
        <f t="shared" si="15"/>
        <v>1.2899999999999999E-4</v>
      </c>
      <c r="K154" s="111">
        <f t="shared" si="18"/>
        <v>0.997888</v>
      </c>
      <c r="L154" s="119" t="str">
        <f t="shared" si="16"/>
        <v>C</v>
      </c>
    </row>
    <row r="155" spans="1:12">
      <c r="A155" s="16" t="s">
        <v>92</v>
      </c>
      <c r="B155" s="16">
        <v>100788</v>
      </c>
      <c r="C155" s="15" t="s">
        <v>854</v>
      </c>
      <c r="D155" s="14" t="s">
        <v>855</v>
      </c>
      <c r="E155" s="16" t="s">
        <v>151</v>
      </c>
      <c r="F155" s="19">
        <v>1</v>
      </c>
      <c r="G155" s="18">
        <v>706.89</v>
      </c>
      <c r="H155" s="18">
        <f t="shared" si="14"/>
        <v>706.89</v>
      </c>
      <c r="I155" s="18">
        <f t="shared" si="17"/>
        <v>5612188.7699999986</v>
      </c>
      <c r="J155" s="112">
        <f t="shared" si="15"/>
        <v>1.25E-4</v>
      </c>
      <c r="K155" s="111">
        <f t="shared" si="18"/>
        <v>0.99801300000000004</v>
      </c>
      <c r="L155" s="119" t="str">
        <f t="shared" si="16"/>
        <v>C</v>
      </c>
    </row>
    <row r="156" spans="1:12">
      <c r="A156" s="16" t="s">
        <v>832</v>
      </c>
      <c r="B156" s="16" t="s">
        <v>833</v>
      </c>
      <c r="C156" s="15" t="s">
        <v>834</v>
      </c>
      <c r="D156" s="14" t="s">
        <v>835</v>
      </c>
      <c r="E156" s="16" t="s">
        <v>151</v>
      </c>
      <c r="F156" s="19">
        <v>12</v>
      </c>
      <c r="G156" s="18">
        <v>57.54</v>
      </c>
      <c r="H156" s="18">
        <f t="shared" si="14"/>
        <v>690.48</v>
      </c>
      <c r="I156" s="18">
        <f t="shared" si="17"/>
        <v>5612879.2499999991</v>
      </c>
      <c r="J156" s="112">
        <f t="shared" si="15"/>
        <v>1.22E-4</v>
      </c>
      <c r="K156" s="111">
        <f t="shared" si="18"/>
        <v>0.99813499999999999</v>
      </c>
      <c r="L156" s="119" t="str">
        <f t="shared" si="16"/>
        <v>C</v>
      </c>
    </row>
    <row r="157" spans="1:12">
      <c r="A157" s="16" t="s">
        <v>92</v>
      </c>
      <c r="B157" s="16">
        <v>89726</v>
      </c>
      <c r="C157" s="15" t="s">
        <v>801</v>
      </c>
      <c r="D157" s="14" t="s">
        <v>330</v>
      </c>
      <c r="E157" s="16" t="s">
        <v>151</v>
      </c>
      <c r="F157" s="19">
        <f>Quantitativos!O246</f>
        <v>69</v>
      </c>
      <c r="G157" s="18">
        <v>9.44</v>
      </c>
      <c r="H157" s="18">
        <f t="shared" si="14"/>
        <v>651.36</v>
      </c>
      <c r="I157" s="18">
        <f t="shared" si="17"/>
        <v>5613530.6099999994</v>
      </c>
      <c r="J157" s="112">
        <f t="shared" si="15"/>
        <v>1.15E-4</v>
      </c>
      <c r="K157" s="111">
        <f t="shared" si="18"/>
        <v>0.99824999999999997</v>
      </c>
      <c r="L157" s="119" t="str">
        <f t="shared" si="16"/>
        <v>C</v>
      </c>
    </row>
    <row r="158" spans="1:12">
      <c r="A158" s="16" t="s">
        <v>92</v>
      </c>
      <c r="B158" s="16">
        <v>89426</v>
      </c>
      <c r="C158" s="15" t="s">
        <v>756</v>
      </c>
      <c r="D158" s="14" t="s">
        <v>757</v>
      </c>
      <c r="E158" s="16" t="s">
        <v>151</v>
      </c>
      <c r="F158" s="19">
        <f>Quantitativos!O206</f>
        <v>71</v>
      </c>
      <c r="G158" s="18">
        <v>8.65</v>
      </c>
      <c r="H158" s="18">
        <f t="shared" si="14"/>
        <v>614.15</v>
      </c>
      <c r="I158" s="18">
        <f t="shared" si="17"/>
        <v>5614144.7599999998</v>
      </c>
      <c r="J158" s="112">
        <f t="shared" si="15"/>
        <v>1.0900000000000001E-4</v>
      </c>
      <c r="K158" s="111">
        <f t="shared" si="18"/>
        <v>0.998359</v>
      </c>
      <c r="L158" s="119" t="str">
        <f t="shared" si="16"/>
        <v>C</v>
      </c>
    </row>
    <row r="159" spans="1:12">
      <c r="A159" s="16" t="s">
        <v>92</v>
      </c>
      <c r="B159" s="16">
        <v>89713</v>
      </c>
      <c r="C159" s="15" t="s">
        <v>773</v>
      </c>
      <c r="D159" s="14" t="s">
        <v>305</v>
      </c>
      <c r="E159" s="16" t="s">
        <v>104</v>
      </c>
      <c r="F159" s="19">
        <f>Quantitativos!O229</f>
        <v>21</v>
      </c>
      <c r="G159" s="18">
        <v>29.06</v>
      </c>
      <c r="H159" s="18">
        <f t="shared" si="14"/>
        <v>610.26</v>
      </c>
      <c r="I159" s="18">
        <f t="shared" si="17"/>
        <v>5614755.0199999996</v>
      </c>
      <c r="J159" s="112">
        <f t="shared" si="15"/>
        <v>1.08E-4</v>
      </c>
      <c r="K159" s="111">
        <f t="shared" si="18"/>
        <v>0.99846699999999999</v>
      </c>
      <c r="L159" s="119" t="str">
        <f t="shared" si="16"/>
        <v>C</v>
      </c>
    </row>
    <row r="160" spans="1:12">
      <c r="A160" s="16" t="s">
        <v>92</v>
      </c>
      <c r="B160" s="16">
        <v>89386</v>
      </c>
      <c r="C160" s="15" t="s">
        <v>713</v>
      </c>
      <c r="D160" s="14" t="s">
        <v>254</v>
      </c>
      <c r="E160" s="16" t="s">
        <v>151</v>
      </c>
      <c r="F160" s="19">
        <f>Quantitativos!O178</f>
        <v>65</v>
      </c>
      <c r="G160" s="18">
        <v>8.86</v>
      </c>
      <c r="H160" s="18">
        <f t="shared" si="14"/>
        <v>575.9</v>
      </c>
      <c r="I160" s="18">
        <f t="shared" si="17"/>
        <v>5615330.9199999999</v>
      </c>
      <c r="J160" s="112">
        <f t="shared" si="15"/>
        <v>1.02E-4</v>
      </c>
      <c r="K160" s="111">
        <f t="shared" si="18"/>
        <v>0.99856900000000004</v>
      </c>
      <c r="L160" s="119" t="str">
        <f t="shared" si="16"/>
        <v>C</v>
      </c>
    </row>
    <row r="161" spans="1:12">
      <c r="A161" s="16" t="s">
        <v>92</v>
      </c>
      <c r="B161" s="16">
        <v>94492</v>
      </c>
      <c r="C161" s="15" t="s">
        <v>726</v>
      </c>
      <c r="D161" s="14" t="s">
        <v>261</v>
      </c>
      <c r="E161" s="16" t="s">
        <v>151</v>
      </c>
      <c r="F161" s="19">
        <f>Quantitativos!O184</f>
        <v>8</v>
      </c>
      <c r="G161" s="18">
        <v>68.81</v>
      </c>
      <c r="H161" s="18">
        <f t="shared" si="14"/>
        <v>550.48</v>
      </c>
      <c r="I161" s="18">
        <f t="shared" si="17"/>
        <v>5615881.4000000004</v>
      </c>
      <c r="J161" s="112">
        <f t="shared" si="15"/>
        <v>9.7E-5</v>
      </c>
      <c r="K161" s="111">
        <f t="shared" si="18"/>
        <v>0.99866600000000005</v>
      </c>
      <c r="L161" s="119" t="str">
        <f t="shared" si="16"/>
        <v>C</v>
      </c>
    </row>
    <row r="162" spans="1:12">
      <c r="A162" s="16" t="s">
        <v>832</v>
      </c>
      <c r="B162" s="16" t="s">
        <v>837</v>
      </c>
      <c r="C162" s="15" t="s">
        <v>838</v>
      </c>
      <c r="D162" s="14" t="s">
        <v>839</v>
      </c>
      <c r="E162" s="16" t="s">
        <v>151</v>
      </c>
      <c r="F162" s="19">
        <f>Quantitativos!D277</f>
        <v>36</v>
      </c>
      <c r="G162" s="18">
        <v>13.66</v>
      </c>
      <c r="H162" s="18">
        <f t="shared" ref="H162:H193" si="19">TRUNC(F162*G162,2)</f>
        <v>491.76</v>
      </c>
      <c r="I162" s="18">
        <f t="shared" si="17"/>
        <v>5616373.1600000001</v>
      </c>
      <c r="J162" s="112">
        <f t="shared" si="15"/>
        <v>8.7000000000000001E-5</v>
      </c>
      <c r="K162" s="111">
        <f t="shared" si="18"/>
        <v>0.998753</v>
      </c>
      <c r="L162" s="119" t="str">
        <f t="shared" si="16"/>
        <v>C</v>
      </c>
    </row>
    <row r="163" spans="1:12">
      <c r="A163" s="16" t="s">
        <v>92</v>
      </c>
      <c r="B163" s="16">
        <v>99818</v>
      </c>
      <c r="C163" s="15" t="s">
        <v>1111</v>
      </c>
      <c r="D163" s="14" t="s">
        <v>1112</v>
      </c>
      <c r="E163" s="16" t="s">
        <v>151</v>
      </c>
      <c r="F163" s="19">
        <f>F150+F151</f>
        <v>59</v>
      </c>
      <c r="G163" s="18">
        <v>7.03</v>
      </c>
      <c r="H163" s="18">
        <f t="shared" si="19"/>
        <v>414.77</v>
      </c>
      <c r="I163" s="18">
        <f t="shared" si="17"/>
        <v>5616787.9299999997</v>
      </c>
      <c r="J163" s="112">
        <f t="shared" si="15"/>
        <v>7.2999999999999999E-5</v>
      </c>
      <c r="K163" s="111">
        <f t="shared" si="18"/>
        <v>0.99882599999999999</v>
      </c>
      <c r="L163" s="119" t="str">
        <f t="shared" si="16"/>
        <v>C</v>
      </c>
    </row>
    <row r="164" spans="1:12">
      <c r="A164" s="16" t="s">
        <v>92</v>
      </c>
      <c r="B164" s="16">
        <v>104779</v>
      </c>
      <c r="C164" s="15" t="s">
        <v>768</v>
      </c>
      <c r="D164" s="14" t="s">
        <v>246</v>
      </c>
      <c r="E164" s="16" t="s">
        <v>104</v>
      </c>
      <c r="F164" s="19">
        <f>Quantitativos!O224</f>
        <v>72</v>
      </c>
      <c r="G164" s="18">
        <v>6.04</v>
      </c>
      <c r="H164" s="18">
        <f t="shared" si="19"/>
        <v>434.88</v>
      </c>
      <c r="I164" s="18">
        <f t="shared" si="17"/>
        <v>5617222.8099999996</v>
      </c>
      <c r="J164" s="112">
        <f t="shared" si="15"/>
        <v>7.7000000000000001E-5</v>
      </c>
      <c r="K164" s="111">
        <f t="shared" si="18"/>
        <v>0.99890299999999999</v>
      </c>
      <c r="L164" s="119" t="str">
        <f t="shared" si="16"/>
        <v>C</v>
      </c>
    </row>
    <row r="165" spans="1:12">
      <c r="A165" s="16" t="s">
        <v>92</v>
      </c>
      <c r="B165" s="16">
        <v>89378</v>
      </c>
      <c r="C165" s="15" t="s">
        <v>715</v>
      </c>
      <c r="D165" s="14" t="s">
        <v>255</v>
      </c>
      <c r="E165" s="16" t="s">
        <v>151</v>
      </c>
      <c r="F165" s="19">
        <f>Quantitativos!O179</f>
        <v>66</v>
      </c>
      <c r="G165" s="18">
        <v>6.52</v>
      </c>
      <c r="H165" s="18">
        <f t="shared" si="19"/>
        <v>430.32</v>
      </c>
      <c r="I165" s="18">
        <f t="shared" si="17"/>
        <v>5617653.1299999999</v>
      </c>
      <c r="J165" s="112">
        <f t="shared" si="15"/>
        <v>7.6000000000000004E-5</v>
      </c>
      <c r="K165" s="111">
        <f t="shared" si="18"/>
        <v>0.99897899999999995</v>
      </c>
      <c r="L165" s="119" t="str">
        <f t="shared" si="16"/>
        <v>C</v>
      </c>
    </row>
    <row r="166" spans="1:12">
      <c r="A166" s="16" t="s">
        <v>92</v>
      </c>
      <c r="B166" s="16">
        <v>100563</v>
      </c>
      <c r="C166" s="15" t="s">
        <v>931</v>
      </c>
      <c r="D166" s="14" t="s">
        <v>388</v>
      </c>
      <c r="E166" s="16" t="s">
        <v>151</v>
      </c>
      <c r="F166" s="19">
        <f>Quantitativos!R319</f>
        <v>1</v>
      </c>
      <c r="G166" s="18">
        <v>414.58</v>
      </c>
      <c r="H166" s="18">
        <f t="shared" si="19"/>
        <v>414.58</v>
      </c>
      <c r="I166" s="18">
        <f t="shared" si="17"/>
        <v>5618067.71</v>
      </c>
      <c r="J166" s="112">
        <f t="shared" si="15"/>
        <v>7.2999999999999999E-5</v>
      </c>
      <c r="K166" s="111">
        <f t="shared" si="18"/>
        <v>0.99905200000000005</v>
      </c>
      <c r="L166" s="119" t="str">
        <f t="shared" si="16"/>
        <v>C</v>
      </c>
    </row>
    <row r="167" spans="1:12">
      <c r="A167" s="16" t="s">
        <v>92</v>
      </c>
      <c r="B167" s="16">
        <v>96986</v>
      </c>
      <c r="C167" s="15" t="s">
        <v>916</v>
      </c>
      <c r="D167" s="14" t="s">
        <v>917</v>
      </c>
      <c r="E167" s="16" t="s">
        <v>151</v>
      </c>
      <c r="F167" s="19">
        <v>3</v>
      </c>
      <c r="G167" s="18">
        <v>135.63</v>
      </c>
      <c r="H167" s="18">
        <f t="shared" si="19"/>
        <v>406.89</v>
      </c>
      <c r="I167" s="18">
        <f t="shared" si="17"/>
        <v>5618474.5999999996</v>
      </c>
      <c r="J167" s="112">
        <f t="shared" si="15"/>
        <v>7.2000000000000002E-5</v>
      </c>
      <c r="K167" s="111">
        <f t="shared" si="18"/>
        <v>0.99912400000000001</v>
      </c>
      <c r="L167" s="119" t="str">
        <f t="shared" si="16"/>
        <v>C</v>
      </c>
    </row>
    <row r="168" spans="1:12">
      <c r="A168" s="16" t="s">
        <v>92</v>
      </c>
      <c r="B168" s="16">
        <v>89369</v>
      </c>
      <c r="C168" s="15" t="s">
        <v>741</v>
      </c>
      <c r="D168" s="14" t="s">
        <v>742</v>
      </c>
      <c r="E168" s="16" t="s">
        <v>151</v>
      </c>
      <c r="F168" s="19">
        <f>Quantitativos!O191</f>
        <v>25</v>
      </c>
      <c r="G168" s="18">
        <v>15.61</v>
      </c>
      <c r="H168" s="18">
        <f t="shared" si="19"/>
        <v>390.25</v>
      </c>
      <c r="I168" s="18">
        <f t="shared" si="17"/>
        <v>5618864.8499999996</v>
      </c>
      <c r="J168" s="112">
        <f t="shared" si="15"/>
        <v>6.8999999999999997E-5</v>
      </c>
      <c r="K168" s="111">
        <f t="shared" si="18"/>
        <v>0.999193</v>
      </c>
      <c r="L168" s="119" t="str">
        <f t="shared" si="16"/>
        <v>C</v>
      </c>
    </row>
    <row r="169" spans="1:12">
      <c r="A169" s="16" t="s">
        <v>92</v>
      </c>
      <c r="B169" s="16">
        <v>94706</v>
      </c>
      <c r="C169" s="15" t="s">
        <v>720</v>
      </c>
      <c r="D169" s="14" t="s">
        <v>721</v>
      </c>
      <c r="E169" s="16" t="s">
        <v>151</v>
      </c>
      <c r="F169" s="19">
        <f>Quantitativos!O182</f>
        <v>12</v>
      </c>
      <c r="G169" s="18">
        <v>31.44</v>
      </c>
      <c r="H169" s="18">
        <f t="shared" si="19"/>
        <v>377.28</v>
      </c>
      <c r="I169" s="18">
        <f t="shared" si="17"/>
        <v>5619242.1299999999</v>
      </c>
      <c r="J169" s="112">
        <f t="shared" si="15"/>
        <v>6.7000000000000002E-5</v>
      </c>
      <c r="K169" s="111">
        <f t="shared" si="18"/>
        <v>0.99926000000000004</v>
      </c>
      <c r="L169" s="119" t="str">
        <f t="shared" si="16"/>
        <v>C</v>
      </c>
    </row>
    <row r="170" spans="1:12">
      <c r="A170" s="16" t="s">
        <v>92</v>
      </c>
      <c r="B170" s="16">
        <v>103986</v>
      </c>
      <c r="C170" s="15" t="s">
        <v>738</v>
      </c>
      <c r="D170" s="14" t="s">
        <v>739</v>
      </c>
      <c r="E170" s="16" t="s">
        <v>151</v>
      </c>
      <c r="F170" s="19">
        <f>Quantitativos!O190</f>
        <v>15</v>
      </c>
      <c r="G170" s="18">
        <v>25</v>
      </c>
      <c r="H170" s="18">
        <f t="shared" si="19"/>
        <v>375</v>
      </c>
      <c r="I170" s="18">
        <f t="shared" si="17"/>
        <v>5619617.1299999999</v>
      </c>
      <c r="J170" s="112">
        <f t="shared" si="15"/>
        <v>6.6000000000000005E-5</v>
      </c>
      <c r="K170" s="111">
        <f t="shared" si="18"/>
        <v>0.99932600000000005</v>
      </c>
      <c r="L170" s="119" t="str">
        <f t="shared" si="16"/>
        <v>C</v>
      </c>
    </row>
    <row r="171" spans="1:12">
      <c r="A171" s="16" t="s">
        <v>148</v>
      </c>
      <c r="B171" s="16" t="s">
        <v>149</v>
      </c>
      <c r="C171" s="15" t="s">
        <v>608</v>
      </c>
      <c r="D171" s="14" t="s">
        <v>157</v>
      </c>
      <c r="E171" s="16" t="s">
        <v>151</v>
      </c>
      <c r="F171" s="19">
        <v>1</v>
      </c>
      <c r="G171" s="18">
        <v>262.55</v>
      </c>
      <c r="H171" s="18">
        <f t="shared" si="19"/>
        <v>262.55</v>
      </c>
      <c r="I171" s="18">
        <f t="shared" si="17"/>
        <v>5619879.6799999997</v>
      </c>
      <c r="J171" s="112">
        <f t="shared" si="15"/>
        <v>4.6E-5</v>
      </c>
      <c r="K171" s="111">
        <f t="shared" si="18"/>
        <v>0.99937200000000004</v>
      </c>
      <c r="L171" s="119" t="str">
        <f t="shared" si="16"/>
        <v>C</v>
      </c>
    </row>
    <row r="172" spans="1:12">
      <c r="A172" s="16" t="s">
        <v>92</v>
      </c>
      <c r="B172" s="16">
        <v>89594</v>
      </c>
      <c r="C172" s="15" t="s">
        <v>730</v>
      </c>
      <c r="D172" s="14" t="s">
        <v>263</v>
      </c>
      <c r="E172" s="16" t="s">
        <v>151</v>
      </c>
      <c r="F172" s="19">
        <f>Quantitativos!O186</f>
        <v>8</v>
      </c>
      <c r="G172" s="18">
        <v>31.25</v>
      </c>
      <c r="H172" s="18">
        <f t="shared" si="19"/>
        <v>250</v>
      </c>
      <c r="I172" s="18">
        <f t="shared" si="17"/>
        <v>5620129.6799999997</v>
      </c>
      <c r="J172" s="112">
        <f t="shared" si="15"/>
        <v>4.3999999999999999E-5</v>
      </c>
      <c r="K172" s="111">
        <f t="shared" si="18"/>
        <v>0.99941599999999997</v>
      </c>
      <c r="L172" s="119" t="str">
        <f t="shared" si="16"/>
        <v>C</v>
      </c>
    </row>
    <row r="173" spans="1:12">
      <c r="A173" s="16" t="s">
        <v>92</v>
      </c>
      <c r="B173" s="16">
        <v>95695</v>
      </c>
      <c r="C173" s="15" t="s">
        <v>824</v>
      </c>
      <c r="D173" s="14" t="s">
        <v>352</v>
      </c>
      <c r="E173" s="16" t="s">
        <v>151</v>
      </c>
      <c r="F173" s="19">
        <f>Quantitativos!O265</f>
        <v>4</v>
      </c>
      <c r="G173" s="18">
        <v>52.07</v>
      </c>
      <c r="H173" s="18">
        <f t="shared" si="19"/>
        <v>208.28</v>
      </c>
      <c r="I173" s="18">
        <f t="shared" si="17"/>
        <v>5620337.96</v>
      </c>
      <c r="J173" s="112">
        <f t="shared" si="15"/>
        <v>3.6999999999999998E-5</v>
      </c>
      <c r="K173" s="111">
        <f t="shared" si="18"/>
        <v>0.99945300000000004</v>
      </c>
      <c r="L173" s="119" t="str">
        <f t="shared" si="16"/>
        <v>C</v>
      </c>
    </row>
    <row r="174" spans="1:12">
      <c r="A174" s="16" t="s">
        <v>92</v>
      </c>
      <c r="B174" s="16">
        <v>89625</v>
      </c>
      <c r="C174" s="15" t="s">
        <v>748</v>
      </c>
      <c r="D174" s="14" t="s">
        <v>279</v>
      </c>
      <c r="E174" s="16" t="s">
        <v>151</v>
      </c>
      <c r="F174" s="19">
        <f>Quantitativos!O201</f>
        <v>10</v>
      </c>
      <c r="G174" s="18">
        <v>20.57</v>
      </c>
      <c r="H174" s="18">
        <f t="shared" si="19"/>
        <v>205.7</v>
      </c>
      <c r="I174" s="18">
        <f t="shared" si="17"/>
        <v>5620543.6600000001</v>
      </c>
      <c r="J174" s="112">
        <f t="shared" si="15"/>
        <v>3.6000000000000001E-5</v>
      </c>
      <c r="K174" s="111">
        <f t="shared" si="18"/>
        <v>0.99948899999999996</v>
      </c>
      <c r="L174" s="119" t="str">
        <f t="shared" si="16"/>
        <v>C</v>
      </c>
    </row>
    <row r="175" spans="1:12">
      <c r="A175" s="16" t="s">
        <v>92</v>
      </c>
      <c r="B175" s="16">
        <v>93673</v>
      </c>
      <c r="C175" s="15" t="s">
        <v>908</v>
      </c>
      <c r="D175" s="14" t="str">
        <f>Quantitativos!A309</f>
        <v>Disjuntor tripolar 50A</v>
      </c>
      <c r="E175" s="16" t="str">
        <f>Quantitativos!B309</f>
        <v>und</v>
      </c>
      <c r="F175" s="19">
        <f>Quantitativos!R309</f>
        <v>2</v>
      </c>
      <c r="G175" s="18">
        <v>99.9</v>
      </c>
      <c r="H175" s="18">
        <f t="shared" si="19"/>
        <v>199.8</v>
      </c>
      <c r="I175" s="18">
        <f t="shared" si="17"/>
        <v>5620743.46</v>
      </c>
      <c r="J175" s="112">
        <f t="shared" si="15"/>
        <v>3.4999999999999997E-5</v>
      </c>
      <c r="K175" s="111">
        <f t="shared" si="18"/>
        <v>0.99952399999999997</v>
      </c>
      <c r="L175" s="119" t="str">
        <f t="shared" si="16"/>
        <v>C</v>
      </c>
    </row>
    <row r="176" spans="1:12">
      <c r="A176" s="16" t="s">
        <v>92</v>
      </c>
      <c r="B176" s="16">
        <v>89785</v>
      </c>
      <c r="C176" s="15" t="s">
        <v>807</v>
      </c>
      <c r="D176" s="14" t="s">
        <v>337</v>
      </c>
      <c r="E176" s="16" t="s">
        <v>151</v>
      </c>
      <c r="F176" s="19">
        <f>Quantitativos!O251</f>
        <v>8</v>
      </c>
      <c r="G176" s="18">
        <v>24.56</v>
      </c>
      <c r="H176" s="18">
        <f t="shared" si="19"/>
        <v>196.48</v>
      </c>
      <c r="I176" s="18">
        <f t="shared" si="17"/>
        <v>5620939.9400000004</v>
      </c>
      <c r="J176" s="112">
        <f t="shared" si="15"/>
        <v>3.4E-5</v>
      </c>
      <c r="K176" s="111">
        <f t="shared" si="18"/>
        <v>0.99955799999999995</v>
      </c>
      <c r="L176" s="119" t="str">
        <f t="shared" si="16"/>
        <v>C</v>
      </c>
    </row>
    <row r="177" spans="1:12">
      <c r="A177" s="16" t="s">
        <v>92</v>
      </c>
      <c r="B177" s="16">
        <v>93656</v>
      </c>
      <c r="C177" s="15" t="s">
        <v>906</v>
      </c>
      <c r="D177" s="14" t="str">
        <f>Quantitativos!A308</f>
        <v>Disjuntor monopolar 20A</v>
      </c>
      <c r="E177" s="16" t="str">
        <f>Quantitativos!B308</f>
        <v>und</v>
      </c>
      <c r="F177" s="19">
        <f>Quantitativos!R308</f>
        <v>11</v>
      </c>
      <c r="G177" s="18">
        <v>14.12</v>
      </c>
      <c r="H177" s="18">
        <f t="shared" si="19"/>
        <v>155.32</v>
      </c>
      <c r="I177" s="18">
        <f t="shared" si="17"/>
        <v>5621095.2600000007</v>
      </c>
      <c r="J177" s="112">
        <f t="shared" si="15"/>
        <v>2.6999999999999999E-5</v>
      </c>
      <c r="K177" s="111">
        <f t="shared" si="18"/>
        <v>0.99958499999999995</v>
      </c>
      <c r="L177" s="119" t="str">
        <f t="shared" si="16"/>
        <v>C</v>
      </c>
    </row>
    <row r="178" spans="1:12">
      <c r="A178" s="16" t="s">
        <v>92</v>
      </c>
      <c r="B178" s="16">
        <v>92701</v>
      </c>
      <c r="C178" s="15" t="s">
        <v>850</v>
      </c>
      <c r="D178" s="14" t="s">
        <v>365</v>
      </c>
      <c r="E178" s="16" t="s">
        <v>151</v>
      </c>
      <c r="F178" s="19">
        <f>Quantitativos!O281</f>
        <v>5</v>
      </c>
      <c r="G178" s="18">
        <v>29.11</v>
      </c>
      <c r="H178" s="18">
        <f t="shared" si="19"/>
        <v>145.55000000000001</v>
      </c>
      <c r="I178" s="18">
        <f t="shared" si="17"/>
        <v>5621240.8100000005</v>
      </c>
      <c r="J178" s="112">
        <f t="shared" si="15"/>
        <v>2.5000000000000001E-5</v>
      </c>
      <c r="K178" s="111">
        <f t="shared" si="18"/>
        <v>0.99961</v>
      </c>
      <c r="L178" s="119" t="str">
        <f t="shared" si="16"/>
        <v>C</v>
      </c>
    </row>
    <row r="179" spans="1:12">
      <c r="A179" s="16" t="s">
        <v>92</v>
      </c>
      <c r="B179" s="16">
        <v>98111</v>
      </c>
      <c r="C179" s="15" t="s">
        <v>913</v>
      </c>
      <c r="D179" s="14" t="s">
        <v>914</v>
      </c>
      <c r="E179" s="16" t="s">
        <v>151</v>
      </c>
      <c r="F179" s="19">
        <v>3</v>
      </c>
      <c r="G179" s="18">
        <v>47.78</v>
      </c>
      <c r="H179" s="18">
        <f t="shared" si="19"/>
        <v>143.34</v>
      </c>
      <c r="I179" s="18">
        <f t="shared" si="17"/>
        <v>5621384.1500000004</v>
      </c>
      <c r="J179" s="112">
        <f t="shared" si="15"/>
        <v>2.5000000000000001E-5</v>
      </c>
      <c r="K179" s="111">
        <f t="shared" si="18"/>
        <v>0.99963500000000005</v>
      </c>
      <c r="L179" s="119" t="str">
        <f t="shared" si="16"/>
        <v>C</v>
      </c>
    </row>
    <row r="180" spans="1:12">
      <c r="A180" s="16" t="s">
        <v>629</v>
      </c>
      <c r="B180" s="16" t="s">
        <v>149</v>
      </c>
      <c r="C180" s="15" t="s">
        <v>765</v>
      </c>
      <c r="D180" s="14" t="s">
        <v>289</v>
      </c>
      <c r="E180" s="16" t="s">
        <v>151</v>
      </c>
      <c r="F180" s="19">
        <f>Quantitativos!O210</f>
        <v>272</v>
      </c>
      <c r="G180" s="18">
        <v>0.5</v>
      </c>
      <c r="H180" s="18">
        <f t="shared" si="19"/>
        <v>136</v>
      </c>
      <c r="I180" s="18">
        <f t="shared" si="17"/>
        <v>5621520.1500000004</v>
      </c>
      <c r="J180" s="112">
        <f t="shared" si="15"/>
        <v>2.4000000000000001E-5</v>
      </c>
      <c r="K180" s="111">
        <f t="shared" si="18"/>
        <v>0.99965899999999996</v>
      </c>
      <c r="L180" s="119" t="str">
        <f t="shared" si="16"/>
        <v>C</v>
      </c>
    </row>
    <row r="181" spans="1:12">
      <c r="A181" s="16" t="s">
        <v>92</v>
      </c>
      <c r="B181" s="16">
        <v>89753</v>
      </c>
      <c r="C181" s="15" t="s">
        <v>785</v>
      </c>
      <c r="D181" s="14" t="s">
        <v>316</v>
      </c>
      <c r="E181" s="16" t="s">
        <v>151</v>
      </c>
      <c r="F181" s="19">
        <f>Quantitativos!O236</f>
        <v>16</v>
      </c>
      <c r="G181" s="18">
        <v>8.18</v>
      </c>
      <c r="H181" s="18">
        <f t="shared" si="19"/>
        <v>130.88</v>
      </c>
      <c r="I181" s="18">
        <f t="shared" si="17"/>
        <v>5621651.0300000003</v>
      </c>
      <c r="J181" s="112">
        <f t="shared" si="15"/>
        <v>2.3E-5</v>
      </c>
      <c r="K181" s="111">
        <f t="shared" si="18"/>
        <v>0.99968199999999996</v>
      </c>
      <c r="L181" s="119" t="str">
        <f t="shared" si="16"/>
        <v>C</v>
      </c>
    </row>
    <row r="182" spans="1:12">
      <c r="A182" s="16" t="s">
        <v>92</v>
      </c>
      <c r="B182" s="16">
        <v>93654</v>
      </c>
      <c r="C182" s="15" t="s">
        <v>904</v>
      </c>
      <c r="D182" s="14" t="str">
        <f>Quantitativos!A307</f>
        <v>Disjuntor monopolar 16A</v>
      </c>
      <c r="E182" s="16" t="str">
        <f>Quantitativos!B307</f>
        <v>und</v>
      </c>
      <c r="F182" s="19">
        <f>Quantitativos!R307</f>
        <v>10</v>
      </c>
      <c r="G182" s="18">
        <v>12.82</v>
      </c>
      <c r="H182" s="18">
        <f t="shared" si="19"/>
        <v>128.19999999999999</v>
      </c>
      <c r="I182" s="18">
        <f t="shared" si="17"/>
        <v>5621779.2300000004</v>
      </c>
      <c r="J182" s="112">
        <f t="shared" si="15"/>
        <v>2.1999999999999999E-5</v>
      </c>
      <c r="K182" s="111">
        <f t="shared" si="18"/>
        <v>0.99970400000000004</v>
      </c>
      <c r="L182" s="119" t="str">
        <f t="shared" si="16"/>
        <v>C</v>
      </c>
    </row>
    <row r="183" spans="1:12">
      <c r="A183" s="16" t="s">
        <v>832</v>
      </c>
      <c r="B183" s="16" t="s">
        <v>837</v>
      </c>
      <c r="C183" s="15" t="s">
        <v>841</v>
      </c>
      <c r="D183" s="14" t="s">
        <v>842</v>
      </c>
      <c r="E183" s="16" t="s">
        <v>151</v>
      </c>
      <c r="F183" s="19">
        <f>Quantitativos!E277</f>
        <v>8</v>
      </c>
      <c r="G183" s="18">
        <v>13.66</v>
      </c>
      <c r="H183" s="18">
        <f t="shared" si="19"/>
        <v>109.28</v>
      </c>
      <c r="I183" s="18">
        <f t="shared" si="17"/>
        <v>5621888.5100000007</v>
      </c>
      <c r="J183" s="112">
        <f t="shared" si="15"/>
        <v>1.9000000000000001E-5</v>
      </c>
      <c r="K183" s="111">
        <f t="shared" si="18"/>
        <v>0.99972300000000003</v>
      </c>
      <c r="L183" s="119" t="str">
        <f t="shared" si="16"/>
        <v>C</v>
      </c>
    </row>
    <row r="184" spans="1:12">
      <c r="A184" s="16" t="s">
        <v>92</v>
      </c>
      <c r="B184" s="16">
        <v>89501</v>
      </c>
      <c r="C184" s="15" t="s">
        <v>744</v>
      </c>
      <c r="D184" s="14" t="s">
        <v>270</v>
      </c>
      <c r="E184" s="16" t="s">
        <v>151</v>
      </c>
      <c r="F184" s="19">
        <f>Quantitativos!O193</f>
        <v>8</v>
      </c>
      <c r="G184" s="18">
        <v>13.09</v>
      </c>
      <c r="H184" s="18">
        <f t="shared" si="19"/>
        <v>104.72</v>
      </c>
      <c r="I184" s="18">
        <f t="shared" si="17"/>
        <v>5621993.2300000004</v>
      </c>
      <c r="J184" s="112">
        <f t="shared" si="15"/>
        <v>1.8E-5</v>
      </c>
      <c r="K184" s="111">
        <f t="shared" si="18"/>
        <v>0.99974099999999999</v>
      </c>
      <c r="L184" s="119" t="str">
        <f t="shared" si="16"/>
        <v>C</v>
      </c>
    </row>
    <row r="185" spans="1:12">
      <c r="A185" s="16" t="s">
        <v>92</v>
      </c>
      <c r="B185" s="16">
        <v>103029</v>
      </c>
      <c r="C185" s="15" t="s">
        <v>857</v>
      </c>
      <c r="D185" s="14" t="s">
        <v>858</v>
      </c>
      <c r="E185" s="16" t="s">
        <v>151</v>
      </c>
      <c r="F185" s="19">
        <v>2</v>
      </c>
      <c r="G185" s="18">
        <v>50.59</v>
      </c>
      <c r="H185" s="18">
        <f t="shared" si="19"/>
        <v>101.18</v>
      </c>
      <c r="I185" s="18">
        <f t="shared" si="17"/>
        <v>5622094.4100000001</v>
      </c>
      <c r="J185" s="112">
        <f t="shared" si="15"/>
        <v>1.7E-5</v>
      </c>
      <c r="K185" s="111">
        <f t="shared" si="18"/>
        <v>0.99975800000000004</v>
      </c>
      <c r="L185" s="119" t="str">
        <f t="shared" si="16"/>
        <v>C</v>
      </c>
    </row>
    <row r="186" spans="1:12">
      <c r="A186" s="16" t="s">
        <v>92</v>
      </c>
      <c r="B186" s="16">
        <v>94490</v>
      </c>
      <c r="C186" s="15" t="s">
        <v>728</v>
      </c>
      <c r="D186" s="14" t="s">
        <v>262</v>
      </c>
      <c r="E186" s="16" t="s">
        <v>151</v>
      </c>
      <c r="F186" s="19">
        <f>Quantitativos!O185</f>
        <v>2</v>
      </c>
      <c r="G186" s="18">
        <v>49.16</v>
      </c>
      <c r="H186" s="18">
        <f t="shared" si="19"/>
        <v>98.32</v>
      </c>
      <c r="I186" s="18">
        <f t="shared" si="17"/>
        <v>5622192.7300000004</v>
      </c>
      <c r="J186" s="112">
        <f t="shared" si="15"/>
        <v>1.7E-5</v>
      </c>
      <c r="K186" s="111">
        <f t="shared" si="18"/>
        <v>0.99977499999999997</v>
      </c>
      <c r="L186" s="119" t="str">
        <f t="shared" si="16"/>
        <v>C</v>
      </c>
    </row>
    <row r="187" spans="1:12">
      <c r="A187" s="16" t="s">
        <v>92</v>
      </c>
      <c r="B187" s="16">
        <v>94704</v>
      </c>
      <c r="C187" s="15" t="s">
        <v>723</v>
      </c>
      <c r="D187" s="14" t="s">
        <v>724</v>
      </c>
      <c r="E187" s="16" t="s">
        <v>151</v>
      </c>
      <c r="F187" s="19">
        <f>Quantitativos!O183</f>
        <v>4</v>
      </c>
      <c r="G187" s="18">
        <v>23.49</v>
      </c>
      <c r="H187" s="18">
        <f t="shared" si="19"/>
        <v>93.96</v>
      </c>
      <c r="I187" s="18">
        <f t="shared" si="17"/>
        <v>5622286.6900000004</v>
      </c>
      <c r="J187" s="112">
        <f t="shared" si="15"/>
        <v>1.5999999999999999E-5</v>
      </c>
      <c r="K187" s="111">
        <f t="shared" si="18"/>
        <v>0.99979099999999999</v>
      </c>
      <c r="L187" s="119" t="str">
        <f t="shared" si="16"/>
        <v>C</v>
      </c>
    </row>
    <row r="188" spans="1:12">
      <c r="A188" s="16" t="s">
        <v>92</v>
      </c>
      <c r="B188" s="16">
        <v>89739</v>
      </c>
      <c r="C188" s="15" t="s">
        <v>797</v>
      </c>
      <c r="D188" s="14" t="s">
        <v>327</v>
      </c>
      <c r="E188" s="16" t="s">
        <v>151</v>
      </c>
      <c r="F188" s="19">
        <f>Quantitativos!O244</f>
        <v>4</v>
      </c>
      <c r="G188" s="18">
        <v>22.09</v>
      </c>
      <c r="H188" s="18">
        <f t="shared" si="19"/>
        <v>88.36</v>
      </c>
      <c r="I188" s="18">
        <f t="shared" si="17"/>
        <v>5622375.0500000007</v>
      </c>
      <c r="J188" s="112">
        <f t="shared" si="15"/>
        <v>1.5E-5</v>
      </c>
      <c r="K188" s="111">
        <f t="shared" si="18"/>
        <v>0.99980599999999997</v>
      </c>
      <c r="L188" s="119" t="str">
        <f t="shared" si="16"/>
        <v>C</v>
      </c>
    </row>
    <row r="189" spans="1:12">
      <c r="A189" s="16" t="s">
        <v>92</v>
      </c>
      <c r="B189" s="16">
        <v>90374</v>
      </c>
      <c r="C189" s="15" t="s">
        <v>736</v>
      </c>
      <c r="D189" s="14" t="s">
        <v>266</v>
      </c>
      <c r="E189" s="16" t="s">
        <v>151</v>
      </c>
      <c r="F189" s="19">
        <f>Quantitativos!O189</f>
        <v>4</v>
      </c>
      <c r="G189" s="18">
        <v>19.940000000000001</v>
      </c>
      <c r="H189" s="18">
        <f t="shared" si="19"/>
        <v>79.760000000000005</v>
      </c>
      <c r="I189" s="18">
        <f t="shared" si="17"/>
        <v>5622454.8100000005</v>
      </c>
      <c r="J189" s="112">
        <f t="shared" si="15"/>
        <v>1.4E-5</v>
      </c>
      <c r="K189" s="111">
        <f t="shared" si="18"/>
        <v>0.99982000000000004</v>
      </c>
      <c r="L189" s="119" t="str">
        <f t="shared" si="16"/>
        <v>C</v>
      </c>
    </row>
    <row r="190" spans="1:12">
      <c r="A190" s="16" t="s">
        <v>92</v>
      </c>
      <c r="B190" s="16">
        <v>92705</v>
      </c>
      <c r="C190" s="15" t="s">
        <v>852</v>
      </c>
      <c r="D190" s="14" t="s">
        <v>366</v>
      </c>
      <c r="E190" s="16" t="s">
        <v>151</v>
      </c>
      <c r="F190" s="19">
        <f>Quantitativos!O282</f>
        <v>2</v>
      </c>
      <c r="G190" s="18">
        <v>38.49</v>
      </c>
      <c r="H190" s="18">
        <f t="shared" si="19"/>
        <v>76.98</v>
      </c>
      <c r="I190" s="18">
        <f t="shared" si="17"/>
        <v>5622531.790000001</v>
      </c>
      <c r="J190" s="112">
        <f t="shared" si="15"/>
        <v>1.2999999999999999E-5</v>
      </c>
      <c r="K190" s="111">
        <f t="shared" si="18"/>
        <v>0.99983299999999997</v>
      </c>
      <c r="L190" s="119" t="str">
        <f t="shared" si="16"/>
        <v>C</v>
      </c>
    </row>
    <row r="191" spans="1:12">
      <c r="A191" s="16" t="s">
        <v>92</v>
      </c>
      <c r="B191" s="16">
        <v>89795</v>
      </c>
      <c r="C191" s="15" t="s">
        <v>805</v>
      </c>
      <c r="D191" s="14" t="s">
        <v>336</v>
      </c>
      <c r="E191" s="16" t="s">
        <v>151</v>
      </c>
      <c r="F191" s="19">
        <f>Quantitativos!O250</f>
        <v>2</v>
      </c>
      <c r="G191" s="18">
        <v>37.14</v>
      </c>
      <c r="H191" s="18">
        <f t="shared" si="19"/>
        <v>74.28</v>
      </c>
      <c r="I191" s="18">
        <f t="shared" si="17"/>
        <v>5622606.0700000012</v>
      </c>
      <c r="J191" s="112">
        <f t="shared" si="15"/>
        <v>1.2999999999999999E-5</v>
      </c>
      <c r="K191" s="111">
        <f t="shared" si="18"/>
        <v>0.99984600000000001</v>
      </c>
      <c r="L191" s="119" t="str">
        <f t="shared" si="16"/>
        <v>C</v>
      </c>
    </row>
    <row r="192" spans="1:12">
      <c r="A192" s="16" t="s">
        <v>92</v>
      </c>
      <c r="B192" s="16">
        <v>89435</v>
      </c>
      <c r="C192" s="15" t="s">
        <v>732</v>
      </c>
      <c r="D192" s="14" t="s">
        <v>264</v>
      </c>
      <c r="E192" s="16" t="s">
        <v>151</v>
      </c>
      <c r="F192" s="19">
        <f>Quantitativos!O187</f>
        <v>4</v>
      </c>
      <c r="G192" s="18">
        <v>18.440000000000001</v>
      </c>
      <c r="H192" s="18">
        <f t="shared" si="19"/>
        <v>73.760000000000005</v>
      </c>
      <c r="I192" s="18">
        <f t="shared" si="17"/>
        <v>5622679.830000001</v>
      </c>
      <c r="J192" s="112">
        <f t="shared" si="15"/>
        <v>1.2999999999999999E-5</v>
      </c>
      <c r="K192" s="111">
        <f t="shared" si="18"/>
        <v>0.99985900000000005</v>
      </c>
      <c r="L192" s="119" t="str">
        <f t="shared" si="16"/>
        <v>C</v>
      </c>
    </row>
    <row r="193" spans="1:12">
      <c r="A193" s="16" t="s">
        <v>92</v>
      </c>
      <c r="B193" s="16">
        <v>89575</v>
      </c>
      <c r="C193" s="15" t="s">
        <v>711</v>
      </c>
      <c r="D193" s="14" t="s">
        <v>253</v>
      </c>
      <c r="E193" s="16" t="s">
        <v>151</v>
      </c>
      <c r="F193" s="19">
        <f>Quantitativos!O177</f>
        <v>6</v>
      </c>
      <c r="G193" s="18">
        <v>10.57</v>
      </c>
      <c r="H193" s="18">
        <f t="shared" si="19"/>
        <v>63.42</v>
      </c>
      <c r="I193" s="18">
        <f t="shared" si="17"/>
        <v>5622743.2500000009</v>
      </c>
      <c r="J193" s="112">
        <f t="shared" si="15"/>
        <v>1.1E-5</v>
      </c>
      <c r="K193" s="111">
        <f t="shared" si="18"/>
        <v>0.99987000000000004</v>
      </c>
      <c r="L193" s="119" t="str">
        <f t="shared" si="16"/>
        <v>C</v>
      </c>
    </row>
    <row r="194" spans="1:12">
      <c r="A194" s="16" t="s">
        <v>92</v>
      </c>
      <c r="B194" s="16">
        <v>104343</v>
      </c>
      <c r="C194" s="15" t="s">
        <v>811</v>
      </c>
      <c r="D194" s="14" t="s">
        <v>341</v>
      </c>
      <c r="E194" s="16" t="s">
        <v>151</v>
      </c>
      <c r="F194" s="19">
        <f>Quantitativos!O254</f>
        <v>2</v>
      </c>
      <c r="G194" s="18">
        <v>31.32</v>
      </c>
      <c r="H194" s="18">
        <f t="shared" ref="H194:H198" si="20">TRUNC(F194*G194,2)</f>
        <v>62.64</v>
      </c>
      <c r="I194" s="18">
        <f t="shared" si="17"/>
        <v>5622805.8900000006</v>
      </c>
      <c r="J194" s="112">
        <f t="shared" si="15"/>
        <v>1.1E-5</v>
      </c>
      <c r="K194" s="111">
        <f t="shared" si="18"/>
        <v>0.99988100000000002</v>
      </c>
      <c r="L194" s="119" t="str">
        <f t="shared" si="16"/>
        <v>C</v>
      </c>
    </row>
    <row r="195" spans="1:12">
      <c r="A195" s="16" t="s">
        <v>92</v>
      </c>
      <c r="B195" s="16">
        <v>89868</v>
      </c>
      <c r="C195" s="15" t="s">
        <v>963</v>
      </c>
      <c r="D195" s="14" t="s">
        <v>964</v>
      </c>
      <c r="E195" s="16" t="s">
        <v>151</v>
      </c>
      <c r="F195" s="19">
        <v>12</v>
      </c>
      <c r="G195" s="18">
        <v>5.19</v>
      </c>
      <c r="H195" s="18">
        <f t="shared" si="20"/>
        <v>62.28</v>
      </c>
      <c r="I195" s="18">
        <f t="shared" si="17"/>
        <v>5622868.1700000009</v>
      </c>
      <c r="J195" s="112">
        <f t="shared" ref="J195:J198" si="21">TRUNC(H195/$H$199,6)</f>
        <v>1.1E-5</v>
      </c>
      <c r="K195" s="111">
        <f t="shared" si="18"/>
        <v>0.999892</v>
      </c>
      <c r="L195" s="119" t="str">
        <f t="shared" ref="L195:L198" si="22">IF(K195&lt;=$O$3,"A",IF(K195&lt;=$O$4,"B","C"))</f>
        <v>C</v>
      </c>
    </row>
    <row r="196" spans="1:12">
      <c r="A196" s="16" t="s">
        <v>92</v>
      </c>
      <c r="B196" s="16">
        <v>89774</v>
      </c>
      <c r="C196" s="15" t="s">
        <v>783</v>
      </c>
      <c r="D196" s="14" t="s">
        <v>315</v>
      </c>
      <c r="E196" s="16" t="s">
        <v>151</v>
      </c>
      <c r="F196" s="19">
        <f>Quantitativos!O235</f>
        <v>3</v>
      </c>
      <c r="G196" s="18">
        <v>13.45</v>
      </c>
      <c r="H196" s="18">
        <f t="shared" si="20"/>
        <v>40.35</v>
      </c>
      <c r="I196" s="18">
        <f t="shared" ref="I196:I198" si="23">I195+H196</f>
        <v>5622908.5200000005</v>
      </c>
      <c r="J196" s="112">
        <f t="shared" si="21"/>
        <v>6.9999999999999999E-6</v>
      </c>
      <c r="K196" s="111">
        <f t="shared" ref="K196:K198" si="24">TRUNC(J196+K195,6)</f>
        <v>0.99989899999999998</v>
      </c>
      <c r="L196" s="119" t="str">
        <f t="shared" si="22"/>
        <v>C</v>
      </c>
    </row>
    <row r="197" spans="1:12">
      <c r="A197" s="16" t="s">
        <v>92</v>
      </c>
      <c r="B197" s="16">
        <v>103993</v>
      </c>
      <c r="C197" s="15" t="s">
        <v>754</v>
      </c>
      <c r="D197" s="14" t="s">
        <v>284</v>
      </c>
      <c r="E197" s="16" t="s">
        <v>151</v>
      </c>
      <c r="F197" s="19">
        <f>Quantitativos!O205</f>
        <v>3</v>
      </c>
      <c r="G197" s="18">
        <v>9.0299999999999994</v>
      </c>
      <c r="H197" s="18">
        <f t="shared" si="20"/>
        <v>27.09</v>
      </c>
      <c r="I197" s="18">
        <f t="shared" si="23"/>
        <v>5622935.6100000003</v>
      </c>
      <c r="J197" s="112">
        <f t="shared" si="21"/>
        <v>3.9999999999999998E-6</v>
      </c>
      <c r="K197" s="111">
        <f t="shared" si="24"/>
        <v>0.99990299999999999</v>
      </c>
      <c r="L197" s="119" t="str">
        <f t="shared" si="22"/>
        <v>C</v>
      </c>
    </row>
    <row r="198" spans="1:12">
      <c r="A198" s="106" t="s">
        <v>92</v>
      </c>
      <c r="B198" s="106">
        <v>89752</v>
      </c>
      <c r="C198" s="107" t="s">
        <v>787</v>
      </c>
      <c r="D198" s="108" t="s">
        <v>317</v>
      </c>
      <c r="E198" s="106" t="s">
        <v>151</v>
      </c>
      <c r="F198" s="109">
        <f>Quantitativos!O237</f>
        <v>3</v>
      </c>
      <c r="G198" s="110">
        <v>6.93</v>
      </c>
      <c r="H198" s="110">
        <f t="shared" si="20"/>
        <v>20.79</v>
      </c>
      <c r="I198" s="110">
        <f t="shared" si="23"/>
        <v>5622956.4000000004</v>
      </c>
      <c r="J198" s="113">
        <f t="shared" si="21"/>
        <v>3.0000000000000001E-6</v>
      </c>
      <c r="K198" s="114">
        <f t="shared" si="24"/>
        <v>0.99990599999999996</v>
      </c>
      <c r="L198" s="120" t="str">
        <f t="shared" si="22"/>
        <v>C</v>
      </c>
    </row>
    <row r="199" spans="1:12">
      <c r="C199" s="251"/>
      <c r="H199" s="115">
        <f>TRUNC(SUM(H2:H198),2)</f>
        <v>5622956.4000000004</v>
      </c>
      <c r="I199" s="116">
        <f>I198</f>
        <v>5622956.4000000004</v>
      </c>
      <c r="J199" s="117">
        <f>TRUNC(SUM(J2:J198),6)</f>
        <v>0.99990500000000004</v>
      </c>
      <c r="K199" s="118">
        <f>K198</f>
        <v>0.99990599999999996</v>
      </c>
      <c r="L199" s="251"/>
    </row>
  </sheetData>
  <sheetProtection password="C655" sheet="1" objects="1" scenarios="1"/>
  <sortState ref="A2:H198">
    <sortCondition descending="1" ref="H2:H198"/>
  </sortState>
  <hyperlinks>
    <hyperlink ref="B183" r:id="rId1"/>
    <hyperlink ref="B162" r:id="rId2"/>
    <hyperlink ref="B156" r:id="rId3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B2:R202"/>
  <sheetViews>
    <sheetView view="pageBreakPreview" zoomScaleNormal="100" zoomScaleSheetLayoutView="100" workbookViewId="0">
      <pane ySplit="2" topLeftCell="A21" activePane="bottomLeft" state="frozen"/>
      <selection pane="bottomLeft" activeCell="G28" sqref="G28:H28"/>
    </sheetView>
  </sheetViews>
  <sheetFormatPr defaultColWidth="9.140625" defaultRowHeight="16.5"/>
  <cols>
    <col min="1" max="1" width="9.140625" style="1"/>
    <col min="2" max="2" width="6.42578125" style="169" customWidth="1"/>
    <col min="3" max="3" width="6.140625" style="169" customWidth="1"/>
    <col min="4" max="4" width="5.140625" style="170" customWidth="1"/>
    <col min="5" max="5" width="31.42578125" style="169" customWidth="1"/>
    <col min="6" max="6" width="7.140625" style="171" customWidth="1"/>
    <col min="7" max="7" width="7.140625" style="172" bestFit="1" customWidth="1"/>
    <col min="8" max="8" width="10.5703125" style="173" bestFit="1" customWidth="1"/>
    <col min="9" max="9" width="12.5703125" style="173" bestFit="1" customWidth="1"/>
    <col min="10" max="10" width="12.5703125" style="171" bestFit="1" customWidth="1"/>
    <col min="11" max="12" width="6.28515625" style="188" bestFit="1" customWidth="1"/>
    <col min="13" max="13" width="6.28515625" style="170" bestFit="1" customWidth="1"/>
    <col min="14" max="14" width="9.140625" style="1"/>
    <col min="15" max="15" width="6.28515625" style="1" bestFit="1" customWidth="1"/>
    <col min="16" max="16" width="6.7109375" style="1" bestFit="1" customWidth="1"/>
    <col min="17" max="17" width="10" style="1" customWidth="1"/>
    <col min="18" max="18" width="15" style="1" customWidth="1"/>
    <col min="19" max="16384" width="9.140625" style="1"/>
  </cols>
  <sheetData>
    <row r="2" spans="2:18" s="180" customFormat="1">
      <c r="B2" s="152" t="s">
        <v>123</v>
      </c>
      <c r="C2" s="152" t="s">
        <v>124</v>
      </c>
      <c r="D2" s="153" t="s">
        <v>125</v>
      </c>
      <c r="E2" s="177" t="s">
        <v>600</v>
      </c>
      <c r="F2" s="153" t="s">
        <v>601</v>
      </c>
      <c r="G2" s="178" t="s">
        <v>1132</v>
      </c>
      <c r="H2" s="179" t="s">
        <v>603</v>
      </c>
      <c r="I2" s="179" t="s">
        <v>130</v>
      </c>
      <c r="J2" s="179" t="s">
        <v>1121</v>
      </c>
      <c r="K2" s="185" t="s">
        <v>1122</v>
      </c>
      <c r="L2" s="185" t="s">
        <v>1123</v>
      </c>
      <c r="M2" s="178" t="s">
        <v>1125</v>
      </c>
      <c r="O2" s="178" t="s">
        <v>1125</v>
      </c>
      <c r="P2" s="178" t="s">
        <v>1126</v>
      </c>
      <c r="Q2" s="178" t="s">
        <v>1127</v>
      </c>
      <c r="R2" s="178" t="s">
        <v>1128</v>
      </c>
    </row>
    <row r="3" spans="2:18">
      <c r="B3" s="154" t="s">
        <v>92</v>
      </c>
      <c r="C3" s="154">
        <v>103332</v>
      </c>
      <c r="D3" s="155" t="s">
        <v>684</v>
      </c>
      <c r="E3" s="156" t="s">
        <v>685</v>
      </c>
      <c r="F3" s="154" t="s">
        <v>95</v>
      </c>
      <c r="G3" s="157">
        <f>Quantitativos!D139</f>
        <v>6487.44</v>
      </c>
      <c r="H3" s="158">
        <v>115.68</v>
      </c>
      <c r="I3" s="158">
        <f t="shared" ref="I3:I34" si="0">TRUNC(G3*H3,2)</f>
        <v>750467.05</v>
      </c>
      <c r="J3" s="158">
        <f>I3</f>
        <v>750467.05</v>
      </c>
      <c r="K3" s="159">
        <f t="shared" ref="K3:K29" si="1">TRUNC(I3/$I$200,6)</f>
        <v>0.133464</v>
      </c>
      <c r="L3" s="159">
        <f>K3</f>
        <v>0.133464</v>
      </c>
      <c r="M3" s="160" t="str">
        <f t="shared" ref="M3:M34" si="2">IF(L3&lt;=$P$3,"A",IF(L3&lt;=$P$4,"B","C"))</f>
        <v>A</v>
      </c>
      <c r="O3" s="189" t="s">
        <v>1129</v>
      </c>
      <c r="P3" s="190">
        <v>0.8</v>
      </c>
      <c r="Q3" s="191">
        <f>COUNTIF($M$3:$M$199,O3)/COUNTA($M$3:$M$199)</f>
        <v>0.13705583756345177</v>
      </c>
      <c r="R3" s="192">
        <f>SUMIF($M$3:$M$199,O3,$K$3:$K$199)</f>
        <v>0.79240700000000008</v>
      </c>
    </row>
    <row r="4" spans="2:18">
      <c r="B4" s="154" t="s">
        <v>92</v>
      </c>
      <c r="C4" s="154">
        <v>87535</v>
      </c>
      <c r="D4" s="155" t="s">
        <v>991</v>
      </c>
      <c r="E4" s="156" t="s">
        <v>232</v>
      </c>
      <c r="F4" s="154" t="s">
        <v>95</v>
      </c>
      <c r="G4" s="157">
        <f>Quantitativos!F157</f>
        <v>11140.4</v>
      </c>
      <c r="H4" s="158">
        <v>32.909999999999997</v>
      </c>
      <c r="I4" s="158">
        <f t="shared" si="0"/>
        <v>366630.56</v>
      </c>
      <c r="J4" s="158">
        <f>J3+I4</f>
        <v>1117097.6100000001</v>
      </c>
      <c r="K4" s="159">
        <f t="shared" si="1"/>
        <v>6.5201999999999996E-2</v>
      </c>
      <c r="L4" s="159">
        <f>TRUNC(K4+L3,6)</f>
        <v>0.19866600000000001</v>
      </c>
      <c r="M4" s="160" t="str">
        <f t="shared" si="2"/>
        <v>A</v>
      </c>
      <c r="O4" s="189" t="s">
        <v>1130</v>
      </c>
      <c r="P4" s="190">
        <v>0.95</v>
      </c>
      <c r="Q4" s="191">
        <f>COUNTIF($M$3:$M$199,O4)/COUNTA($M$3:$M$199)</f>
        <v>0.21319796954314721</v>
      </c>
      <c r="R4" s="192">
        <f>SUMIF($M$3:$M$199,O4,$K$3:$K$199)</f>
        <v>0.15627899999999997</v>
      </c>
    </row>
    <row r="5" spans="2:18">
      <c r="B5" s="154" t="s">
        <v>629</v>
      </c>
      <c r="C5" s="154"/>
      <c r="D5" s="155" t="s">
        <v>1092</v>
      </c>
      <c r="E5" s="156" t="s">
        <v>1093</v>
      </c>
      <c r="F5" s="154" t="s">
        <v>156</v>
      </c>
      <c r="G5" s="157">
        <v>1</v>
      </c>
      <c r="H5" s="158">
        <f>Quantitativos!F547</f>
        <v>362512.93999999994</v>
      </c>
      <c r="I5" s="158">
        <f t="shared" si="0"/>
        <v>362512.94</v>
      </c>
      <c r="J5" s="158">
        <f t="shared" ref="J5:J68" si="3">J4+I5</f>
        <v>1479610.55</v>
      </c>
      <c r="K5" s="159">
        <f t="shared" si="1"/>
        <v>6.447E-2</v>
      </c>
      <c r="L5" s="159">
        <f t="shared" ref="L5:L68" si="4">TRUNC(K5+L4,6)</f>
        <v>0.26313599999999998</v>
      </c>
      <c r="M5" s="160" t="str">
        <f t="shared" si="2"/>
        <v>A</v>
      </c>
      <c r="O5" s="193" t="s">
        <v>1131</v>
      </c>
      <c r="P5" s="190">
        <v>1</v>
      </c>
      <c r="Q5" s="191">
        <f>COUNTIF($M$3:$M$199,O5)/COUNTA($M$3:$M$199)</f>
        <v>0.64974619289340096</v>
      </c>
      <c r="R5" s="192">
        <f>SUMIF($M$3:$M$199,O5,$K$3:$K$199)</f>
        <v>5.1219999999999953E-2</v>
      </c>
    </row>
    <row r="6" spans="2:18">
      <c r="B6" s="154" t="s">
        <v>92</v>
      </c>
      <c r="C6" s="154">
        <v>87257</v>
      </c>
      <c r="D6" s="155" t="s">
        <v>1007</v>
      </c>
      <c r="E6" s="156" t="s">
        <v>1008</v>
      </c>
      <c r="F6" s="154" t="s">
        <v>95</v>
      </c>
      <c r="G6" s="157">
        <f>Quantitativos!L368</f>
        <v>2789.26</v>
      </c>
      <c r="H6" s="158">
        <v>91.2</v>
      </c>
      <c r="I6" s="158">
        <f t="shared" si="0"/>
        <v>254380.51</v>
      </c>
      <c r="J6" s="158">
        <f t="shared" si="3"/>
        <v>1733991.06</v>
      </c>
      <c r="K6" s="159">
        <f t="shared" si="1"/>
        <v>4.5239000000000001E-2</v>
      </c>
      <c r="L6" s="159">
        <f t="shared" si="4"/>
        <v>0.30837500000000001</v>
      </c>
      <c r="M6" s="160" t="str">
        <f t="shared" si="2"/>
        <v>A</v>
      </c>
    </row>
    <row r="7" spans="2:18" s="2" customFormat="1">
      <c r="B7" s="154" t="s">
        <v>92</v>
      </c>
      <c r="C7" s="154">
        <v>97927</v>
      </c>
      <c r="D7" s="155" t="s">
        <v>621</v>
      </c>
      <c r="E7" s="156" t="s">
        <v>622</v>
      </c>
      <c r="F7" s="154" t="s">
        <v>619</v>
      </c>
      <c r="G7" s="161">
        <f>Premissas!B17</f>
        <v>1184.5809000000002</v>
      </c>
      <c r="H7" s="158">
        <v>194.31</v>
      </c>
      <c r="I7" s="158">
        <f t="shared" si="0"/>
        <v>230175.91</v>
      </c>
      <c r="J7" s="158">
        <f t="shared" si="3"/>
        <v>1964166.97</v>
      </c>
      <c r="K7" s="159">
        <f t="shared" si="1"/>
        <v>4.0934999999999999E-2</v>
      </c>
      <c r="L7" s="159">
        <f t="shared" si="4"/>
        <v>0.34931000000000001</v>
      </c>
      <c r="M7" s="160" t="str">
        <f t="shared" si="2"/>
        <v>A</v>
      </c>
    </row>
    <row r="8" spans="2:18">
      <c r="B8" s="154" t="s">
        <v>92</v>
      </c>
      <c r="C8" s="154" t="s">
        <v>605</v>
      </c>
      <c r="D8" s="155" t="s">
        <v>606</v>
      </c>
      <c r="E8" s="156" t="s">
        <v>607</v>
      </c>
      <c r="F8" s="154" t="s">
        <v>151</v>
      </c>
      <c r="G8" s="161">
        <v>1</v>
      </c>
      <c r="H8" s="158">
        <f>'Eq. Proj.'!I13</f>
        <v>176130.39</v>
      </c>
      <c r="I8" s="158">
        <f t="shared" si="0"/>
        <v>176130.39</v>
      </c>
      <c r="J8" s="158">
        <f t="shared" si="3"/>
        <v>2140297.36</v>
      </c>
      <c r="K8" s="159">
        <f t="shared" si="1"/>
        <v>3.1322999999999997E-2</v>
      </c>
      <c r="L8" s="159">
        <f t="shared" si="4"/>
        <v>0.380633</v>
      </c>
      <c r="M8" s="160" t="str">
        <f t="shared" si="2"/>
        <v>A</v>
      </c>
    </row>
    <row r="9" spans="2:18">
      <c r="B9" s="154" t="s">
        <v>92</v>
      </c>
      <c r="C9" s="154">
        <v>104611</v>
      </c>
      <c r="D9" s="155" t="s">
        <v>1010</v>
      </c>
      <c r="E9" s="156" t="s">
        <v>1011</v>
      </c>
      <c r="F9" s="154" t="s">
        <v>95</v>
      </c>
      <c r="G9" s="161">
        <f>Quantitativos!I479</f>
        <v>1767.51</v>
      </c>
      <c r="H9" s="158">
        <v>86.78</v>
      </c>
      <c r="I9" s="158">
        <f t="shared" si="0"/>
        <v>153384.51</v>
      </c>
      <c r="J9" s="158">
        <f t="shared" si="3"/>
        <v>2293681.87</v>
      </c>
      <c r="K9" s="159">
        <f t="shared" si="1"/>
        <v>2.7278E-2</v>
      </c>
      <c r="L9" s="159">
        <f t="shared" si="4"/>
        <v>0.40791100000000002</v>
      </c>
      <c r="M9" s="160" t="str">
        <f t="shared" si="2"/>
        <v>A</v>
      </c>
    </row>
    <row r="10" spans="2:18">
      <c r="B10" s="154" t="s">
        <v>92</v>
      </c>
      <c r="C10" s="154">
        <v>92270</v>
      </c>
      <c r="D10" s="155" t="s">
        <v>650</v>
      </c>
      <c r="E10" s="156" t="s">
        <v>199</v>
      </c>
      <c r="F10" s="154" t="s">
        <v>95</v>
      </c>
      <c r="G10" s="161">
        <f>Quantitativos!F84</f>
        <v>1228.78</v>
      </c>
      <c r="H10" s="158">
        <v>123.06</v>
      </c>
      <c r="I10" s="158">
        <f t="shared" si="0"/>
        <v>151213.66</v>
      </c>
      <c r="J10" s="158">
        <f t="shared" si="3"/>
        <v>2444895.5300000003</v>
      </c>
      <c r="K10" s="159">
        <f t="shared" si="1"/>
        <v>2.6891999999999999E-2</v>
      </c>
      <c r="L10" s="159">
        <f t="shared" si="4"/>
        <v>0.434803</v>
      </c>
      <c r="M10" s="160" t="str">
        <f t="shared" si="2"/>
        <v>A</v>
      </c>
    </row>
    <row r="11" spans="2:18">
      <c r="B11" s="154" t="s">
        <v>629</v>
      </c>
      <c r="C11" s="154" t="s">
        <v>935</v>
      </c>
      <c r="D11" s="155" t="s">
        <v>936</v>
      </c>
      <c r="E11" s="156" t="s">
        <v>937</v>
      </c>
      <c r="F11" s="154" t="s">
        <v>104</v>
      </c>
      <c r="G11" s="161">
        <f>Quantitativos!D357</f>
        <v>300.5</v>
      </c>
      <c r="H11" s="158">
        <v>500</v>
      </c>
      <c r="I11" s="158">
        <f t="shared" si="0"/>
        <v>150250</v>
      </c>
      <c r="J11" s="158">
        <f t="shared" si="3"/>
        <v>2595145.5300000003</v>
      </c>
      <c r="K11" s="159">
        <f t="shared" si="1"/>
        <v>2.6720000000000001E-2</v>
      </c>
      <c r="L11" s="159">
        <f t="shared" si="4"/>
        <v>0.46152300000000002</v>
      </c>
      <c r="M11" s="160" t="str">
        <f t="shared" si="2"/>
        <v>A</v>
      </c>
    </row>
    <row r="12" spans="2:18">
      <c r="B12" s="154" t="s">
        <v>92</v>
      </c>
      <c r="C12" s="154">
        <v>96114</v>
      </c>
      <c r="D12" s="155" t="s">
        <v>994</v>
      </c>
      <c r="E12" s="156" t="s">
        <v>995</v>
      </c>
      <c r="F12" s="154" t="s">
        <v>95</v>
      </c>
      <c r="G12" s="161">
        <f>Quantitativos!E419</f>
        <v>1826.9499999999996</v>
      </c>
      <c r="H12" s="158">
        <v>77.17</v>
      </c>
      <c r="I12" s="158">
        <f t="shared" si="0"/>
        <v>140985.73000000001</v>
      </c>
      <c r="J12" s="158">
        <f t="shared" si="3"/>
        <v>2736131.2600000002</v>
      </c>
      <c r="K12" s="159">
        <f t="shared" si="1"/>
        <v>2.5073000000000002E-2</v>
      </c>
      <c r="L12" s="159">
        <f t="shared" si="4"/>
        <v>0.48659599999999997</v>
      </c>
      <c r="M12" s="160" t="str">
        <f t="shared" si="2"/>
        <v>A</v>
      </c>
    </row>
    <row r="13" spans="2:18">
      <c r="B13" s="154" t="s">
        <v>92</v>
      </c>
      <c r="C13" s="154">
        <v>92539</v>
      </c>
      <c r="D13" s="155" t="s">
        <v>691</v>
      </c>
      <c r="E13" s="156" t="s">
        <v>692</v>
      </c>
      <c r="F13" s="154" t="s">
        <v>95</v>
      </c>
      <c r="G13" s="161">
        <f>Quantitativos!E166</f>
        <v>2509.0913100000002</v>
      </c>
      <c r="H13" s="158">
        <v>56.13</v>
      </c>
      <c r="I13" s="158">
        <f t="shared" si="0"/>
        <v>140835.29</v>
      </c>
      <c r="J13" s="158">
        <f t="shared" si="3"/>
        <v>2876966.5500000003</v>
      </c>
      <c r="K13" s="159">
        <f t="shared" si="1"/>
        <v>2.5045999999999999E-2</v>
      </c>
      <c r="L13" s="159">
        <f t="shared" si="4"/>
        <v>0.51164200000000004</v>
      </c>
      <c r="M13" s="160" t="str">
        <f t="shared" si="2"/>
        <v>A</v>
      </c>
    </row>
    <row r="14" spans="2:18">
      <c r="B14" s="154" t="s">
        <v>92</v>
      </c>
      <c r="C14" s="154">
        <v>97630</v>
      </c>
      <c r="D14" s="155" t="s">
        <v>977</v>
      </c>
      <c r="E14" s="156" t="s">
        <v>435</v>
      </c>
      <c r="F14" s="154" t="s">
        <v>95</v>
      </c>
      <c r="G14" s="161">
        <f>Quantitativos!F368</f>
        <v>3010.4399999999996</v>
      </c>
      <c r="H14" s="158">
        <v>44.58</v>
      </c>
      <c r="I14" s="158">
        <f t="shared" si="0"/>
        <v>134205.41</v>
      </c>
      <c r="J14" s="158">
        <f t="shared" si="3"/>
        <v>3011171.9600000004</v>
      </c>
      <c r="K14" s="159">
        <f t="shared" si="1"/>
        <v>2.3866999999999999E-2</v>
      </c>
      <c r="L14" s="159">
        <f t="shared" si="4"/>
        <v>0.53550900000000001</v>
      </c>
      <c r="M14" s="160" t="str">
        <f t="shared" si="2"/>
        <v>A</v>
      </c>
    </row>
    <row r="15" spans="2:18">
      <c r="B15" s="154" t="s">
        <v>92</v>
      </c>
      <c r="C15" s="154">
        <v>90798</v>
      </c>
      <c r="D15" s="155" t="s">
        <v>1020</v>
      </c>
      <c r="E15" s="156" t="s">
        <v>1021</v>
      </c>
      <c r="F15" s="154" t="s">
        <v>95</v>
      </c>
      <c r="G15" s="161">
        <f>Quantitativos!D439</f>
        <v>108</v>
      </c>
      <c r="H15" s="158">
        <v>1172.44</v>
      </c>
      <c r="I15" s="158">
        <f t="shared" si="0"/>
        <v>126623.52</v>
      </c>
      <c r="J15" s="158">
        <f t="shared" si="3"/>
        <v>3137795.4800000004</v>
      </c>
      <c r="K15" s="159">
        <f t="shared" si="1"/>
        <v>2.2519000000000001E-2</v>
      </c>
      <c r="L15" s="159">
        <f t="shared" si="4"/>
        <v>0.55802799999999997</v>
      </c>
      <c r="M15" s="160" t="str">
        <f t="shared" si="2"/>
        <v>A</v>
      </c>
    </row>
    <row r="16" spans="2:18">
      <c r="B16" s="154" t="s">
        <v>629</v>
      </c>
      <c r="C16" s="154" t="s">
        <v>950</v>
      </c>
      <c r="D16" s="155" t="s">
        <v>951</v>
      </c>
      <c r="E16" s="156" t="s">
        <v>952</v>
      </c>
      <c r="F16" s="154" t="s">
        <v>151</v>
      </c>
      <c r="G16" s="161">
        <f>Quantitativos!D340</f>
        <v>14</v>
      </c>
      <c r="H16" s="158">
        <v>8899</v>
      </c>
      <c r="I16" s="158">
        <f t="shared" si="0"/>
        <v>124586</v>
      </c>
      <c r="J16" s="158">
        <f t="shared" si="3"/>
        <v>3262381.4800000004</v>
      </c>
      <c r="K16" s="159">
        <f t="shared" si="1"/>
        <v>2.2155999999999999E-2</v>
      </c>
      <c r="L16" s="159">
        <f t="shared" si="4"/>
        <v>0.58018400000000003</v>
      </c>
      <c r="M16" s="160" t="str">
        <f t="shared" si="2"/>
        <v>A</v>
      </c>
    </row>
    <row r="17" spans="2:13">
      <c r="B17" s="154" t="s">
        <v>629</v>
      </c>
      <c r="C17" s="154" t="s">
        <v>982</v>
      </c>
      <c r="D17" s="155" t="s">
        <v>983</v>
      </c>
      <c r="E17" s="156" t="s">
        <v>984</v>
      </c>
      <c r="F17" s="154" t="s">
        <v>95</v>
      </c>
      <c r="G17" s="161">
        <f>Quantitativos!I368</f>
        <v>1203.9000000000001</v>
      </c>
      <c r="H17" s="158">
        <v>99.04</v>
      </c>
      <c r="I17" s="158">
        <f t="shared" si="0"/>
        <v>119234.25</v>
      </c>
      <c r="J17" s="158">
        <f t="shared" si="3"/>
        <v>3381615.7300000004</v>
      </c>
      <c r="K17" s="159">
        <f t="shared" si="1"/>
        <v>2.1204000000000001E-2</v>
      </c>
      <c r="L17" s="159">
        <f t="shared" si="4"/>
        <v>0.60138800000000003</v>
      </c>
      <c r="M17" s="160" t="str">
        <f t="shared" si="2"/>
        <v>A</v>
      </c>
    </row>
    <row r="18" spans="2:13">
      <c r="B18" s="154" t="s">
        <v>92</v>
      </c>
      <c r="C18" s="154">
        <v>97625</v>
      </c>
      <c r="D18" s="155" t="s">
        <v>617</v>
      </c>
      <c r="E18" s="156" t="s">
        <v>618</v>
      </c>
      <c r="F18" s="154" t="s">
        <v>619</v>
      </c>
      <c r="G18" s="161">
        <f>Premissas!B14</f>
        <v>2241.0990000000002</v>
      </c>
      <c r="H18" s="158">
        <v>53.15</v>
      </c>
      <c r="I18" s="158">
        <f t="shared" si="0"/>
        <v>119114.41</v>
      </c>
      <c r="J18" s="158">
        <f t="shared" si="3"/>
        <v>3500730.1400000006</v>
      </c>
      <c r="K18" s="159">
        <f t="shared" si="1"/>
        <v>2.1183E-2</v>
      </c>
      <c r="L18" s="159">
        <f t="shared" si="4"/>
        <v>0.62257099999999999</v>
      </c>
      <c r="M18" s="160" t="str">
        <f t="shared" si="2"/>
        <v>A</v>
      </c>
    </row>
    <row r="19" spans="2:13">
      <c r="B19" s="154" t="s">
        <v>92</v>
      </c>
      <c r="C19" s="154">
        <v>102487</v>
      </c>
      <c r="D19" s="155" t="s">
        <v>644</v>
      </c>
      <c r="E19" s="156" t="s">
        <v>645</v>
      </c>
      <c r="F19" s="154" t="s">
        <v>619</v>
      </c>
      <c r="G19" s="161">
        <f>Quantitativos!F70</f>
        <v>156.22000000000003</v>
      </c>
      <c r="H19" s="158">
        <v>750.58</v>
      </c>
      <c r="I19" s="158">
        <f t="shared" si="0"/>
        <v>117255.6</v>
      </c>
      <c r="J19" s="158">
        <f t="shared" si="3"/>
        <v>3617985.7400000007</v>
      </c>
      <c r="K19" s="159">
        <f t="shared" si="1"/>
        <v>2.0853E-2</v>
      </c>
      <c r="L19" s="159">
        <f t="shared" si="4"/>
        <v>0.643424</v>
      </c>
      <c r="M19" s="160" t="str">
        <f t="shared" si="2"/>
        <v>A</v>
      </c>
    </row>
    <row r="20" spans="2:13">
      <c r="B20" s="154" t="s">
        <v>92</v>
      </c>
      <c r="C20" s="154">
        <v>92762</v>
      </c>
      <c r="D20" s="155" t="s">
        <v>668</v>
      </c>
      <c r="E20" s="156" t="s">
        <v>669</v>
      </c>
      <c r="F20" s="154" t="s">
        <v>117</v>
      </c>
      <c r="G20" s="161">
        <f>Quantitativos!F117</f>
        <v>10669.84</v>
      </c>
      <c r="H20" s="158">
        <v>10.98</v>
      </c>
      <c r="I20" s="158">
        <f t="shared" si="0"/>
        <v>117154.84</v>
      </c>
      <c r="J20" s="158">
        <f t="shared" si="3"/>
        <v>3735140.5800000005</v>
      </c>
      <c r="K20" s="159">
        <f t="shared" si="1"/>
        <v>2.0834999999999999E-2</v>
      </c>
      <c r="L20" s="159">
        <f t="shared" si="4"/>
        <v>0.66425900000000004</v>
      </c>
      <c r="M20" s="160" t="str">
        <f t="shared" si="2"/>
        <v>A</v>
      </c>
    </row>
    <row r="21" spans="2:13">
      <c r="B21" s="154" t="s">
        <v>92</v>
      </c>
      <c r="C21" s="154">
        <v>92762</v>
      </c>
      <c r="D21" s="155" t="s">
        <v>652</v>
      </c>
      <c r="E21" s="156" t="s">
        <v>653</v>
      </c>
      <c r="F21" s="154" t="s">
        <v>117</v>
      </c>
      <c r="G21" s="161">
        <f>Quantitativos!F90</f>
        <v>10539.24</v>
      </c>
      <c r="H21" s="158">
        <v>10.98</v>
      </c>
      <c r="I21" s="158">
        <f t="shared" si="0"/>
        <v>115720.85</v>
      </c>
      <c r="J21" s="158">
        <f t="shared" si="3"/>
        <v>3850861.4300000006</v>
      </c>
      <c r="K21" s="159">
        <f t="shared" si="1"/>
        <v>2.0580000000000001E-2</v>
      </c>
      <c r="L21" s="159">
        <f t="shared" si="4"/>
        <v>0.68483899999999998</v>
      </c>
      <c r="M21" s="160" t="str">
        <f t="shared" si="2"/>
        <v>A</v>
      </c>
    </row>
    <row r="22" spans="2:13">
      <c r="B22" s="154" t="s">
        <v>92</v>
      </c>
      <c r="C22" s="154">
        <v>97096</v>
      </c>
      <c r="D22" s="155" t="s">
        <v>972</v>
      </c>
      <c r="E22" s="156" t="s">
        <v>973</v>
      </c>
      <c r="F22" s="154" t="s">
        <v>619</v>
      </c>
      <c r="G22" s="161">
        <f>Quantitativos!E368</f>
        <v>150.52199999999999</v>
      </c>
      <c r="H22" s="158">
        <v>676.43</v>
      </c>
      <c r="I22" s="158">
        <f t="shared" si="0"/>
        <v>101817.59</v>
      </c>
      <c r="J22" s="158">
        <f t="shared" si="3"/>
        <v>3952679.0200000005</v>
      </c>
      <c r="K22" s="159">
        <f t="shared" si="1"/>
        <v>1.8107000000000002E-2</v>
      </c>
      <c r="L22" s="159">
        <f t="shared" si="4"/>
        <v>0.70294599999999996</v>
      </c>
      <c r="M22" s="160" t="str">
        <f t="shared" si="2"/>
        <v>A</v>
      </c>
    </row>
    <row r="23" spans="2:13">
      <c r="B23" s="154" t="s">
        <v>92</v>
      </c>
      <c r="C23" s="154">
        <v>94965</v>
      </c>
      <c r="D23" s="155" t="s">
        <v>658</v>
      </c>
      <c r="E23" s="156" t="s">
        <v>659</v>
      </c>
      <c r="F23" s="154" t="s">
        <v>619</v>
      </c>
      <c r="G23" s="161">
        <f>Quantitativos!G96</f>
        <v>144.61000000000001</v>
      </c>
      <c r="H23" s="158">
        <v>664.37</v>
      </c>
      <c r="I23" s="158">
        <f t="shared" si="0"/>
        <v>96074.54</v>
      </c>
      <c r="J23" s="158">
        <f t="shared" si="3"/>
        <v>4048753.5600000005</v>
      </c>
      <c r="K23" s="159">
        <f t="shared" si="1"/>
        <v>1.7086E-2</v>
      </c>
      <c r="L23" s="159">
        <f t="shared" si="4"/>
        <v>0.72003200000000001</v>
      </c>
      <c r="M23" s="160" t="str">
        <f t="shared" si="2"/>
        <v>A</v>
      </c>
    </row>
    <row r="24" spans="2:13">
      <c r="B24" s="154" t="s">
        <v>92</v>
      </c>
      <c r="C24" s="154">
        <v>94965</v>
      </c>
      <c r="D24" s="155" t="s">
        <v>679</v>
      </c>
      <c r="E24" s="156" t="s">
        <v>659</v>
      </c>
      <c r="F24" s="154" t="s">
        <v>619</v>
      </c>
      <c r="G24" s="161">
        <f>Quantitativos!G124</f>
        <v>127.175</v>
      </c>
      <c r="H24" s="158">
        <v>664.37</v>
      </c>
      <c r="I24" s="158">
        <f t="shared" si="0"/>
        <v>84491.25</v>
      </c>
      <c r="J24" s="158">
        <f t="shared" si="3"/>
        <v>4133244.8100000005</v>
      </c>
      <c r="K24" s="159">
        <f t="shared" si="1"/>
        <v>1.5025999999999999E-2</v>
      </c>
      <c r="L24" s="159">
        <f t="shared" si="4"/>
        <v>0.73505799999999999</v>
      </c>
      <c r="M24" s="160" t="str">
        <f t="shared" si="2"/>
        <v>A</v>
      </c>
    </row>
    <row r="25" spans="2:13">
      <c r="B25" s="154" t="s">
        <v>92</v>
      </c>
      <c r="C25" s="154">
        <v>101166</v>
      </c>
      <c r="D25" s="155" t="s">
        <v>647</v>
      </c>
      <c r="E25" s="156" t="s">
        <v>648</v>
      </c>
      <c r="F25" s="154" t="s">
        <v>619</v>
      </c>
      <c r="G25" s="161">
        <f>Quantitativos!F79</f>
        <v>125.10999999999999</v>
      </c>
      <c r="H25" s="158">
        <v>663.24</v>
      </c>
      <c r="I25" s="158">
        <f t="shared" si="0"/>
        <v>82977.95</v>
      </c>
      <c r="J25" s="158">
        <f t="shared" si="3"/>
        <v>4216222.7600000007</v>
      </c>
      <c r="K25" s="159">
        <f t="shared" si="1"/>
        <v>1.4756E-2</v>
      </c>
      <c r="L25" s="159">
        <f t="shared" si="4"/>
        <v>0.74981399999999998</v>
      </c>
      <c r="M25" s="160" t="str">
        <f t="shared" si="2"/>
        <v>A</v>
      </c>
    </row>
    <row r="26" spans="2:13">
      <c r="B26" s="154" t="s">
        <v>92</v>
      </c>
      <c r="C26" s="154">
        <v>97088</v>
      </c>
      <c r="D26" s="155" t="s">
        <v>969</v>
      </c>
      <c r="E26" s="156" t="s">
        <v>970</v>
      </c>
      <c r="F26" s="154" t="s">
        <v>117</v>
      </c>
      <c r="G26" s="161">
        <f>Quantitativos!D368</f>
        <v>4395.2424000000001</v>
      </c>
      <c r="H26" s="158">
        <v>15.14</v>
      </c>
      <c r="I26" s="158">
        <f t="shared" si="0"/>
        <v>66543.960000000006</v>
      </c>
      <c r="J26" s="158">
        <f t="shared" si="3"/>
        <v>4282766.7200000007</v>
      </c>
      <c r="K26" s="159">
        <f t="shared" si="1"/>
        <v>1.1834000000000001E-2</v>
      </c>
      <c r="L26" s="159">
        <f t="shared" si="4"/>
        <v>0.76164799999999999</v>
      </c>
      <c r="M26" s="160" t="str">
        <f t="shared" si="2"/>
        <v>A</v>
      </c>
    </row>
    <row r="27" spans="2:13">
      <c r="B27" s="154" t="s">
        <v>92</v>
      </c>
      <c r="C27" s="154">
        <v>87878</v>
      </c>
      <c r="D27" s="155" t="s">
        <v>989</v>
      </c>
      <c r="E27" s="156" t="s">
        <v>230</v>
      </c>
      <c r="F27" s="154" t="s">
        <v>95</v>
      </c>
      <c r="G27" s="161">
        <f>Quantitativos!F148</f>
        <v>12974.88</v>
      </c>
      <c r="H27" s="158">
        <v>4.9800000000000004</v>
      </c>
      <c r="I27" s="158">
        <f t="shared" si="0"/>
        <v>64614.9</v>
      </c>
      <c r="J27" s="158">
        <f t="shared" si="3"/>
        <v>4347381.620000001</v>
      </c>
      <c r="K27" s="159">
        <f t="shared" si="1"/>
        <v>1.1490999999999999E-2</v>
      </c>
      <c r="L27" s="159">
        <f t="shared" si="4"/>
        <v>0.77313900000000002</v>
      </c>
      <c r="M27" s="160" t="str">
        <f t="shared" si="2"/>
        <v>A</v>
      </c>
    </row>
    <row r="28" spans="2:13">
      <c r="B28" s="154" t="s">
        <v>92</v>
      </c>
      <c r="C28" s="154">
        <v>94569</v>
      </c>
      <c r="D28" s="155" t="s">
        <v>1022</v>
      </c>
      <c r="E28" s="156" t="s">
        <v>1023</v>
      </c>
      <c r="F28" s="154" t="s">
        <v>95</v>
      </c>
      <c r="G28" s="161">
        <f>Quantitativos!E439*2*1</f>
        <v>84</v>
      </c>
      <c r="H28" s="158">
        <v>674.94</v>
      </c>
      <c r="I28" s="158">
        <f t="shared" si="0"/>
        <v>56694.96</v>
      </c>
      <c r="J28" s="158">
        <f t="shared" si="3"/>
        <v>4404076.580000001</v>
      </c>
      <c r="K28" s="159">
        <f t="shared" si="1"/>
        <v>1.0082000000000001E-2</v>
      </c>
      <c r="L28" s="159">
        <f t="shared" si="4"/>
        <v>0.78322099999999995</v>
      </c>
      <c r="M28" s="160" t="str">
        <f t="shared" si="2"/>
        <v>A</v>
      </c>
    </row>
    <row r="29" spans="2:13">
      <c r="B29" s="163" t="s">
        <v>92</v>
      </c>
      <c r="C29" s="163">
        <v>88423</v>
      </c>
      <c r="D29" s="164" t="s">
        <v>1061</v>
      </c>
      <c r="E29" s="165" t="s">
        <v>509</v>
      </c>
      <c r="F29" s="163" t="s">
        <v>95</v>
      </c>
      <c r="G29" s="166">
        <f>Quantitativos!K485</f>
        <v>2681.9500000000003</v>
      </c>
      <c r="H29" s="167">
        <v>19.260000000000002</v>
      </c>
      <c r="I29" s="167">
        <f t="shared" si="0"/>
        <v>51654.35</v>
      </c>
      <c r="J29" s="167">
        <f t="shared" si="3"/>
        <v>4455730.9300000006</v>
      </c>
      <c r="K29" s="186">
        <f t="shared" si="1"/>
        <v>9.1859999999999997E-3</v>
      </c>
      <c r="L29" s="186">
        <f t="shared" si="4"/>
        <v>0.79240699999999997</v>
      </c>
      <c r="M29" s="168" t="str">
        <f t="shared" si="2"/>
        <v>A</v>
      </c>
    </row>
    <row r="30" spans="2:13" hidden="1">
      <c r="B30" s="154" t="s">
        <v>92</v>
      </c>
      <c r="C30" s="154">
        <v>92759</v>
      </c>
      <c r="D30" s="155" t="s">
        <v>670</v>
      </c>
      <c r="E30" s="156" t="s">
        <v>671</v>
      </c>
      <c r="F30" s="154" t="s">
        <v>117</v>
      </c>
      <c r="G30" s="161">
        <f>Quantitativos!F118</f>
        <v>3659.46</v>
      </c>
      <c r="H30" s="158">
        <v>13.78</v>
      </c>
      <c r="I30" s="158">
        <f t="shared" si="0"/>
        <v>50427.35</v>
      </c>
      <c r="J30" s="158">
        <f t="shared" si="3"/>
        <v>4506158.28</v>
      </c>
      <c r="K30" s="159">
        <f t="shared" ref="K30:K67" si="5">TRUNC(I30/$I$200,6)</f>
        <v>8.9680000000000003E-3</v>
      </c>
      <c r="L30" s="159">
        <f t="shared" si="4"/>
        <v>0.80137499999999995</v>
      </c>
      <c r="M30" s="160" t="str">
        <f t="shared" si="2"/>
        <v>B</v>
      </c>
    </row>
    <row r="31" spans="2:13" hidden="1">
      <c r="B31" s="154" t="s">
        <v>92</v>
      </c>
      <c r="C31" s="154">
        <v>98557</v>
      </c>
      <c r="D31" s="155" t="s">
        <v>661</v>
      </c>
      <c r="E31" s="156" t="s">
        <v>662</v>
      </c>
      <c r="F31" s="154" t="s">
        <v>95</v>
      </c>
      <c r="G31" s="161">
        <f>Quantitativos!G101</f>
        <v>1016.85</v>
      </c>
      <c r="H31" s="158">
        <v>48.44</v>
      </c>
      <c r="I31" s="158">
        <f t="shared" si="0"/>
        <v>49256.21</v>
      </c>
      <c r="J31" s="158">
        <f t="shared" si="3"/>
        <v>4555414.49</v>
      </c>
      <c r="K31" s="159">
        <f t="shared" si="5"/>
        <v>8.7589999999999994E-3</v>
      </c>
      <c r="L31" s="159">
        <f t="shared" si="4"/>
        <v>0.81013400000000002</v>
      </c>
      <c r="M31" s="160" t="str">
        <f t="shared" si="2"/>
        <v>B</v>
      </c>
    </row>
    <row r="32" spans="2:13" hidden="1">
      <c r="B32" s="154" t="s">
        <v>92</v>
      </c>
      <c r="C32" s="154">
        <v>97906</v>
      </c>
      <c r="D32" s="155" t="s">
        <v>815</v>
      </c>
      <c r="E32" s="156" t="s">
        <v>345</v>
      </c>
      <c r="F32" s="154" t="s">
        <v>151</v>
      </c>
      <c r="G32" s="161">
        <f>Quantitativos!O257</f>
        <v>109</v>
      </c>
      <c r="H32" s="158">
        <v>446.52</v>
      </c>
      <c r="I32" s="158">
        <f t="shared" si="0"/>
        <v>48670.68</v>
      </c>
      <c r="J32" s="158">
        <f t="shared" si="3"/>
        <v>4604085.17</v>
      </c>
      <c r="K32" s="159">
        <f t="shared" si="5"/>
        <v>8.6549999999999995E-3</v>
      </c>
      <c r="L32" s="159">
        <f t="shared" si="4"/>
        <v>0.81878899999999999</v>
      </c>
      <c r="M32" s="160" t="str">
        <f t="shared" si="2"/>
        <v>B</v>
      </c>
    </row>
    <row r="33" spans="2:13" hidden="1">
      <c r="B33" s="154" t="s">
        <v>92</v>
      </c>
      <c r="C33" s="154">
        <v>93202</v>
      </c>
      <c r="D33" s="155" t="s">
        <v>687</v>
      </c>
      <c r="E33" s="156" t="s">
        <v>688</v>
      </c>
      <c r="F33" s="154" t="s">
        <v>104</v>
      </c>
      <c r="G33" s="161">
        <f>Quantitativos!B148</f>
        <v>1621.86</v>
      </c>
      <c r="H33" s="158">
        <v>27.86</v>
      </c>
      <c r="I33" s="158">
        <f t="shared" si="0"/>
        <v>45185.01</v>
      </c>
      <c r="J33" s="158">
        <f t="shared" si="3"/>
        <v>4649270.18</v>
      </c>
      <c r="K33" s="159">
        <f t="shared" si="5"/>
        <v>8.0350000000000005E-3</v>
      </c>
      <c r="L33" s="159">
        <f t="shared" si="4"/>
        <v>0.826824</v>
      </c>
      <c r="M33" s="160" t="str">
        <f t="shared" si="2"/>
        <v>B</v>
      </c>
    </row>
    <row r="34" spans="2:13" hidden="1">
      <c r="B34" s="154" t="s">
        <v>92</v>
      </c>
      <c r="C34" s="154">
        <v>92270</v>
      </c>
      <c r="D34" s="155" t="s">
        <v>672</v>
      </c>
      <c r="E34" s="156" t="s">
        <v>199</v>
      </c>
      <c r="F34" s="162" t="s">
        <v>95</v>
      </c>
      <c r="G34" s="161">
        <f>Quantitativos!G107</f>
        <v>352.7</v>
      </c>
      <c r="H34" s="158">
        <v>123.06</v>
      </c>
      <c r="I34" s="158">
        <f t="shared" si="0"/>
        <v>43403.26</v>
      </c>
      <c r="J34" s="158">
        <f t="shared" si="3"/>
        <v>4692673.4399999995</v>
      </c>
      <c r="K34" s="159">
        <f t="shared" si="5"/>
        <v>7.718E-3</v>
      </c>
      <c r="L34" s="159">
        <f t="shared" si="4"/>
        <v>0.83454200000000001</v>
      </c>
      <c r="M34" s="160" t="str">
        <f t="shared" si="2"/>
        <v>B</v>
      </c>
    </row>
    <row r="35" spans="2:13" hidden="1">
      <c r="B35" s="154" t="s">
        <v>92</v>
      </c>
      <c r="C35" s="154">
        <v>88489</v>
      </c>
      <c r="D35" s="155" t="s">
        <v>1058</v>
      </c>
      <c r="E35" s="156" t="s">
        <v>1059</v>
      </c>
      <c r="F35" s="162" t="s">
        <v>95</v>
      </c>
      <c r="G35" s="161">
        <f>Quantitativos!I484</f>
        <v>3675.2700000000004</v>
      </c>
      <c r="H35" s="158">
        <v>11.76</v>
      </c>
      <c r="I35" s="158">
        <f t="shared" ref="I35:I66" si="6">TRUNC(G35*H35,2)</f>
        <v>43221.17</v>
      </c>
      <c r="J35" s="158">
        <f t="shared" si="3"/>
        <v>4735894.6099999994</v>
      </c>
      <c r="K35" s="159">
        <f t="shared" si="5"/>
        <v>7.6860000000000001E-3</v>
      </c>
      <c r="L35" s="159">
        <f t="shared" si="4"/>
        <v>0.84222799999999998</v>
      </c>
      <c r="M35" s="160" t="str">
        <f t="shared" ref="M35:M66" si="7">IF(L35&lt;=$P$3,"A",IF(L35&lt;=$P$4,"B","C"))</f>
        <v>B</v>
      </c>
    </row>
    <row r="36" spans="2:13" hidden="1">
      <c r="B36" s="154" t="s">
        <v>92</v>
      </c>
      <c r="C36" s="154">
        <v>88495</v>
      </c>
      <c r="D36" s="155" t="s">
        <v>1052</v>
      </c>
      <c r="E36" s="156" t="s">
        <v>1053</v>
      </c>
      <c r="F36" s="162" t="s">
        <v>95</v>
      </c>
      <c r="G36" s="161">
        <f>Quantitativos!I483</f>
        <v>3675.2700000000004</v>
      </c>
      <c r="H36" s="158">
        <v>10.39</v>
      </c>
      <c r="I36" s="158">
        <f t="shared" si="6"/>
        <v>38186.050000000003</v>
      </c>
      <c r="J36" s="158">
        <f t="shared" si="3"/>
        <v>4774080.6599999992</v>
      </c>
      <c r="K36" s="159">
        <f t="shared" si="5"/>
        <v>6.7910000000000002E-3</v>
      </c>
      <c r="L36" s="159">
        <f t="shared" si="4"/>
        <v>0.84901899999999997</v>
      </c>
      <c r="M36" s="160" t="str">
        <f t="shared" si="7"/>
        <v>B</v>
      </c>
    </row>
    <row r="37" spans="2:13" hidden="1">
      <c r="B37" s="154" t="s">
        <v>92</v>
      </c>
      <c r="C37" s="154">
        <v>88494</v>
      </c>
      <c r="D37" s="155" t="s">
        <v>1049</v>
      </c>
      <c r="E37" s="156" t="s">
        <v>1050</v>
      </c>
      <c r="F37" s="154" t="s">
        <v>95</v>
      </c>
      <c r="G37" s="161">
        <f>Quantitativos!J483</f>
        <v>1826.9499999999996</v>
      </c>
      <c r="H37" s="158">
        <v>19.309999999999999</v>
      </c>
      <c r="I37" s="158">
        <f t="shared" si="6"/>
        <v>35278.400000000001</v>
      </c>
      <c r="J37" s="158">
        <f t="shared" si="3"/>
        <v>4809359.0599999996</v>
      </c>
      <c r="K37" s="159">
        <f t="shared" si="5"/>
        <v>6.2729999999999999E-3</v>
      </c>
      <c r="L37" s="159">
        <f t="shared" si="4"/>
        <v>0.85529200000000005</v>
      </c>
      <c r="M37" s="160" t="str">
        <f t="shared" si="7"/>
        <v>B</v>
      </c>
    </row>
    <row r="38" spans="2:13" hidden="1">
      <c r="B38" s="154" t="s">
        <v>92</v>
      </c>
      <c r="C38" s="154">
        <v>89849</v>
      </c>
      <c r="D38" s="155" t="s">
        <v>769</v>
      </c>
      <c r="E38" s="156" t="s">
        <v>301</v>
      </c>
      <c r="F38" s="154" t="s">
        <v>104</v>
      </c>
      <c r="G38" s="161">
        <f>Quantitativos!O227</f>
        <v>654</v>
      </c>
      <c r="H38" s="158">
        <v>46.13</v>
      </c>
      <c r="I38" s="158">
        <f t="shared" si="6"/>
        <v>30169.02</v>
      </c>
      <c r="J38" s="158">
        <f t="shared" si="3"/>
        <v>4839528.0799999991</v>
      </c>
      <c r="K38" s="159">
        <f t="shared" si="5"/>
        <v>5.365E-3</v>
      </c>
      <c r="L38" s="159">
        <f t="shared" si="4"/>
        <v>0.86065700000000001</v>
      </c>
      <c r="M38" s="160" t="str">
        <f t="shared" si="7"/>
        <v>B</v>
      </c>
    </row>
    <row r="39" spans="2:13" hidden="1">
      <c r="B39" s="154" t="s">
        <v>92</v>
      </c>
      <c r="C39" s="154">
        <v>96521</v>
      </c>
      <c r="D39" s="155" t="s">
        <v>637</v>
      </c>
      <c r="E39" s="156" t="s">
        <v>55</v>
      </c>
      <c r="F39" s="154" t="s">
        <v>619</v>
      </c>
      <c r="G39" s="161">
        <f>Quantitativos!F21+Quantitativos!F37+Quantitativos!F41</f>
        <v>725.18999999999994</v>
      </c>
      <c r="H39" s="158">
        <v>40.08</v>
      </c>
      <c r="I39" s="158">
        <f t="shared" si="6"/>
        <v>29065.61</v>
      </c>
      <c r="J39" s="158">
        <f t="shared" si="3"/>
        <v>4868593.6899999995</v>
      </c>
      <c r="K39" s="159">
        <f t="shared" si="5"/>
        <v>5.169E-3</v>
      </c>
      <c r="L39" s="159">
        <f t="shared" si="4"/>
        <v>0.86582599999999998</v>
      </c>
      <c r="M39" s="160" t="str">
        <f t="shared" si="7"/>
        <v>B</v>
      </c>
    </row>
    <row r="40" spans="2:13" hidden="1">
      <c r="B40" s="154" t="s">
        <v>92</v>
      </c>
      <c r="C40" s="154">
        <v>10616</v>
      </c>
      <c r="D40" s="155" t="s">
        <v>1013</v>
      </c>
      <c r="E40" s="156" t="s">
        <v>1014</v>
      </c>
      <c r="F40" s="154" t="s">
        <v>95</v>
      </c>
      <c r="G40" s="161">
        <f>Quantitativos!C483</f>
        <v>93.02000000000001</v>
      </c>
      <c r="H40" s="158">
        <v>307.61</v>
      </c>
      <c r="I40" s="158">
        <f t="shared" si="6"/>
        <v>28613.88</v>
      </c>
      <c r="J40" s="158">
        <f t="shared" si="3"/>
        <v>4897207.5699999994</v>
      </c>
      <c r="K40" s="159">
        <f t="shared" si="5"/>
        <v>5.0879999999999996E-3</v>
      </c>
      <c r="L40" s="159">
        <f t="shared" si="4"/>
        <v>0.87091399999999997</v>
      </c>
      <c r="M40" s="160" t="str">
        <f t="shared" si="7"/>
        <v>B</v>
      </c>
    </row>
    <row r="41" spans="2:13" hidden="1">
      <c r="B41" s="154" t="s">
        <v>92</v>
      </c>
      <c r="C41" s="154">
        <v>86931</v>
      </c>
      <c r="D41" s="155" t="s">
        <v>1067</v>
      </c>
      <c r="E41" s="156" t="s">
        <v>1068</v>
      </c>
      <c r="F41" s="154" t="s">
        <v>151</v>
      </c>
      <c r="G41" s="161">
        <f>Quantitativos!B493</f>
        <v>53</v>
      </c>
      <c r="H41" s="158">
        <v>507.6</v>
      </c>
      <c r="I41" s="158">
        <f t="shared" si="6"/>
        <v>26902.799999999999</v>
      </c>
      <c r="J41" s="158">
        <f t="shared" si="3"/>
        <v>4924110.3699999992</v>
      </c>
      <c r="K41" s="159">
        <f t="shared" si="5"/>
        <v>4.7840000000000001E-3</v>
      </c>
      <c r="L41" s="159">
        <f t="shared" si="4"/>
        <v>0.87569799999999998</v>
      </c>
      <c r="M41" s="160" t="str">
        <f t="shared" si="7"/>
        <v>B</v>
      </c>
    </row>
    <row r="42" spans="2:13" hidden="1">
      <c r="B42" s="154" t="s">
        <v>92</v>
      </c>
      <c r="C42" s="154">
        <v>98556</v>
      </c>
      <c r="D42" s="155" t="s">
        <v>975</v>
      </c>
      <c r="E42" s="156" t="s">
        <v>976</v>
      </c>
      <c r="F42" s="154" t="s">
        <v>95</v>
      </c>
      <c r="G42" s="161">
        <f>Quantitativos!F382</f>
        <v>382.54</v>
      </c>
      <c r="H42" s="158">
        <v>69.849999999999994</v>
      </c>
      <c r="I42" s="158">
        <f t="shared" si="6"/>
        <v>26720.41</v>
      </c>
      <c r="J42" s="158">
        <f t="shared" si="3"/>
        <v>4950830.7799999993</v>
      </c>
      <c r="K42" s="159">
        <f t="shared" si="5"/>
        <v>4.7520000000000001E-3</v>
      </c>
      <c r="L42" s="159">
        <f t="shared" si="4"/>
        <v>0.88044999999999995</v>
      </c>
      <c r="M42" s="160" t="str">
        <f t="shared" si="7"/>
        <v>B</v>
      </c>
    </row>
    <row r="43" spans="2:13" hidden="1">
      <c r="B43" s="154" t="s">
        <v>92</v>
      </c>
      <c r="C43" s="154">
        <v>88485</v>
      </c>
      <c r="D43" s="155" t="s">
        <v>1046</v>
      </c>
      <c r="E43" s="156" t="s">
        <v>1047</v>
      </c>
      <c r="F43" s="154" t="s">
        <v>95</v>
      </c>
      <c r="G43" s="161">
        <f>Quantitativos!I482</f>
        <v>6357.2200000000012</v>
      </c>
      <c r="H43" s="158">
        <v>4.03</v>
      </c>
      <c r="I43" s="158">
        <f t="shared" si="6"/>
        <v>25619.59</v>
      </c>
      <c r="J43" s="158">
        <f t="shared" si="3"/>
        <v>4976450.3699999992</v>
      </c>
      <c r="K43" s="159">
        <f t="shared" si="5"/>
        <v>4.5560000000000002E-3</v>
      </c>
      <c r="L43" s="159">
        <f t="shared" si="4"/>
        <v>0.88500599999999996</v>
      </c>
      <c r="M43" s="160" t="str">
        <f t="shared" si="7"/>
        <v>B</v>
      </c>
    </row>
    <row r="44" spans="2:13" hidden="1">
      <c r="B44" s="154" t="s">
        <v>92</v>
      </c>
      <c r="C44" s="154">
        <v>88488</v>
      </c>
      <c r="D44" s="155" t="s">
        <v>1055</v>
      </c>
      <c r="E44" s="156" t="s">
        <v>1056</v>
      </c>
      <c r="F44" s="154" t="s">
        <v>95</v>
      </c>
      <c r="G44" s="161">
        <f>Quantitativos!J484</f>
        <v>1826.9499999999996</v>
      </c>
      <c r="H44" s="158">
        <v>13.96</v>
      </c>
      <c r="I44" s="158">
        <f t="shared" si="6"/>
        <v>25504.22</v>
      </c>
      <c r="J44" s="158">
        <f t="shared" si="3"/>
        <v>5001954.5899999989</v>
      </c>
      <c r="K44" s="159">
        <f t="shared" si="5"/>
        <v>4.535E-3</v>
      </c>
      <c r="L44" s="159">
        <f t="shared" si="4"/>
        <v>0.88954100000000003</v>
      </c>
      <c r="M44" s="160" t="str">
        <f t="shared" si="7"/>
        <v>B</v>
      </c>
    </row>
    <row r="45" spans="2:13" hidden="1">
      <c r="B45" s="154" t="s">
        <v>629</v>
      </c>
      <c r="C45" s="154" t="s">
        <v>942</v>
      </c>
      <c r="D45" s="155" t="s">
        <v>943</v>
      </c>
      <c r="E45" s="156" t="s">
        <v>944</v>
      </c>
      <c r="F45" s="154" t="s">
        <v>151</v>
      </c>
      <c r="G45" s="161">
        <f>Quantitativos!D338</f>
        <v>11</v>
      </c>
      <c r="H45" s="158">
        <v>2245.9899999999998</v>
      </c>
      <c r="I45" s="158">
        <f t="shared" si="6"/>
        <v>24705.89</v>
      </c>
      <c r="J45" s="158">
        <f t="shared" si="3"/>
        <v>5026660.4799999986</v>
      </c>
      <c r="K45" s="159">
        <f t="shared" si="5"/>
        <v>4.3930000000000002E-3</v>
      </c>
      <c r="L45" s="159">
        <f t="shared" si="4"/>
        <v>0.89393400000000001</v>
      </c>
      <c r="M45" s="160" t="str">
        <f t="shared" si="7"/>
        <v>B</v>
      </c>
    </row>
    <row r="46" spans="2:13" hidden="1">
      <c r="B46" s="154" t="s">
        <v>92</v>
      </c>
      <c r="C46" s="154">
        <v>92759</v>
      </c>
      <c r="D46" s="155" t="s">
        <v>655</v>
      </c>
      <c r="E46" s="156" t="s">
        <v>656</v>
      </c>
      <c r="F46" s="154" t="s">
        <v>117</v>
      </c>
      <c r="G46" s="161">
        <f>Quantitativos!F91</f>
        <v>1516.44</v>
      </c>
      <c r="H46" s="158">
        <v>13.78</v>
      </c>
      <c r="I46" s="158">
        <f t="shared" si="6"/>
        <v>20896.54</v>
      </c>
      <c r="J46" s="158">
        <f t="shared" si="3"/>
        <v>5047557.0199999986</v>
      </c>
      <c r="K46" s="159">
        <f t="shared" si="5"/>
        <v>3.7160000000000001E-3</v>
      </c>
      <c r="L46" s="159">
        <f t="shared" si="4"/>
        <v>0.89764999999999995</v>
      </c>
      <c r="M46" s="160" t="str">
        <f t="shared" si="7"/>
        <v>B</v>
      </c>
    </row>
    <row r="47" spans="2:13" hidden="1">
      <c r="B47" s="154" t="s">
        <v>92</v>
      </c>
      <c r="C47" s="154">
        <v>90799</v>
      </c>
      <c r="D47" s="155" t="s">
        <v>1017</v>
      </c>
      <c r="E47" s="156" t="s">
        <v>1018</v>
      </c>
      <c r="F47" s="154" t="s">
        <v>95</v>
      </c>
      <c r="G47" s="161">
        <f>Quantitativos!C439</f>
        <v>17</v>
      </c>
      <c r="H47" s="158">
        <v>1209.4100000000001</v>
      </c>
      <c r="I47" s="158">
        <f t="shared" si="6"/>
        <v>20559.97</v>
      </c>
      <c r="J47" s="158">
        <f t="shared" si="3"/>
        <v>5068116.9899999984</v>
      </c>
      <c r="K47" s="159">
        <f t="shared" si="5"/>
        <v>3.656E-3</v>
      </c>
      <c r="L47" s="159">
        <f t="shared" si="4"/>
        <v>0.90130600000000005</v>
      </c>
      <c r="M47" s="160" t="str">
        <f t="shared" si="7"/>
        <v>B</v>
      </c>
    </row>
    <row r="48" spans="2:13" hidden="1">
      <c r="B48" s="154" t="s">
        <v>595</v>
      </c>
      <c r="C48" s="154">
        <v>4800412</v>
      </c>
      <c r="D48" s="155" t="s">
        <v>626</v>
      </c>
      <c r="E48" s="156" t="s">
        <v>627</v>
      </c>
      <c r="F48" s="154" t="s">
        <v>619</v>
      </c>
      <c r="G48" s="161">
        <f>Dados!B4</f>
        <v>4851</v>
      </c>
      <c r="H48" s="158">
        <v>4.09</v>
      </c>
      <c r="I48" s="158">
        <f t="shared" si="6"/>
        <v>19840.59</v>
      </c>
      <c r="J48" s="158">
        <f t="shared" si="3"/>
        <v>5087957.5799999982</v>
      </c>
      <c r="K48" s="159">
        <f t="shared" si="5"/>
        <v>3.5279999999999999E-3</v>
      </c>
      <c r="L48" s="159">
        <f t="shared" si="4"/>
        <v>0.90483400000000003</v>
      </c>
      <c r="M48" s="160" t="str">
        <f t="shared" si="7"/>
        <v>B</v>
      </c>
    </row>
    <row r="49" spans="2:13" hidden="1">
      <c r="B49" s="154" t="s">
        <v>595</v>
      </c>
      <c r="C49" s="154">
        <v>4413984</v>
      </c>
      <c r="D49" s="155" t="s">
        <v>624</v>
      </c>
      <c r="E49" s="156" t="s">
        <v>53</v>
      </c>
      <c r="F49" s="154" t="s">
        <v>619</v>
      </c>
      <c r="G49" s="161">
        <f>Premissas!B19</f>
        <v>4453.3838700000006</v>
      </c>
      <c r="H49" s="158">
        <v>3.82</v>
      </c>
      <c r="I49" s="158">
        <f t="shared" si="6"/>
        <v>17011.919999999998</v>
      </c>
      <c r="J49" s="158">
        <f t="shared" si="3"/>
        <v>5104969.4999999981</v>
      </c>
      <c r="K49" s="159">
        <f t="shared" si="5"/>
        <v>3.0249999999999999E-3</v>
      </c>
      <c r="L49" s="159">
        <f t="shared" si="4"/>
        <v>0.90785899999999997</v>
      </c>
      <c r="M49" s="160" t="str">
        <f t="shared" si="7"/>
        <v>B</v>
      </c>
    </row>
    <row r="50" spans="2:13" hidden="1">
      <c r="B50" s="154" t="s">
        <v>92</v>
      </c>
      <c r="C50" s="154">
        <v>91928</v>
      </c>
      <c r="D50" s="155" t="s">
        <v>884</v>
      </c>
      <c r="E50" s="156" t="str">
        <f>Quantitativos!A297</f>
        <v>Cabo flexível 4mm2</v>
      </c>
      <c r="F50" s="154" t="str">
        <f>Quantitativos!B297</f>
        <v>m</v>
      </c>
      <c r="G50" s="161">
        <f>Quantitativos!R297</f>
        <v>2436</v>
      </c>
      <c r="H50" s="158">
        <v>6.96</v>
      </c>
      <c r="I50" s="158">
        <f t="shared" si="6"/>
        <v>16954.560000000001</v>
      </c>
      <c r="J50" s="158">
        <f t="shared" si="3"/>
        <v>5121924.0599999977</v>
      </c>
      <c r="K50" s="159">
        <f t="shared" si="5"/>
        <v>3.0149999999999999E-3</v>
      </c>
      <c r="L50" s="159">
        <f t="shared" si="4"/>
        <v>0.91087399999999996</v>
      </c>
      <c r="M50" s="160" t="str">
        <f t="shared" si="7"/>
        <v>B</v>
      </c>
    </row>
    <row r="51" spans="2:13" hidden="1">
      <c r="B51" s="154" t="s">
        <v>92</v>
      </c>
      <c r="C51" s="154">
        <v>104737</v>
      </c>
      <c r="D51" s="155" t="s">
        <v>664</v>
      </c>
      <c r="E51" s="156" t="s">
        <v>665</v>
      </c>
      <c r="F51" s="154" t="s">
        <v>619</v>
      </c>
      <c r="G51" s="161">
        <f>G41</f>
        <v>53</v>
      </c>
      <c r="H51" s="158">
        <v>20.84</v>
      </c>
      <c r="I51" s="158">
        <f t="shared" si="6"/>
        <v>1104.52</v>
      </c>
      <c r="J51" s="158">
        <f t="shared" si="3"/>
        <v>5123028.5799999973</v>
      </c>
      <c r="K51" s="159">
        <f t="shared" si="5"/>
        <v>1.9599999999999999E-4</v>
      </c>
      <c r="L51" s="159">
        <f t="shared" si="4"/>
        <v>0.91107000000000005</v>
      </c>
      <c r="M51" s="160" t="str">
        <f t="shared" si="7"/>
        <v>B</v>
      </c>
    </row>
    <row r="52" spans="2:13" hidden="1">
      <c r="B52" s="154" t="s">
        <v>92</v>
      </c>
      <c r="C52" s="154">
        <v>89714</v>
      </c>
      <c r="D52" s="155" t="s">
        <v>771</v>
      </c>
      <c r="E52" s="156" t="s">
        <v>303</v>
      </c>
      <c r="F52" s="154" t="s">
        <v>104</v>
      </c>
      <c r="G52" s="161">
        <f>Quantitativos!O228</f>
        <v>440</v>
      </c>
      <c r="H52" s="158">
        <v>32.619999999999997</v>
      </c>
      <c r="I52" s="158">
        <f t="shared" si="6"/>
        <v>14352.8</v>
      </c>
      <c r="J52" s="158">
        <f t="shared" si="3"/>
        <v>5137381.3799999971</v>
      </c>
      <c r="K52" s="159">
        <f t="shared" si="5"/>
        <v>2.552E-3</v>
      </c>
      <c r="L52" s="159">
        <f t="shared" si="4"/>
        <v>0.91362200000000005</v>
      </c>
      <c r="M52" s="160" t="str">
        <f t="shared" si="7"/>
        <v>B</v>
      </c>
    </row>
    <row r="53" spans="2:13" hidden="1">
      <c r="B53" s="154" t="s">
        <v>92</v>
      </c>
      <c r="C53" s="154">
        <v>94569</v>
      </c>
      <c r="D53" s="155" t="s">
        <v>1025</v>
      </c>
      <c r="E53" s="156" t="s">
        <v>1026</v>
      </c>
      <c r="F53" s="154" t="s">
        <v>95</v>
      </c>
      <c r="G53" s="161">
        <f>Quantitativos!F439*1.5*1</f>
        <v>21</v>
      </c>
      <c r="H53" s="158">
        <v>674.94</v>
      </c>
      <c r="I53" s="158">
        <f t="shared" si="6"/>
        <v>14173.74</v>
      </c>
      <c r="J53" s="158">
        <f t="shared" si="3"/>
        <v>5151555.1199999973</v>
      </c>
      <c r="K53" s="159">
        <f t="shared" si="5"/>
        <v>2.5200000000000001E-3</v>
      </c>
      <c r="L53" s="159">
        <f t="shared" si="4"/>
        <v>0.91614200000000001</v>
      </c>
      <c r="M53" s="160" t="str">
        <f t="shared" si="7"/>
        <v>B</v>
      </c>
    </row>
    <row r="54" spans="2:13" hidden="1">
      <c r="B54" s="154" t="s">
        <v>629</v>
      </c>
      <c r="C54" s="154"/>
      <c r="D54" s="155" t="s">
        <v>630</v>
      </c>
      <c r="E54" s="156" t="s">
        <v>631</v>
      </c>
      <c r="F54" s="154" t="s">
        <v>95</v>
      </c>
      <c r="G54" s="161">
        <v>45</v>
      </c>
      <c r="H54" s="158">
        <v>312.06</v>
      </c>
      <c r="I54" s="158">
        <f t="shared" si="6"/>
        <v>14042.7</v>
      </c>
      <c r="J54" s="158">
        <f t="shared" si="3"/>
        <v>5165597.8199999975</v>
      </c>
      <c r="K54" s="159">
        <f t="shared" si="5"/>
        <v>2.4970000000000001E-3</v>
      </c>
      <c r="L54" s="159">
        <f t="shared" si="4"/>
        <v>0.91863899999999998</v>
      </c>
      <c r="M54" s="160" t="str">
        <f t="shared" si="7"/>
        <v>B</v>
      </c>
    </row>
    <row r="55" spans="2:13" hidden="1">
      <c r="B55" s="154" t="s">
        <v>92</v>
      </c>
      <c r="C55" s="154">
        <v>99059</v>
      </c>
      <c r="D55" s="155" t="s">
        <v>633</v>
      </c>
      <c r="E55" s="156" t="s">
        <v>634</v>
      </c>
      <c r="F55" s="154" t="s">
        <v>104</v>
      </c>
      <c r="G55" s="161">
        <v>248</v>
      </c>
      <c r="H55" s="158">
        <v>56.01</v>
      </c>
      <c r="I55" s="158">
        <f t="shared" si="6"/>
        <v>13890.48</v>
      </c>
      <c r="J55" s="158">
        <f t="shared" si="3"/>
        <v>5179488.299999998</v>
      </c>
      <c r="K55" s="159">
        <f t="shared" si="5"/>
        <v>2.47E-3</v>
      </c>
      <c r="L55" s="159">
        <f t="shared" si="4"/>
        <v>0.92110899999999996</v>
      </c>
      <c r="M55" s="160" t="str">
        <f t="shared" si="7"/>
        <v>B</v>
      </c>
    </row>
    <row r="56" spans="2:13" hidden="1">
      <c r="B56" s="154" t="s">
        <v>92</v>
      </c>
      <c r="C56" s="154">
        <v>99825</v>
      </c>
      <c r="D56" s="155" t="s">
        <v>1108</v>
      </c>
      <c r="E56" s="156" t="s">
        <v>1109</v>
      </c>
      <c r="F56" s="154" t="s">
        <v>95</v>
      </c>
      <c r="G56" s="161">
        <f>G58+G166</f>
        <v>3110.26</v>
      </c>
      <c r="H56" s="158">
        <v>4.09</v>
      </c>
      <c r="I56" s="158">
        <f t="shared" si="6"/>
        <v>12720.96</v>
      </c>
      <c r="J56" s="158">
        <f t="shared" si="3"/>
        <v>5192209.2599999979</v>
      </c>
      <c r="K56" s="159">
        <f t="shared" si="5"/>
        <v>2.2620000000000001E-3</v>
      </c>
      <c r="L56" s="159">
        <f t="shared" si="4"/>
        <v>0.92337100000000005</v>
      </c>
      <c r="M56" s="160" t="str">
        <f t="shared" si="7"/>
        <v>B</v>
      </c>
    </row>
    <row r="57" spans="2:13" hidden="1">
      <c r="B57" s="154" t="s">
        <v>92</v>
      </c>
      <c r="C57" s="154">
        <v>91926</v>
      </c>
      <c r="D57" s="155" t="s">
        <v>886</v>
      </c>
      <c r="E57" s="156" t="str">
        <f>Quantitativos!A298</f>
        <v>Cabo flexível 2,5mm2</v>
      </c>
      <c r="F57" s="154" t="str">
        <f>Quantitativos!B298</f>
        <v>m</v>
      </c>
      <c r="G57" s="161">
        <f>Quantitativos!R298</f>
        <v>2587</v>
      </c>
      <c r="H57" s="158">
        <v>4.46</v>
      </c>
      <c r="I57" s="158">
        <f t="shared" si="6"/>
        <v>11538.02</v>
      </c>
      <c r="J57" s="158">
        <f t="shared" si="3"/>
        <v>5203747.2799999975</v>
      </c>
      <c r="K57" s="159">
        <f t="shared" si="5"/>
        <v>2.0509999999999999E-3</v>
      </c>
      <c r="L57" s="159">
        <f t="shared" si="4"/>
        <v>0.92542199999999997</v>
      </c>
      <c r="M57" s="160" t="str">
        <f t="shared" si="7"/>
        <v>B</v>
      </c>
    </row>
    <row r="58" spans="2:13" hidden="1">
      <c r="B58" s="154" t="s">
        <v>92</v>
      </c>
      <c r="C58" s="154">
        <v>99821</v>
      </c>
      <c r="D58" s="155" t="s">
        <v>1105</v>
      </c>
      <c r="E58" s="156" t="s">
        <v>1106</v>
      </c>
      <c r="F58" s="154" t="s">
        <v>95</v>
      </c>
      <c r="G58" s="161">
        <f>G139+G140+G141+G142</f>
        <v>3044.26</v>
      </c>
      <c r="H58" s="158">
        <v>3.59</v>
      </c>
      <c r="I58" s="158">
        <f t="shared" si="6"/>
        <v>10928.89</v>
      </c>
      <c r="J58" s="158">
        <f t="shared" si="3"/>
        <v>5214676.1699999971</v>
      </c>
      <c r="K58" s="159">
        <f t="shared" si="5"/>
        <v>1.9430000000000001E-3</v>
      </c>
      <c r="L58" s="159">
        <f t="shared" si="4"/>
        <v>0.92736499999999999</v>
      </c>
      <c r="M58" s="160" t="str">
        <f t="shared" si="7"/>
        <v>B</v>
      </c>
    </row>
    <row r="59" spans="2:13" hidden="1">
      <c r="B59" s="154" t="s">
        <v>92</v>
      </c>
      <c r="C59" s="154">
        <v>91854</v>
      </c>
      <c r="D59" s="155" t="s">
        <v>868</v>
      </c>
      <c r="E59" s="156" t="str">
        <f>Quantitativos!A289</f>
        <v>Eletroduto flexível Ø25mm</v>
      </c>
      <c r="F59" s="154" t="str">
        <f>Quantitativos!B289</f>
        <v>m</v>
      </c>
      <c r="G59" s="161">
        <f>Quantitativos!R289</f>
        <v>1189.8</v>
      </c>
      <c r="H59" s="158">
        <v>9.18</v>
      </c>
      <c r="I59" s="158">
        <f t="shared" si="6"/>
        <v>10922.36</v>
      </c>
      <c r="J59" s="158">
        <f t="shared" si="3"/>
        <v>5225598.5299999975</v>
      </c>
      <c r="K59" s="159">
        <f t="shared" si="5"/>
        <v>1.9419999999999999E-3</v>
      </c>
      <c r="L59" s="159">
        <f t="shared" si="4"/>
        <v>0.92930699999999999</v>
      </c>
      <c r="M59" s="160" t="str">
        <f t="shared" si="7"/>
        <v>B</v>
      </c>
    </row>
    <row r="60" spans="2:13" hidden="1">
      <c r="B60" s="154" t="s">
        <v>92</v>
      </c>
      <c r="C60" s="154">
        <v>89512</v>
      </c>
      <c r="D60" s="155" t="s">
        <v>822</v>
      </c>
      <c r="E60" s="156" t="s">
        <v>351</v>
      </c>
      <c r="F60" s="154" t="s">
        <v>104</v>
      </c>
      <c r="G60" s="161">
        <f>Quantitativos!O264</f>
        <v>260</v>
      </c>
      <c r="H60" s="158">
        <v>41.01</v>
      </c>
      <c r="I60" s="158">
        <f t="shared" si="6"/>
        <v>10662.6</v>
      </c>
      <c r="J60" s="158">
        <f t="shared" si="3"/>
        <v>5236261.1299999971</v>
      </c>
      <c r="K60" s="159">
        <f t="shared" si="5"/>
        <v>1.8959999999999999E-3</v>
      </c>
      <c r="L60" s="159">
        <f t="shared" si="4"/>
        <v>0.931203</v>
      </c>
      <c r="M60" s="160" t="str">
        <f t="shared" si="7"/>
        <v>B</v>
      </c>
    </row>
    <row r="61" spans="2:13" hidden="1">
      <c r="B61" s="154" t="s">
        <v>92</v>
      </c>
      <c r="C61" s="154">
        <v>95472</v>
      </c>
      <c r="D61" s="155" t="s">
        <v>1070</v>
      </c>
      <c r="E61" s="156" t="s">
        <v>1071</v>
      </c>
      <c r="F61" s="154" t="s">
        <v>151</v>
      </c>
      <c r="G61" s="161">
        <f>Quantitativos!C493</f>
        <v>13</v>
      </c>
      <c r="H61" s="158">
        <v>791.26</v>
      </c>
      <c r="I61" s="158">
        <f t="shared" si="6"/>
        <v>10286.379999999999</v>
      </c>
      <c r="J61" s="158">
        <f t="shared" si="3"/>
        <v>5246547.509999997</v>
      </c>
      <c r="K61" s="159">
        <f t="shared" si="5"/>
        <v>1.8289999999999999E-3</v>
      </c>
      <c r="L61" s="159">
        <f t="shared" si="4"/>
        <v>0.93303199999999997</v>
      </c>
      <c r="M61" s="160" t="str">
        <f t="shared" si="7"/>
        <v>B</v>
      </c>
    </row>
    <row r="62" spans="2:13" hidden="1">
      <c r="B62" s="154" t="s">
        <v>92</v>
      </c>
      <c r="C62" s="154">
        <v>92004</v>
      </c>
      <c r="D62" s="155" t="s">
        <v>890</v>
      </c>
      <c r="E62" s="156" t="str">
        <f>Quantitativos!A300</f>
        <v>Tomada dupla</v>
      </c>
      <c r="F62" s="154" t="str">
        <f>Quantitativos!B300</f>
        <v>und</v>
      </c>
      <c r="G62" s="161">
        <f>Quantitativos!R300</f>
        <v>163</v>
      </c>
      <c r="H62" s="158">
        <v>59.96</v>
      </c>
      <c r="I62" s="158">
        <f t="shared" si="6"/>
        <v>9773.48</v>
      </c>
      <c r="J62" s="158">
        <f t="shared" si="3"/>
        <v>5256320.9899999974</v>
      </c>
      <c r="K62" s="159">
        <f t="shared" si="5"/>
        <v>1.738E-3</v>
      </c>
      <c r="L62" s="159">
        <f t="shared" si="4"/>
        <v>0.93476999999999999</v>
      </c>
      <c r="M62" s="160" t="str">
        <f t="shared" si="7"/>
        <v>B</v>
      </c>
    </row>
    <row r="63" spans="2:13" hidden="1">
      <c r="B63" s="154" t="s">
        <v>92</v>
      </c>
      <c r="C63" s="154">
        <v>100869</v>
      </c>
      <c r="D63" s="155" t="s">
        <v>1073</v>
      </c>
      <c r="E63" s="156" t="s">
        <v>1074</v>
      </c>
      <c r="F63" s="154" t="s">
        <v>151</v>
      </c>
      <c r="G63" s="161">
        <f>Quantitativos!D493</f>
        <v>26</v>
      </c>
      <c r="H63" s="158">
        <v>366.42</v>
      </c>
      <c r="I63" s="158">
        <f t="shared" si="6"/>
        <v>9526.92</v>
      </c>
      <c r="J63" s="158">
        <f t="shared" si="3"/>
        <v>5265847.9099999974</v>
      </c>
      <c r="K63" s="159">
        <f t="shared" si="5"/>
        <v>1.694E-3</v>
      </c>
      <c r="L63" s="159">
        <f t="shared" si="4"/>
        <v>0.93646399999999996</v>
      </c>
      <c r="M63" s="160" t="str">
        <f t="shared" si="7"/>
        <v>B</v>
      </c>
    </row>
    <row r="64" spans="2:13" hidden="1">
      <c r="B64" s="154" t="s">
        <v>629</v>
      </c>
      <c r="C64" s="154" t="s">
        <v>946</v>
      </c>
      <c r="D64" s="155" t="s">
        <v>947</v>
      </c>
      <c r="E64" s="156" t="s">
        <v>948</v>
      </c>
      <c r="F64" s="154" t="s">
        <v>151</v>
      </c>
      <c r="G64" s="161">
        <f>Quantitativos!D339</f>
        <v>3</v>
      </c>
      <c r="H64" s="158">
        <v>3173.91</v>
      </c>
      <c r="I64" s="158">
        <f t="shared" si="6"/>
        <v>9521.73</v>
      </c>
      <c r="J64" s="158">
        <f t="shared" si="3"/>
        <v>5275369.6399999978</v>
      </c>
      <c r="K64" s="159">
        <f t="shared" si="5"/>
        <v>1.6930000000000001E-3</v>
      </c>
      <c r="L64" s="159">
        <f t="shared" si="4"/>
        <v>0.93815700000000002</v>
      </c>
      <c r="M64" s="160" t="str">
        <f t="shared" si="7"/>
        <v>B</v>
      </c>
    </row>
    <row r="65" spans="2:13" hidden="1">
      <c r="B65" s="154" t="s">
        <v>92</v>
      </c>
      <c r="C65" s="154">
        <v>88484</v>
      </c>
      <c r="D65" s="155" t="s">
        <v>1043</v>
      </c>
      <c r="E65" s="156" t="s">
        <v>1044</v>
      </c>
      <c r="F65" s="154" t="s">
        <v>95</v>
      </c>
      <c r="G65" s="161">
        <f>Quantitativos!J482</f>
        <v>1826.9499999999996</v>
      </c>
      <c r="H65" s="158">
        <v>4.92</v>
      </c>
      <c r="I65" s="158">
        <f t="shared" si="6"/>
        <v>8988.59</v>
      </c>
      <c r="J65" s="158">
        <f t="shared" si="3"/>
        <v>5284358.2299999977</v>
      </c>
      <c r="K65" s="159">
        <f t="shared" si="5"/>
        <v>1.598E-3</v>
      </c>
      <c r="L65" s="159">
        <f t="shared" si="4"/>
        <v>0.93975500000000001</v>
      </c>
      <c r="M65" s="160" t="str">
        <f t="shared" si="7"/>
        <v>B</v>
      </c>
    </row>
    <row r="66" spans="2:13" hidden="1">
      <c r="B66" s="154" t="s">
        <v>92</v>
      </c>
      <c r="C66" s="154">
        <v>97607</v>
      </c>
      <c r="D66" s="155" t="s">
        <v>896</v>
      </c>
      <c r="E66" s="156" t="str">
        <f>Quantitativos!A303</f>
        <v>Luminárias arandelas</v>
      </c>
      <c r="F66" s="154" t="str">
        <f>Quantitativos!B303</f>
        <v>und</v>
      </c>
      <c r="G66" s="161">
        <f>Quantitativos!R303</f>
        <v>80</v>
      </c>
      <c r="H66" s="158">
        <v>109.15</v>
      </c>
      <c r="I66" s="158">
        <f t="shared" si="6"/>
        <v>8732</v>
      </c>
      <c r="J66" s="158">
        <f t="shared" si="3"/>
        <v>5293090.2299999977</v>
      </c>
      <c r="K66" s="159">
        <f t="shared" si="5"/>
        <v>1.552E-3</v>
      </c>
      <c r="L66" s="159">
        <f t="shared" si="4"/>
        <v>0.941307</v>
      </c>
      <c r="M66" s="160" t="str">
        <f t="shared" si="7"/>
        <v>B</v>
      </c>
    </row>
    <row r="67" spans="2:13" hidden="1">
      <c r="B67" s="154" t="s">
        <v>92</v>
      </c>
      <c r="C67" s="154">
        <v>99817</v>
      </c>
      <c r="D67" s="155" t="s">
        <v>1114</v>
      </c>
      <c r="E67" s="156" t="s">
        <v>1115</v>
      </c>
      <c r="F67" s="154" t="s">
        <v>151</v>
      </c>
      <c r="G67" s="161">
        <f>G153</f>
        <v>1203.9000000000001</v>
      </c>
      <c r="H67" s="158">
        <v>7.03</v>
      </c>
      <c r="I67" s="158">
        <f t="shared" ref="I67:I98" si="8">TRUNC(G67*H67,2)</f>
        <v>8463.41</v>
      </c>
      <c r="J67" s="158">
        <f t="shared" si="3"/>
        <v>5301553.6399999978</v>
      </c>
      <c r="K67" s="159">
        <f t="shared" si="5"/>
        <v>1.505E-3</v>
      </c>
      <c r="L67" s="159">
        <f t="shared" si="4"/>
        <v>0.94281199999999998</v>
      </c>
      <c r="M67" s="160" t="str">
        <f t="shared" ref="M67:M98" si="9">IF(L67&lt;=$P$3,"A",IF(L67&lt;=$P$4,"B","C"))</f>
        <v>B</v>
      </c>
    </row>
    <row r="68" spans="2:13" hidden="1">
      <c r="B68" s="154" t="s">
        <v>92</v>
      </c>
      <c r="C68" s="154">
        <v>102616</v>
      </c>
      <c r="D68" s="155" t="s">
        <v>717</v>
      </c>
      <c r="E68" s="156" t="s">
        <v>718</v>
      </c>
      <c r="F68" s="154" t="s">
        <v>151</v>
      </c>
      <c r="G68" s="161">
        <f>Quantitativos!O181</f>
        <v>4</v>
      </c>
      <c r="H68" s="158">
        <v>2120.06</v>
      </c>
      <c r="I68" s="158">
        <f t="shared" si="8"/>
        <v>8480.24</v>
      </c>
      <c r="J68" s="158">
        <f t="shared" si="3"/>
        <v>5310033.879999998</v>
      </c>
      <c r="K68" s="159">
        <f t="shared" ref="K68:K131" si="10">TRUNC(I68/$I$200,6)</f>
        <v>1.508E-3</v>
      </c>
      <c r="L68" s="159">
        <f t="shared" si="4"/>
        <v>0.94432000000000005</v>
      </c>
      <c r="M68" s="160" t="str">
        <f t="shared" si="9"/>
        <v>B</v>
      </c>
    </row>
    <row r="69" spans="2:13" hidden="1">
      <c r="B69" s="154" t="s">
        <v>92</v>
      </c>
      <c r="C69" s="154">
        <v>89865</v>
      </c>
      <c r="D69" s="155" t="s">
        <v>956</v>
      </c>
      <c r="E69" s="156" t="s">
        <v>363</v>
      </c>
      <c r="F69" s="154" t="s">
        <v>104</v>
      </c>
      <c r="G69" s="161">
        <f>Quantitativos!E357</f>
        <v>540.5</v>
      </c>
      <c r="H69" s="158">
        <v>15.63</v>
      </c>
      <c r="I69" s="158">
        <f t="shared" si="8"/>
        <v>8448.01</v>
      </c>
      <c r="J69" s="158">
        <f t="shared" ref="J69:J132" si="11">J68+I69</f>
        <v>5318481.8899999978</v>
      </c>
      <c r="K69" s="159">
        <f t="shared" si="10"/>
        <v>1.5020000000000001E-3</v>
      </c>
      <c r="L69" s="159">
        <f t="shared" ref="L69:L132" si="12">TRUNC(K69+L68,6)</f>
        <v>0.94582200000000005</v>
      </c>
      <c r="M69" s="160" t="str">
        <f t="shared" si="9"/>
        <v>B</v>
      </c>
    </row>
    <row r="70" spans="2:13" hidden="1">
      <c r="B70" s="154" t="s">
        <v>92</v>
      </c>
      <c r="C70" s="154">
        <v>90447</v>
      </c>
      <c r="D70" s="155" t="s">
        <v>864</v>
      </c>
      <c r="E70" s="156" t="str">
        <f>Quantitativos!A287</f>
        <v>Rasgo em alvenaria para passagens de eletrodutos</v>
      </c>
      <c r="F70" s="154" t="str">
        <f>Quantitativos!B287</f>
        <v>m</v>
      </c>
      <c r="G70" s="161">
        <f>Quantitativos!R287</f>
        <v>1069</v>
      </c>
      <c r="H70" s="158">
        <v>7.61</v>
      </c>
      <c r="I70" s="158">
        <f t="shared" si="8"/>
        <v>8135.09</v>
      </c>
      <c r="J70" s="158">
        <f t="shared" si="11"/>
        <v>5326616.9799999977</v>
      </c>
      <c r="K70" s="159">
        <f t="shared" si="10"/>
        <v>1.446E-3</v>
      </c>
      <c r="L70" s="159">
        <f t="shared" si="12"/>
        <v>0.947268</v>
      </c>
      <c r="M70" s="160" t="str">
        <f t="shared" si="9"/>
        <v>B</v>
      </c>
    </row>
    <row r="71" spans="2:13" hidden="1">
      <c r="B71" s="154" t="s">
        <v>92</v>
      </c>
      <c r="C71" s="154">
        <v>97087</v>
      </c>
      <c r="D71" s="155" t="s">
        <v>967</v>
      </c>
      <c r="E71" s="156" t="s">
        <v>432</v>
      </c>
      <c r="F71" s="154" t="s">
        <v>95</v>
      </c>
      <c r="G71" s="161">
        <f>Quantitativos!C368</f>
        <v>3010.4399999999996</v>
      </c>
      <c r="H71" s="158">
        <v>2.65</v>
      </c>
      <c r="I71" s="158">
        <f t="shared" si="8"/>
        <v>7977.66</v>
      </c>
      <c r="J71" s="158">
        <f t="shared" si="11"/>
        <v>5334594.6399999978</v>
      </c>
      <c r="K71" s="159">
        <f t="shared" si="10"/>
        <v>1.418E-3</v>
      </c>
      <c r="L71" s="159">
        <f t="shared" si="12"/>
        <v>0.94868600000000003</v>
      </c>
      <c r="M71" s="160" t="str">
        <f t="shared" si="9"/>
        <v>B</v>
      </c>
    </row>
    <row r="72" spans="2:13" hidden="1">
      <c r="B72" s="154" t="s">
        <v>92</v>
      </c>
      <c r="C72" s="154">
        <v>89712</v>
      </c>
      <c r="D72" s="155" t="s">
        <v>775</v>
      </c>
      <c r="E72" s="156" t="s">
        <v>307</v>
      </c>
      <c r="F72" s="154" t="s">
        <v>104</v>
      </c>
      <c r="G72" s="161">
        <f>Quantitativos!O230</f>
        <v>330</v>
      </c>
      <c r="H72" s="158">
        <v>23.41</v>
      </c>
      <c r="I72" s="158">
        <f t="shared" si="8"/>
        <v>7725.3</v>
      </c>
      <c r="J72" s="158">
        <f t="shared" si="11"/>
        <v>5342319.9399999976</v>
      </c>
      <c r="K72" s="159">
        <f t="shared" si="10"/>
        <v>1.3730000000000001E-3</v>
      </c>
      <c r="L72" s="159">
        <f t="shared" si="12"/>
        <v>0.95005899999999999</v>
      </c>
      <c r="M72" s="160" t="str">
        <f t="shared" si="9"/>
        <v>C</v>
      </c>
    </row>
    <row r="73" spans="2:13" hidden="1">
      <c r="B73" s="154" t="s">
        <v>92</v>
      </c>
      <c r="C73" s="154">
        <v>86889</v>
      </c>
      <c r="D73" s="155" t="s">
        <v>997</v>
      </c>
      <c r="E73" s="156" t="s">
        <v>998</v>
      </c>
      <c r="F73" s="154" t="s">
        <v>151</v>
      </c>
      <c r="G73" s="161">
        <f>Quantitativos!C422+Quantitativos!C423+Quantitativos!C424+Quantitativos!C425+Quantitativos!C426</f>
        <v>9</v>
      </c>
      <c r="H73" s="158">
        <v>836.88</v>
      </c>
      <c r="I73" s="158">
        <f t="shared" si="8"/>
        <v>7531.92</v>
      </c>
      <c r="J73" s="158">
        <f t="shared" si="11"/>
        <v>5349851.8599999975</v>
      </c>
      <c r="K73" s="159">
        <f t="shared" si="10"/>
        <v>1.3389999999999999E-3</v>
      </c>
      <c r="L73" s="159">
        <f t="shared" si="12"/>
        <v>0.95139799999999997</v>
      </c>
      <c r="M73" s="160" t="str">
        <f t="shared" si="9"/>
        <v>C</v>
      </c>
    </row>
    <row r="74" spans="2:13" hidden="1">
      <c r="B74" s="154" t="s">
        <v>92</v>
      </c>
      <c r="C74" s="154">
        <v>103782</v>
      </c>
      <c r="D74" s="155" t="s">
        <v>894</v>
      </c>
      <c r="E74" s="156" t="str">
        <f>Quantitativos!A302</f>
        <v>Luminárias</v>
      </c>
      <c r="F74" s="154" t="str">
        <f>Quantitativos!B302</f>
        <v>und</v>
      </c>
      <c r="G74" s="161">
        <f>Quantitativos!R302</f>
        <v>221</v>
      </c>
      <c r="H74" s="158">
        <v>32</v>
      </c>
      <c r="I74" s="158">
        <f t="shared" si="8"/>
        <v>7072</v>
      </c>
      <c r="J74" s="158">
        <f t="shared" si="11"/>
        <v>5356923.8599999975</v>
      </c>
      <c r="K74" s="159">
        <f t="shared" si="10"/>
        <v>1.2570000000000001E-3</v>
      </c>
      <c r="L74" s="159">
        <f t="shared" si="12"/>
        <v>0.95265500000000003</v>
      </c>
      <c r="M74" s="160" t="str">
        <f t="shared" si="9"/>
        <v>C</v>
      </c>
    </row>
    <row r="75" spans="2:13" hidden="1">
      <c r="B75" s="154" t="s">
        <v>92</v>
      </c>
      <c r="C75" s="154">
        <v>89987</v>
      </c>
      <c r="D75" s="155" t="s">
        <v>761</v>
      </c>
      <c r="E75" s="156" t="s">
        <v>287</v>
      </c>
      <c r="F75" s="154" t="s">
        <v>151</v>
      </c>
      <c r="G75" s="161">
        <f>Quantitativos!O208</f>
        <v>66</v>
      </c>
      <c r="H75" s="158">
        <v>105.3</v>
      </c>
      <c r="I75" s="158">
        <f t="shared" si="8"/>
        <v>6949.8</v>
      </c>
      <c r="J75" s="158">
        <f t="shared" si="11"/>
        <v>5363873.6599999974</v>
      </c>
      <c r="K75" s="159">
        <f t="shared" si="10"/>
        <v>1.235E-3</v>
      </c>
      <c r="L75" s="159">
        <f t="shared" si="12"/>
        <v>0.95389000000000002</v>
      </c>
      <c r="M75" s="160" t="str">
        <f t="shared" si="9"/>
        <v>C</v>
      </c>
    </row>
    <row r="76" spans="2:13" hidden="1">
      <c r="B76" s="154" t="s">
        <v>92</v>
      </c>
      <c r="C76" s="154">
        <v>91856</v>
      </c>
      <c r="D76" s="155" t="s">
        <v>866</v>
      </c>
      <c r="E76" s="156" t="str">
        <f>Quantitativos!A288</f>
        <v>Eletroduto flexível Ø32mm</v>
      </c>
      <c r="F76" s="154" t="str">
        <f>Quantitativos!B288</f>
        <v>m</v>
      </c>
      <c r="G76" s="161">
        <f>Quantitativos!R288</f>
        <v>579.5</v>
      </c>
      <c r="H76" s="158">
        <v>11.88</v>
      </c>
      <c r="I76" s="158">
        <f t="shared" si="8"/>
        <v>6884.46</v>
      </c>
      <c r="J76" s="158">
        <f t="shared" si="11"/>
        <v>5370758.1199999973</v>
      </c>
      <c r="K76" s="159">
        <f t="shared" si="10"/>
        <v>1.224E-3</v>
      </c>
      <c r="L76" s="159">
        <f t="shared" si="12"/>
        <v>0.95511400000000002</v>
      </c>
      <c r="M76" s="160" t="str">
        <f t="shared" si="9"/>
        <v>C</v>
      </c>
    </row>
    <row r="77" spans="2:13" hidden="1">
      <c r="B77" s="154" t="s">
        <v>92</v>
      </c>
      <c r="C77" s="154">
        <v>100702</v>
      </c>
      <c r="D77" s="155" t="s">
        <v>1031</v>
      </c>
      <c r="E77" s="156" t="s">
        <v>1032</v>
      </c>
      <c r="F77" s="154" t="s">
        <v>95</v>
      </c>
      <c r="G77" s="161">
        <f>Quantitativos!I439*8*2.1</f>
        <v>16.8</v>
      </c>
      <c r="H77" s="158">
        <v>394.82</v>
      </c>
      <c r="I77" s="158">
        <f t="shared" si="8"/>
        <v>6632.97</v>
      </c>
      <c r="J77" s="158">
        <f t="shared" si="11"/>
        <v>5377391.0899999971</v>
      </c>
      <c r="K77" s="159">
        <f t="shared" si="10"/>
        <v>1.1789999999999999E-3</v>
      </c>
      <c r="L77" s="159">
        <f t="shared" si="12"/>
        <v>0.95629299999999995</v>
      </c>
      <c r="M77" s="160" t="str">
        <f t="shared" si="9"/>
        <v>C</v>
      </c>
    </row>
    <row r="78" spans="2:13" hidden="1">
      <c r="B78" s="154" t="s">
        <v>92</v>
      </c>
      <c r="C78" s="154">
        <v>89356</v>
      </c>
      <c r="D78" s="155" t="s">
        <v>709</v>
      </c>
      <c r="E78" s="156" t="s">
        <v>251</v>
      </c>
      <c r="F78" s="154" t="s">
        <v>104</v>
      </c>
      <c r="G78" s="161">
        <f>Quantitativos!O175</f>
        <v>302.45999999999998</v>
      </c>
      <c r="H78" s="158">
        <v>21.51</v>
      </c>
      <c r="I78" s="158">
        <f t="shared" si="8"/>
        <v>6505.91</v>
      </c>
      <c r="J78" s="158">
        <f t="shared" si="11"/>
        <v>5383896.9999999972</v>
      </c>
      <c r="K78" s="159">
        <f t="shared" si="10"/>
        <v>1.157E-3</v>
      </c>
      <c r="L78" s="159">
        <f t="shared" si="12"/>
        <v>0.95745000000000002</v>
      </c>
      <c r="M78" s="160" t="str">
        <f t="shared" si="9"/>
        <v>C</v>
      </c>
    </row>
    <row r="79" spans="2:13" hidden="1">
      <c r="B79" s="154" t="s">
        <v>92</v>
      </c>
      <c r="C79" s="154">
        <v>91959</v>
      </c>
      <c r="D79" s="155" t="s">
        <v>892</v>
      </c>
      <c r="E79" s="156" t="str">
        <f>Quantitativos!A301</f>
        <v>Interruptores</v>
      </c>
      <c r="F79" s="154" t="str">
        <f>Quantitativos!B301</f>
        <v>und</v>
      </c>
      <c r="G79" s="161">
        <f>Quantitativos!R301</f>
        <v>137</v>
      </c>
      <c r="H79" s="158">
        <v>46.59</v>
      </c>
      <c r="I79" s="158">
        <f t="shared" si="8"/>
        <v>6382.83</v>
      </c>
      <c r="J79" s="158">
        <f t="shared" si="11"/>
        <v>5390279.8299999973</v>
      </c>
      <c r="K79" s="159">
        <f t="shared" si="10"/>
        <v>1.1349999999999999E-3</v>
      </c>
      <c r="L79" s="159">
        <f t="shared" si="12"/>
        <v>0.95858500000000002</v>
      </c>
      <c r="M79" s="160" t="str">
        <f t="shared" si="9"/>
        <v>C</v>
      </c>
    </row>
    <row r="80" spans="2:13" hidden="1">
      <c r="B80" s="154" t="s">
        <v>92</v>
      </c>
      <c r="C80" s="154">
        <v>92984</v>
      </c>
      <c r="D80" s="155" t="s">
        <v>878</v>
      </c>
      <c r="E80" s="156" t="str">
        <f>Quantitativos!A294</f>
        <v>Cabo flexível 25mm2</v>
      </c>
      <c r="F80" s="154" t="str">
        <f>Quantitativos!B294</f>
        <v>m</v>
      </c>
      <c r="G80" s="161">
        <f>Quantitativos!R294</f>
        <v>207</v>
      </c>
      <c r="H80" s="158">
        <v>29.72</v>
      </c>
      <c r="I80" s="158">
        <f t="shared" si="8"/>
        <v>6152.04</v>
      </c>
      <c r="J80" s="158">
        <f t="shared" si="11"/>
        <v>5396431.8699999973</v>
      </c>
      <c r="K80" s="159">
        <f t="shared" si="10"/>
        <v>1.0939999999999999E-3</v>
      </c>
      <c r="L80" s="159">
        <f t="shared" si="12"/>
        <v>0.95967899999999995</v>
      </c>
      <c r="M80" s="160" t="str">
        <f t="shared" si="9"/>
        <v>C</v>
      </c>
    </row>
    <row r="81" spans="2:13" hidden="1">
      <c r="B81" s="154" t="s">
        <v>92</v>
      </c>
      <c r="C81" s="154">
        <v>94569</v>
      </c>
      <c r="D81" s="155" t="s">
        <v>1027</v>
      </c>
      <c r="E81" s="156" t="s">
        <v>1028</v>
      </c>
      <c r="F81" s="154" t="s">
        <v>95</v>
      </c>
      <c r="G81" s="161">
        <f>Quantitativos!G439*1*1</f>
        <v>9</v>
      </c>
      <c r="H81" s="158">
        <v>674.94</v>
      </c>
      <c r="I81" s="158">
        <f t="shared" si="8"/>
        <v>6074.46</v>
      </c>
      <c r="J81" s="158">
        <f t="shared" si="11"/>
        <v>5402506.3299999973</v>
      </c>
      <c r="K81" s="159">
        <f t="shared" si="10"/>
        <v>1.08E-3</v>
      </c>
      <c r="L81" s="159">
        <f t="shared" si="12"/>
        <v>0.96075900000000003</v>
      </c>
      <c r="M81" s="160" t="str">
        <f t="shared" si="9"/>
        <v>C</v>
      </c>
    </row>
    <row r="82" spans="2:13" hidden="1">
      <c r="B82" s="154" t="s">
        <v>832</v>
      </c>
      <c r="C82" s="154" t="s">
        <v>1076</v>
      </c>
      <c r="D82" s="155" t="s">
        <v>1077</v>
      </c>
      <c r="E82" s="156" t="s">
        <v>1078</v>
      </c>
      <c r="F82" s="154" t="s">
        <v>151</v>
      </c>
      <c r="G82" s="161">
        <f>Quantitativos!E493</f>
        <v>56</v>
      </c>
      <c r="H82" s="158">
        <v>107.84</v>
      </c>
      <c r="I82" s="158">
        <f t="shared" si="8"/>
        <v>6039.04</v>
      </c>
      <c r="J82" s="158">
        <f t="shared" si="11"/>
        <v>5408545.3699999973</v>
      </c>
      <c r="K82" s="159">
        <f t="shared" si="10"/>
        <v>1.073E-3</v>
      </c>
      <c r="L82" s="159">
        <f t="shared" si="12"/>
        <v>0.96183200000000002</v>
      </c>
      <c r="M82" s="160" t="str">
        <f t="shared" si="9"/>
        <v>C</v>
      </c>
    </row>
    <row r="83" spans="2:13" hidden="1">
      <c r="B83" s="154" t="s">
        <v>92</v>
      </c>
      <c r="C83" s="154">
        <v>91338</v>
      </c>
      <c r="D83" s="155" t="s">
        <v>1036</v>
      </c>
      <c r="E83" s="156" t="s">
        <v>1037</v>
      </c>
      <c r="F83" s="154" t="s">
        <v>95</v>
      </c>
      <c r="G83" s="161">
        <f>Quantitativos!K439</f>
        <v>8</v>
      </c>
      <c r="H83" s="158">
        <v>745.63</v>
      </c>
      <c r="I83" s="158">
        <f t="shared" si="8"/>
        <v>5965.04</v>
      </c>
      <c r="J83" s="158">
        <f t="shared" si="11"/>
        <v>5414510.4099999974</v>
      </c>
      <c r="K83" s="159">
        <f t="shared" si="10"/>
        <v>1.06E-3</v>
      </c>
      <c r="L83" s="159">
        <f t="shared" si="12"/>
        <v>0.96289199999999997</v>
      </c>
      <c r="M83" s="160" t="str">
        <f t="shared" si="9"/>
        <v>C</v>
      </c>
    </row>
    <row r="84" spans="2:13" hidden="1">
      <c r="B84" s="154" t="s">
        <v>92</v>
      </c>
      <c r="C84" s="154">
        <v>94273</v>
      </c>
      <c r="D84" s="155" t="s">
        <v>979</v>
      </c>
      <c r="E84" s="156" t="s">
        <v>980</v>
      </c>
      <c r="F84" s="154" t="s">
        <v>95</v>
      </c>
      <c r="G84" s="161">
        <f>Quantitativos!G368</f>
        <v>155.69999999999999</v>
      </c>
      <c r="H84" s="158">
        <v>38.29</v>
      </c>
      <c r="I84" s="158">
        <f t="shared" si="8"/>
        <v>5961.75</v>
      </c>
      <c r="J84" s="158">
        <f t="shared" si="11"/>
        <v>5420472.1599999974</v>
      </c>
      <c r="K84" s="159">
        <f t="shared" si="10"/>
        <v>1.06E-3</v>
      </c>
      <c r="L84" s="159">
        <f t="shared" si="12"/>
        <v>0.96395200000000003</v>
      </c>
      <c r="M84" s="160" t="str">
        <f t="shared" si="9"/>
        <v>C</v>
      </c>
    </row>
    <row r="85" spans="2:13" hidden="1">
      <c r="B85" s="154" t="s">
        <v>92</v>
      </c>
      <c r="C85" s="154">
        <v>95543</v>
      </c>
      <c r="D85" s="155" t="s">
        <v>1089</v>
      </c>
      <c r="E85" s="156" t="s">
        <v>1090</v>
      </c>
      <c r="F85" s="154" t="s">
        <v>151</v>
      </c>
      <c r="G85" s="161">
        <f>Quantitativos!I493</f>
        <v>56</v>
      </c>
      <c r="H85" s="158">
        <v>106.28</v>
      </c>
      <c r="I85" s="158">
        <f t="shared" si="8"/>
        <v>5951.68</v>
      </c>
      <c r="J85" s="158">
        <f t="shared" si="11"/>
        <v>5426423.8399999971</v>
      </c>
      <c r="K85" s="159">
        <f t="shared" si="10"/>
        <v>1.0579999999999999E-3</v>
      </c>
      <c r="L85" s="159">
        <f t="shared" si="12"/>
        <v>0.96501000000000003</v>
      </c>
      <c r="M85" s="160" t="str">
        <f t="shared" si="9"/>
        <v>C</v>
      </c>
    </row>
    <row r="86" spans="2:13" hidden="1">
      <c r="B86" s="154" t="s">
        <v>92</v>
      </c>
      <c r="C86" s="154">
        <v>98556</v>
      </c>
      <c r="D86" s="155" t="s">
        <v>680</v>
      </c>
      <c r="E86" s="156" t="s">
        <v>681</v>
      </c>
      <c r="F86" s="154" t="s">
        <v>95</v>
      </c>
      <c r="G86" s="161">
        <f>Quantitativos!G130</f>
        <v>81.25</v>
      </c>
      <c r="H86" s="158">
        <v>69.849999999999994</v>
      </c>
      <c r="I86" s="158">
        <f t="shared" si="8"/>
        <v>5675.31</v>
      </c>
      <c r="J86" s="158">
        <f t="shared" si="11"/>
        <v>5432099.1499999966</v>
      </c>
      <c r="K86" s="159">
        <f t="shared" si="10"/>
        <v>1.0089999999999999E-3</v>
      </c>
      <c r="L86" s="159">
        <f t="shared" si="12"/>
        <v>0.96601899999999996</v>
      </c>
      <c r="M86" s="160" t="str">
        <f t="shared" si="9"/>
        <v>C</v>
      </c>
    </row>
    <row r="87" spans="2:13" hidden="1">
      <c r="B87" s="154" t="s">
        <v>92</v>
      </c>
      <c r="C87" s="154">
        <v>91924</v>
      </c>
      <c r="D87" s="155" t="s">
        <v>888</v>
      </c>
      <c r="E87" s="156" t="str">
        <f>Quantitativos!A299</f>
        <v>Cabo flexível 1,5mm2</v>
      </c>
      <c r="F87" s="154" t="str">
        <f>Quantitativos!B299</f>
        <v>m</v>
      </c>
      <c r="G87" s="161">
        <f>Quantitativos!R299</f>
        <v>1862</v>
      </c>
      <c r="H87" s="158">
        <v>3.04</v>
      </c>
      <c r="I87" s="158">
        <f t="shared" si="8"/>
        <v>5660.48</v>
      </c>
      <c r="J87" s="158">
        <f t="shared" si="11"/>
        <v>5437759.6299999971</v>
      </c>
      <c r="K87" s="159">
        <f t="shared" si="10"/>
        <v>1.0059999999999999E-3</v>
      </c>
      <c r="L87" s="159">
        <f t="shared" si="12"/>
        <v>0.96702500000000002</v>
      </c>
      <c r="M87" s="160" t="str">
        <f t="shared" si="9"/>
        <v>C</v>
      </c>
    </row>
    <row r="88" spans="2:13" hidden="1">
      <c r="B88" s="154" t="s">
        <v>92</v>
      </c>
      <c r="C88" s="154">
        <v>89985</v>
      </c>
      <c r="D88" s="155" t="s">
        <v>763</v>
      </c>
      <c r="E88" s="156" t="s">
        <v>288</v>
      </c>
      <c r="F88" s="154" t="s">
        <v>151</v>
      </c>
      <c r="G88" s="161">
        <f>Quantitativos!O209</f>
        <v>56</v>
      </c>
      <c r="H88" s="158">
        <v>99.9</v>
      </c>
      <c r="I88" s="158">
        <f t="shared" si="8"/>
        <v>5594.4</v>
      </c>
      <c r="J88" s="158">
        <f t="shared" si="11"/>
        <v>5443354.0299999975</v>
      </c>
      <c r="K88" s="159">
        <f t="shared" si="10"/>
        <v>9.9400000000000009E-4</v>
      </c>
      <c r="L88" s="159">
        <f t="shared" si="12"/>
        <v>0.96801899999999996</v>
      </c>
      <c r="M88" s="160" t="str">
        <f t="shared" si="9"/>
        <v>C</v>
      </c>
    </row>
    <row r="89" spans="2:13" hidden="1">
      <c r="B89" s="154" t="s">
        <v>92</v>
      </c>
      <c r="C89" s="154">
        <v>99803</v>
      </c>
      <c r="D89" s="155" t="s">
        <v>1102</v>
      </c>
      <c r="E89" s="156" t="s">
        <v>1103</v>
      </c>
      <c r="F89" s="154" t="s">
        <v>95</v>
      </c>
      <c r="G89" s="161">
        <f>Quantitativos!D557</f>
        <v>2789.26</v>
      </c>
      <c r="H89" s="158">
        <v>2</v>
      </c>
      <c r="I89" s="158">
        <f t="shared" si="8"/>
        <v>5578.52</v>
      </c>
      <c r="J89" s="158">
        <f t="shared" si="11"/>
        <v>5448932.549999997</v>
      </c>
      <c r="K89" s="159">
        <f t="shared" si="10"/>
        <v>9.9200000000000004E-4</v>
      </c>
      <c r="L89" s="159">
        <f t="shared" si="12"/>
        <v>0.96901099999999996</v>
      </c>
      <c r="M89" s="160" t="str">
        <f t="shared" si="9"/>
        <v>C</v>
      </c>
    </row>
    <row r="90" spans="2:13" hidden="1">
      <c r="B90" s="154" t="s">
        <v>92</v>
      </c>
      <c r="C90" s="154">
        <v>95544</v>
      </c>
      <c r="D90" s="155" t="s">
        <v>1083</v>
      </c>
      <c r="E90" s="156" t="s">
        <v>1084</v>
      </c>
      <c r="F90" s="154" t="s">
        <v>151</v>
      </c>
      <c r="G90" s="161">
        <f>Quantitativos!G493</f>
        <v>66</v>
      </c>
      <c r="H90" s="158">
        <v>82.5</v>
      </c>
      <c r="I90" s="158">
        <f t="shared" si="8"/>
        <v>5445</v>
      </c>
      <c r="J90" s="158">
        <f t="shared" si="11"/>
        <v>5454377.549999997</v>
      </c>
      <c r="K90" s="159">
        <f t="shared" si="10"/>
        <v>9.68E-4</v>
      </c>
      <c r="L90" s="159">
        <f t="shared" si="12"/>
        <v>0.96997900000000004</v>
      </c>
      <c r="M90" s="160" t="str">
        <f t="shared" si="9"/>
        <v>C</v>
      </c>
    </row>
    <row r="91" spans="2:13" hidden="1">
      <c r="B91" s="154" t="s">
        <v>92</v>
      </c>
      <c r="C91" s="154">
        <v>86906</v>
      </c>
      <c r="D91" s="155" t="s">
        <v>1080</v>
      </c>
      <c r="E91" s="156" t="s">
        <v>1081</v>
      </c>
      <c r="F91" s="154" t="s">
        <v>151</v>
      </c>
      <c r="G91" s="161">
        <f>Quantitativos!F493</f>
        <v>69</v>
      </c>
      <c r="H91" s="158">
        <v>78.72</v>
      </c>
      <c r="I91" s="158">
        <f t="shared" si="8"/>
        <v>5431.68</v>
      </c>
      <c r="J91" s="158">
        <f t="shared" si="11"/>
        <v>5459809.2299999967</v>
      </c>
      <c r="K91" s="159">
        <f t="shared" si="10"/>
        <v>9.6500000000000004E-4</v>
      </c>
      <c r="L91" s="159">
        <f t="shared" si="12"/>
        <v>0.97094400000000003</v>
      </c>
      <c r="M91" s="160" t="str">
        <f t="shared" si="9"/>
        <v>C</v>
      </c>
    </row>
    <row r="92" spans="2:13" hidden="1">
      <c r="B92" s="154" t="s">
        <v>92</v>
      </c>
      <c r="C92" s="154">
        <v>89707</v>
      </c>
      <c r="D92" s="155" t="s">
        <v>813</v>
      </c>
      <c r="E92" s="156" t="s">
        <v>343</v>
      </c>
      <c r="F92" s="154" t="s">
        <v>151</v>
      </c>
      <c r="G92" s="161">
        <f>Quantitativos!O256</f>
        <v>120</v>
      </c>
      <c r="H92" s="158">
        <v>45</v>
      </c>
      <c r="I92" s="158">
        <f t="shared" si="8"/>
        <v>5400</v>
      </c>
      <c r="J92" s="158">
        <f t="shared" si="11"/>
        <v>5465209.2299999967</v>
      </c>
      <c r="K92" s="159">
        <f t="shared" si="10"/>
        <v>9.6000000000000002E-4</v>
      </c>
      <c r="L92" s="159">
        <f t="shared" si="12"/>
        <v>0.97190399999999999</v>
      </c>
      <c r="M92" s="160" t="str">
        <f t="shared" si="9"/>
        <v>C</v>
      </c>
    </row>
    <row r="93" spans="2:13" hidden="1">
      <c r="B93" s="154" t="s">
        <v>92</v>
      </c>
      <c r="C93" s="154">
        <v>91940</v>
      </c>
      <c r="D93" s="155" t="s">
        <v>874</v>
      </c>
      <c r="E93" s="156" t="str">
        <f>Quantitativos!A292</f>
        <v>Caixa de Passagem 4"x2"</v>
      </c>
      <c r="F93" s="154" t="str">
        <f>Quantitativos!B292</f>
        <v>und</v>
      </c>
      <c r="G93" s="161">
        <f>Quantitativos!R292</f>
        <v>300</v>
      </c>
      <c r="H93" s="158">
        <v>17.21</v>
      </c>
      <c r="I93" s="158">
        <f t="shared" si="8"/>
        <v>5163</v>
      </c>
      <c r="J93" s="158">
        <f t="shared" si="11"/>
        <v>5470372.2299999967</v>
      </c>
      <c r="K93" s="159">
        <f t="shared" si="10"/>
        <v>9.1799999999999998E-4</v>
      </c>
      <c r="L93" s="159">
        <f t="shared" si="12"/>
        <v>0.97282199999999996</v>
      </c>
      <c r="M93" s="160" t="str">
        <f t="shared" si="9"/>
        <v>C</v>
      </c>
    </row>
    <row r="94" spans="2:13" hidden="1">
      <c r="B94" s="154" t="s">
        <v>92</v>
      </c>
      <c r="C94" s="154">
        <v>101876</v>
      </c>
      <c r="D94" s="155" t="s">
        <v>898</v>
      </c>
      <c r="E94" s="156" t="str">
        <f>Quantitativos!A304</f>
        <v>Quadro</v>
      </c>
      <c r="F94" s="154" t="str">
        <f>Quantitativos!B304</f>
        <v>und</v>
      </c>
      <c r="G94" s="161">
        <f>Quantitativos!R304</f>
        <v>54</v>
      </c>
      <c r="H94" s="158">
        <v>90.8</v>
      </c>
      <c r="I94" s="158">
        <f t="shared" si="8"/>
        <v>4903.2</v>
      </c>
      <c r="J94" s="158">
        <f t="shared" si="11"/>
        <v>5475275.4299999969</v>
      </c>
      <c r="K94" s="159">
        <f t="shared" si="10"/>
        <v>8.7100000000000003E-4</v>
      </c>
      <c r="L94" s="159">
        <f t="shared" si="12"/>
        <v>0.97369300000000003</v>
      </c>
      <c r="M94" s="160" t="str">
        <f t="shared" si="9"/>
        <v>C</v>
      </c>
    </row>
    <row r="95" spans="2:13" hidden="1">
      <c r="B95" s="154" t="s">
        <v>92</v>
      </c>
      <c r="C95" s="154">
        <v>92554</v>
      </c>
      <c r="D95" s="155" t="s">
        <v>694</v>
      </c>
      <c r="E95" s="156" t="s">
        <v>695</v>
      </c>
      <c r="F95" s="154" t="s">
        <v>151</v>
      </c>
      <c r="G95" s="161">
        <v>2</v>
      </c>
      <c r="H95" s="158">
        <v>2417.54</v>
      </c>
      <c r="I95" s="158">
        <f t="shared" si="8"/>
        <v>4835.08</v>
      </c>
      <c r="J95" s="158">
        <f t="shared" si="11"/>
        <v>5480110.509999997</v>
      </c>
      <c r="K95" s="159">
        <f t="shared" si="10"/>
        <v>8.5899999999999995E-4</v>
      </c>
      <c r="L95" s="159">
        <f t="shared" si="12"/>
        <v>0.97455199999999997</v>
      </c>
      <c r="M95" s="160" t="str">
        <f t="shared" si="9"/>
        <v>C</v>
      </c>
    </row>
    <row r="96" spans="2:13" hidden="1">
      <c r="B96" s="154" t="s">
        <v>92</v>
      </c>
      <c r="C96" s="154">
        <v>91863</v>
      </c>
      <c r="D96" s="155" t="s">
        <v>872</v>
      </c>
      <c r="E96" s="156" t="str">
        <f>Quantitativos!A291</f>
        <v>Eletroduto rígido Ø25mm</v>
      </c>
      <c r="F96" s="154" t="str">
        <f>Quantitativos!B291</f>
        <v>m</v>
      </c>
      <c r="G96" s="161">
        <f>Quantitativos!R291</f>
        <v>437</v>
      </c>
      <c r="H96" s="158">
        <v>10.97</v>
      </c>
      <c r="I96" s="158">
        <f t="shared" si="8"/>
        <v>4793.8900000000003</v>
      </c>
      <c r="J96" s="158">
        <f t="shared" si="11"/>
        <v>5484904.3999999966</v>
      </c>
      <c r="K96" s="159">
        <f t="shared" si="10"/>
        <v>8.52E-4</v>
      </c>
      <c r="L96" s="159">
        <f t="shared" si="12"/>
        <v>0.97540400000000005</v>
      </c>
      <c r="M96" s="160" t="str">
        <f t="shared" si="9"/>
        <v>C</v>
      </c>
    </row>
    <row r="97" spans="2:13" hidden="1">
      <c r="B97" s="154" t="s">
        <v>92</v>
      </c>
      <c r="C97" s="154">
        <v>91930</v>
      </c>
      <c r="D97" s="155" t="s">
        <v>882</v>
      </c>
      <c r="E97" s="156" t="str">
        <f>Quantitativos!A296</f>
        <v>Cabo flexível 6mm2</v>
      </c>
      <c r="F97" s="154" t="str">
        <f>Quantitativos!B296</f>
        <v>m</v>
      </c>
      <c r="G97" s="161">
        <f>Quantitativos!R296</f>
        <v>468</v>
      </c>
      <c r="H97" s="158">
        <v>9.75</v>
      </c>
      <c r="I97" s="158">
        <f t="shared" si="8"/>
        <v>4563</v>
      </c>
      <c r="J97" s="158">
        <f t="shared" si="11"/>
        <v>5489467.3999999966</v>
      </c>
      <c r="K97" s="159">
        <f t="shared" si="10"/>
        <v>8.1099999999999998E-4</v>
      </c>
      <c r="L97" s="159">
        <f t="shared" si="12"/>
        <v>0.97621500000000005</v>
      </c>
      <c r="M97" s="160" t="str">
        <f t="shared" si="9"/>
        <v>C</v>
      </c>
    </row>
    <row r="98" spans="2:13" hidden="1">
      <c r="B98" s="154" t="s">
        <v>92</v>
      </c>
      <c r="C98" s="154">
        <v>94569</v>
      </c>
      <c r="D98" s="155" t="s">
        <v>1029</v>
      </c>
      <c r="E98" s="156" t="s">
        <v>1030</v>
      </c>
      <c r="F98" s="154" t="s">
        <v>95</v>
      </c>
      <c r="G98" s="161">
        <f>Quantitativos!H439*1.2*0.4</f>
        <v>6.7200000000000006</v>
      </c>
      <c r="H98" s="158">
        <v>674.94</v>
      </c>
      <c r="I98" s="158">
        <f t="shared" si="8"/>
        <v>4535.59</v>
      </c>
      <c r="J98" s="158">
        <f t="shared" si="11"/>
        <v>5494002.9899999965</v>
      </c>
      <c r="K98" s="159">
        <f t="shared" si="10"/>
        <v>8.0599999999999997E-4</v>
      </c>
      <c r="L98" s="159">
        <f t="shared" si="12"/>
        <v>0.97702100000000003</v>
      </c>
      <c r="M98" s="160" t="str">
        <f t="shared" si="9"/>
        <v>C</v>
      </c>
    </row>
    <row r="99" spans="2:13" hidden="1">
      <c r="B99" s="154" t="s">
        <v>92</v>
      </c>
      <c r="C99" s="154">
        <v>99260</v>
      </c>
      <c r="D99" s="155" t="s">
        <v>826</v>
      </c>
      <c r="E99" s="156" t="s">
        <v>345</v>
      </c>
      <c r="F99" s="154" t="s">
        <v>151</v>
      </c>
      <c r="G99" s="161">
        <f>Quantitativos!O270</f>
        <v>10</v>
      </c>
      <c r="H99" s="158">
        <v>429.87</v>
      </c>
      <c r="I99" s="158">
        <f t="shared" ref="I99:I130" si="13">TRUNC(G99*H99,2)</f>
        <v>4298.7</v>
      </c>
      <c r="J99" s="158">
        <f t="shared" si="11"/>
        <v>5498301.6899999967</v>
      </c>
      <c r="K99" s="159">
        <f t="shared" si="10"/>
        <v>7.6400000000000003E-4</v>
      </c>
      <c r="L99" s="159">
        <f t="shared" si="12"/>
        <v>0.97778500000000002</v>
      </c>
      <c r="M99" s="160" t="str">
        <f t="shared" ref="M99:M130" si="14">IF(L99&lt;=$P$3,"A",IF(L99&lt;=$P$4,"B","C"))</f>
        <v>C</v>
      </c>
    </row>
    <row r="100" spans="2:13" hidden="1">
      <c r="B100" s="154" t="s">
        <v>92</v>
      </c>
      <c r="C100" s="154">
        <v>89403</v>
      </c>
      <c r="D100" s="155" t="s">
        <v>707</v>
      </c>
      <c r="E100" s="156" t="s">
        <v>250</v>
      </c>
      <c r="F100" s="154" t="s">
        <v>104</v>
      </c>
      <c r="G100" s="161">
        <f>Quantitativos!O174</f>
        <v>241</v>
      </c>
      <c r="H100" s="158">
        <v>17.13</v>
      </c>
      <c r="I100" s="158">
        <f t="shared" si="13"/>
        <v>4128.33</v>
      </c>
      <c r="J100" s="158">
        <f t="shared" si="11"/>
        <v>5502430.0199999968</v>
      </c>
      <c r="K100" s="159">
        <f t="shared" si="10"/>
        <v>7.3399999999999995E-4</v>
      </c>
      <c r="L100" s="159">
        <f t="shared" si="12"/>
        <v>0.97851900000000003</v>
      </c>
      <c r="M100" s="160" t="str">
        <f t="shared" si="14"/>
        <v>C</v>
      </c>
    </row>
    <row r="101" spans="2:13" hidden="1">
      <c r="B101" s="154" t="s">
        <v>92</v>
      </c>
      <c r="C101" s="154">
        <v>95542</v>
      </c>
      <c r="D101" s="155" t="s">
        <v>1086</v>
      </c>
      <c r="E101" s="156" t="s">
        <v>1087</v>
      </c>
      <c r="F101" s="154" t="s">
        <v>151</v>
      </c>
      <c r="G101" s="161">
        <f>Quantitativos!H493</f>
        <v>63</v>
      </c>
      <c r="H101" s="158">
        <v>65.39</v>
      </c>
      <c r="I101" s="158">
        <f t="shared" si="13"/>
        <v>4119.57</v>
      </c>
      <c r="J101" s="158">
        <f t="shared" si="11"/>
        <v>5506549.5899999971</v>
      </c>
      <c r="K101" s="159">
        <f t="shared" si="10"/>
        <v>7.3200000000000001E-4</v>
      </c>
      <c r="L101" s="159">
        <f t="shared" si="12"/>
        <v>0.97925099999999998</v>
      </c>
      <c r="M101" s="160" t="str">
        <f t="shared" si="14"/>
        <v>C</v>
      </c>
    </row>
    <row r="102" spans="2:13" hidden="1">
      <c r="B102" s="154" t="s">
        <v>92</v>
      </c>
      <c r="C102" s="154">
        <v>89731</v>
      </c>
      <c r="D102" s="155" t="s">
        <v>791</v>
      </c>
      <c r="E102" s="156" t="s">
        <v>322</v>
      </c>
      <c r="F102" s="154" t="s">
        <v>151</v>
      </c>
      <c r="G102" s="161">
        <f>Quantitativos!O241</f>
        <v>264</v>
      </c>
      <c r="H102" s="158">
        <v>14.35</v>
      </c>
      <c r="I102" s="158">
        <f t="shared" si="13"/>
        <v>3788.4</v>
      </c>
      <c r="J102" s="158">
        <f t="shared" si="11"/>
        <v>5510337.9899999974</v>
      </c>
      <c r="K102" s="159">
        <f t="shared" si="10"/>
        <v>6.7299999999999999E-4</v>
      </c>
      <c r="L102" s="159">
        <f t="shared" si="12"/>
        <v>0.97992400000000002</v>
      </c>
      <c r="M102" s="160" t="str">
        <f t="shared" si="14"/>
        <v>C</v>
      </c>
    </row>
    <row r="103" spans="2:13" hidden="1">
      <c r="B103" s="154" t="s">
        <v>92</v>
      </c>
      <c r="C103" s="154">
        <v>92268</v>
      </c>
      <c r="D103" s="155" t="s">
        <v>673</v>
      </c>
      <c r="E103" s="156" t="s">
        <v>674</v>
      </c>
      <c r="F103" s="154" t="s">
        <v>95</v>
      </c>
      <c r="G103" s="161">
        <f>Quantitativos!G108</f>
        <v>34</v>
      </c>
      <c r="H103" s="158">
        <v>111.19</v>
      </c>
      <c r="I103" s="158">
        <f t="shared" si="13"/>
        <v>3780.46</v>
      </c>
      <c r="J103" s="158">
        <f t="shared" si="11"/>
        <v>5514118.4499999974</v>
      </c>
      <c r="K103" s="159">
        <f t="shared" si="10"/>
        <v>6.7199999999999996E-4</v>
      </c>
      <c r="L103" s="159">
        <f t="shared" si="12"/>
        <v>0.98059600000000002</v>
      </c>
      <c r="M103" s="160" t="str">
        <f t="shared" si="14"/>
        <v>C</v>
      </c>
    </row>
    <row r="104" spans="2:13" hidden="1">
      <c r="B104" s="154" t="s">
        <v>92</v>
      </c>
      <c r="C104" s="154">
        <v>93008</v>
      </c>
      <c r="D104" s="155" t="s">
        <v>924</v>
      </c>
      <c r="E104" s="156" t="s">
        <v>373</v>
      </c>
      <c r="F104" s="154" t="s">
        <v>104</v>
      </c>
      <c r="G104" s="161">
        <f>Quantitativos!R314</f>
        <v>186</v>
      </c>
      <c r="H104" s="158">
        <v>18.399999999999999</v>
      </c>
      <c r="I104" s="158">
        <f t="shared" si="13"/>
        <v>3422.4</v>
      </c>
      <c r="J104" s="158">
        <f t="shared" si="11"/>
        <v>5517540.8499999978</v>
      </c>
      <c r="K104" s="159">
        <f t="shared" si="10"/>
        <v>6.0800000000000003E-4</v>
      </c>
      <c r="L104" s="159">
        <f t="shared" si="12"/>
        <v>0.98120399999999997</v>
      </c>
      <c r="M104" s="160" t="str">
        <f t="shared" si="14"/>
        <v>C</v>
      </c>
    </row>
    <row r="105" spans="2:13" hidden="1">
      <c r="B105" s="154" t="s">
        <v>92</v>
      </c>
      <c r="C105" s="154">
        <v>101909</v>
      </c>
      <c r="D105" s="155" t="s">
        <v>830</v>
      </c>
      <c r="E105" s="156" t="s">
        <v>358</v>
      </c>
      <c r="F105" s="154" t="s">
        <v>151</v>
      </c>
      <c r="G105" s="161">
        <f>Quantitativos!B277</f>
        <v>12</v>
      </c>
      <c r="H105" s="158">
        <v>272.33999999999997</v>
      </c>
      <c r="I105" s="158">
        <f t="shared" si="13"/>
        <v>3268.08</v>
      </c>
      <c r="J105" s="158">
        <f t="shared" si="11"/>
        <v>5520808.9299999978</v>
      </c>
      <c r="K105" s="159">
        <f t="shared" si="10"/>
        <v>5.8100000000000003E-4</v>
      </c>
      <c r="L105" s="159">
        <f t="shared" si="12"/>
        <v>0.98178500000000002</v>
      </c>
      <c r="M105" s="160" t="str">
        <f t="shared" si="14"/>
        <v>C</v>
      </c>
    </row>
    <row r="106" spans="2:13" hidden="1">
      <c r="B106" s="154" t="s">
        <v>92</v>
      </c>
      <c r="C106" s="154">
        <v>3806402</v>
      </c>
      <c r="D106" s="155" t="s">
        <v>1096</v>
      </c>
      <c r="E106" s="156" t="s">
        <v>1097</v>
      </c>
      <c r="F106" s="154" t="s">
        <v>95</v>
      </c>
      <c r="G106" s="161">
        <f>Quantitativos!C557+Quantitativos!C559</f>
        <v>1417.95</v>
      </c>
      <c r="H106" s="158">
        <v>2.27</v>
      </c>
      <c r="I106" s="158">
        <f t="shared" si="13"/>
        <v>3218.74</v>
      </c>
      <c r="J106" s="158">
        <f t="shared" si="11"/>
        <v>5524027.6699999981</v>
      </c>
      <c r="K106" s="159">
        <f t="shared" si="10"/>
        <v>5.7200000000000003E-4</v>
      </c>
      <c r="L106" s="159">
        <f t="shared" si="12"/>
        <v>0.98235700000000004</v>
      </c>
      <c r="M106" s="160" t="str">
        <f t="shared" si="14"/>
        <v>C</v>
      </c>
    </row>
    <row r="107" spans="2:13" hidden="1">
      <c r="B107" s="154" t="s">
        <v>92</v>
      </c>
      <c r="C107" s="154">
        <v>99861</v>
      </c>
      <c r="D107" s="155" t="s">
        <v>1039</v>
      </c>
      <c r="E107" s="156" t="s">
        <v>1040</v>
      </c>
      <c r="F107" s="154" t="s">
        <v>95</v>
      </c>
      <c r="G107" s="161">
        <f>Quantitativos!L439*2.5*2.1</f>
        <v>5.25</v>
      </c>
      <c r="H107" s="158">
        <v>586.46</v>
      </c>
      <c r="I107" s="158">
        <f t="shared" si="13"/>
        <v>3078.91</v>
      </c>
      <c r="J107" s="158">
        <f t="shared" si="11"/>
        <v>5527106.5799999982</v>
      </c>
      <c r="K107" s="159">
        <f t="shared" si="10"/>
        <v>5.4699999999999996E-4</v>
      </c>
      <c r="L107" s="159">
        <f t="shared" si="12"/>
        <v>0.982904</v>
      </c>
      <c r="M107" s="160" t="str">
        <f t="shared" si="14"/>
        <v>C</v>
      </c>
    </row>
    <row r="108" spans="2:13" hidden="1">
      <c r="B108" s="154" t="s">
        <v>92</v>
      </c>
      <c r="C108" s="154">
        <v>103328</v>
      </c>
      <c r="D108" s="155" t="s">
        <v>676</v>
      </c>
      <c r="E108" s="156" t="s">
        <v>677</v>
      </c>
      <c r="F108" s="154" t="s">
        <v>95</v>
      </c>
      <c r="G108" s="161">
        <f>Quantitativos!G109</f>
        <v>34</v>
      </c>
      <c r="H108" s="158">
        <v>88.31</v>
      </c>
      <c r="I108" s="158">
        <f t="shared" si="13"/>
        <v>3002.54</v>
      </c>
      <c r="J108" s="158">
        <f t="shared" si="11"/>
        <v>5530109.1199999982</v>
      </c>
      <c r="K108" s="159">
        <f t="shared" si="10"/>
        <v>5.3300000000000005E-4</v>
      </c>
      <c r="L108" s="159">
        <f t="shared" si="12"/>
        <v>0.98343700000000001</v>
      </c>
      <c r="M108" s="160" t="str">
        <f t="shared" si="14"/>
        <v>C</v>
      </c>
    </row>
    <row r="109" spans="2:13" hidden="1">
      <c r="B109" s="154" t="s">
        <v>92</v>
      </c>
      <c r="C109" s="154">
        <v>93008</v>
      </c>
      <c r="D109" s="155" t="s">
        <v>870</v>
      </c>
      <c r="E109" s="156" t="str">
        <f>Quantitativos!A290</f>
        <v>Eletroduto rígido Ø50mm</v>
      </c>
      <c r="F109" s="154" t="str">
        <f>Quantitativos!B290</f>
        <v>m</v>
      </c>
      <c r="G109" s="161">
        <f>Quantitativos!R290</f>
        <v>155</v>
      </c>
      <c r="H109" s="158">
        <v>18.399999999999999</v>
      </c>
      <c r="I109" s="158">
        <f t="shared" si="13"/>
        <v>2852</v>
      </c>
      <c r="J109" s="158">
        <f t="shared" si="11"/>
        <v>5532961.1199999982</v>
      </c>
      <c r="K109" s="159">
        <f t="shared" si="10"/>
        <v>5.0699999999999996E-4</v>
      </c>
      <c r="L109" s="159">
        <f t="shared" si="12"/>
        <v>0.98394400000000004</v>
      </c>
      <c r="M109" s="160" t="str">
        <f t="shared" si="14"/>
        <v>C</v>
      </c>
    </row>
    <row r="110" spans="2:13" hidden="1">
      <c r="B110" s="154" t="s">
        <v>92</v>
      </c>
      <c r="C110" s="154">
        <v>90373</v>
      </c>
      <c r="D110" s="155" t="s">
        <v>734</v>
      </c>
      <c r="E110" s="156" t="s">
        <v>265</v>
      </c>
      <c r="F110" s="154" t="s">
        <v>151</v>
      </c>
      <c r="G110" s="161">
        <f>Quantitativos!O188</f>
        <v>252</v>
      </c>
      <c r="H110" s="158">
        <v>11.17</v>
      </c>
      <c r="I110" s="158">
        <f t="shared" si="13"/>
        <v>2814.84</v>
      </c>
      <c r="J110" s="158">
        <f t="shared" si="11"/>
        <v>5535775.9599999981</v>
      </c>
      <c r="K110" s="159">
        <f t="shared" si="10"/>
        <v>5.0000000000000001E-4</v>
      </c>
      <c r="L110" s="159">
        <f t="shared" si="12"/>
        <v>0.98444399999999999</v>
      </c>
      <c r="M110" s="160" t="str">
        <f t="shared" si="14"/>
        <v>C</v>
      </c>
    </row>
    <row r="111" spans="2:13" hidden="1">
      <c r="B111" s="154" t="s">
        <v>92</v>
      </c>
      <c r="C111" s="154">
        <v>103689</v>
      </c>
      <c r="D111" s="155" t="s">
        <v>614</v>
      </c>
      <c r="E111" s="156" t="s">
        <v>615</v>
      </c>
      <c r="F111" s="154" t="s">
        <v>95</v>
      </c>
      <c r="G111" s="161">
        <v>6</v>
      </c>
      <c r="H111" s="158">
        <v>461.44</v>
      </c>
      <c r="I111" s="158">
        <f t="shared" si="13"/>
        <v>2768.64</v>
      </c>
      <c r="J111" s="158">
        <f t="shared" si="11"/>
        <v>5538544.5999999978</v>
      </c>
      <c r="K111" s="159">
        <f t="shared" si="10"/>
        <v>4.9200000000000003E-4</v>
      </c>
      <c r="L111" s="159">
        <f t="shared" si="12"/>
        <v>0.98493600000000003</v>
      </c>
      <c r="M111" s="160" t="str">
        <f t="shared" si="14"/>
        <v>C</v>
      </c>
    </row>
    <row r="112" spans="2:13" hidden="1">
      <c r="B112" s="154" t="s">
        <v>92</v>
      </c>
      <c r="C112" s="154">
        <v>93653</v>
      </c>
      <c r="D112" s="155" t="s">
        <v>902</v>
      </c>
      <c r="E112" s="156" t="str">
        <f>Quantitativos!A306</f>
        <v>Disjuntor monopolar 10A</v>
      </c>
      <c r="F112" s="154" t="str">
        <f>Quantitativos!B306</f>
        <v>und</v>
      </c>
      <c r="G112" s="161">
        <f>Quantitativos!R306</f>
        <v>226</v>
      </c>
      <c r="H112" s="158">
        <v>12.22</v>
      </c>
      <c r="I112" s="158">
        <f t="shared" si="13"/>
        <v>2761.72</v>
      </c>
      <c r="J112" s="158">
        <f t="shared" si="11"/>
        <v>5541306.3199999975</v>
      </c>
      <c r="K112" s="159">
        <f t="shared" si="10"/>
        <v>4.9100000000000001E-4</v>
      </c>
      <c r="L112" s="159">
        <f t="shared" si="12"/>
        <v>0.98542700000000005</v>
      </c>
      <c r="M112" s="160" t="str">
        <f t="shared" si="14"/>
        <v>C</v>
      </c>
    </row>
    <row r="113" spans="2:13" hidden="1">
      <c r="B113" s="154" t="s">
        <v>92</v>
      </c>
      <c r="C113" s="154">
        <v>91937</v>
      </c>
      <c r="D113" s="155" t="s">
        <v>876</v>
      </c>
      <c r="E113" s="156" t="str">
        <f>Quantitativos!A293</f>
        <v>Caixa de Passagem 3"x3"</v>
      </c>
      <c r="F113" s="154" t="str">
        <f>Quantitativos!B293</f>
        <v>und</v>
      </c>
      <c r="G113" s="161">
        <f>Quantitativos!R293</f>
        <v>177</v>
      </c>
      <c r="H113" s="158">
        <v>15.25</v>
      </c>
      <c r="I113" s="158">
        <f t="shared" si="13"/>
        <v>2699.25</v>
      </c>
      <c r="J113" s="158">
        <f t="shared" si="11"/>
        <v>5544005.5699999975</v>
      </c>
      <c r="K113" s="159">
        <f t="shared" si="10"/>
        <v>4.8000000000000001E-4</v>
      </c>
      <c r="L113" s="159">
        <f t="shared" si="12"/>
        <v>0.98590699999999998</v>
      </c>
      <c r="M113" s="160" t="str">
        <f t="shared" si="14"/>
        <v>C</v>
      </c>
    </row>
    <row r="114" spans="2:13" hidden="1">
      <c r="B114" s="154" t="s">
        <v>92</v>
      </c>
      <c r="C114" s="154">
        <v>91854</v>
      </c>
      <c r="D114" s="155" t="s">
        <v>925</v>
      </c>
      <c r="E114" s="156" t="s">
        <v>372</v>
      </c>
      <c r="F114" s="154" t="s">
        <v>104</v>
      </c>
      <c r="G114" s="161">
        <f>Quantitativos!R315</f>
        <v>283</v>
      </c>
      <c r="H114" s="158">
        <v>9.18</v>
      </c>
      <c r="I114" s="158">
        <f t="shared" si="13"/>
        <v>2597.94</v>
      </c>
      <c r="J114" s="158">
        <f t="shared" si="11"/>
        <v>5546603.5099999979</v>
      </c>
      <c r="K114" s="159">
        <f t="shared" si="10"/>
        <v>4.6200000000000001E-4</v>
      </c>
      <c r="L114" s="159">
        <f t="shared" si="12"/>
        <v>0.98636900000000005</v>
      </c>
      <c r="M114" s="160" t="str">
        <f t="shared" si="14"/>
        <v>C</v>
      </c>
    </row>
    <row r="115" spans="2:13" hidden="1">
      <c r="B115" s="154" t="s">
        <v>92</v>
      </c>
      <c r="C115" s="154">
        <v>94195</v>
      </c>
      <c r="D115" s="155" t="s">
        <v>697</v>
      </c>
      <c r="E115" s="156" t="s">
        <v>698</v>
      </c>
      <c r="F115" s="154" t="s">
        <v>95</v>
      </c>
      <c r="G115" s="161">
        <f>Quantitativos!F166</f>
        <v>2509.0913100000002</v>
      </c>
      <c r="H115" s="158">
        <v>1</v>
      </c>
      <c r="I115" s="158">
        <f t="shared" si="13"/>
        <v>2509.09</v>
      </c>
      <c r="J115" s="158">
        <f t="shared" si="11"/>
        <v>5549112.5999999978</v>
      </c>
      <c r="K115" s="159">
        <f t="shared" si="10"/>
        <v>4.46E-4</v>
      </c>
      <c r="L115" s="159">
        <f t="shared" si="12"/>
        <v>0.986815</v>
      </c>
      <c r="M115" s="160" t="str">
        <f t="shared" si="14"/>
        <v>C</v>
      </c>
    </row>
    <row r="116" spans="2:13" hidden="1">
      <c r="B116" s="154" t="s">
        <v>629</v>
      </c>
      <c r="C116" s="154" t="s">
        <v>860</v>
      </c>
      <c r="D116" s="155" t="s">
        <v>861</v>
      </c>
      <c r="E116" s="156" t="s">
        <v>368</v>
      </c>
      <c r="F116" s="154" t="s">
        <v>151</v>
      </c>
      <c r="G116" s="161">
        <f>Quantitativos!O284</f>
        <v>2</v>
      </c>
      <c r="H116" s="158">
        <v>1250</v>
      </c>
      <c r="I116" s="158">
        <f t="shared" si="13"/>
        <v>2500</v>
      </c>
      <c r="J116" s="158">
        <f t="shared" si="11"/>
        <v>5551612.5999999978</v>
      </c>
      <c r="K116" s="159">
        <f t="shared" si="10"/>
        <v>4.44E-4</v>
      </c>
      <c r="L116" s="159">
        <f t="shared" si="12"/>
        <v>0.987259</v>
      </c>
      <c r="M116" s="160" t="str">
        <f t="shared" si="14"/>
        <v>C</v>
      </c>
    </row>
    <row r="117" spans="2:13" hidden="1">
      <c r="B117" s="154" t="s">
        <v>92</v>
      </c>
      <c r="C117" s="154">
        <v>10345</v>
      </c>
      <c r="D117" s="155" t="s">
        <v>809</v>
      </c>
      <c r="E117" s="156" t="s">
        <v>339</v>
      </c>
      <c r="F117" s="154" t="s">
        <v>151</v>
      </c>
      <c r="G117" s="161">
        <f>Quantitativos!O253</f>
        <v>62</v>
      </c>
      <c r="H117" s="158">
        <v>39.04</v>
      </c>
      <c r="I117" s="158">
        <f t="shared" si="13"/>
        <v>2420.48</v>
      </c>
      <c r="J117" s="158">
        <f t="shared" si="11"/>
        <v>5554033.0799999982</v>
      </c>
      <c r="K117" s="159">
        <f t="shared" si="10"/>
        <v>4.2999999999999999E-4</v>
      </c>
      <c r="L117" s="159">
        <f t="shared" si="12"/>
        <v>0.98768900000000004</v>
      </c>
      <c r="M117" s="160" t="str">
        <f t="shared" si="14"/>
        <v>C</v>
      </c>
    </row>
    <row r="118" spans="2:13" hidden="1">
      <c r="B118" s="154" t="s">
        <v>92</v>
      </c>
      <c r="C118" s="154">
        <v>95693</v>
      </c>
      <c r="D118" s="155" t="s">
        <v>779</v>
      </c>
      <c r="E118" s="156" t="s">
        <v>312</v>
      </c>
      <c r="F118" s="154" t="s">
        <v>151</v>
      </c>
      <c r="G118" s="161">
        <f>Quantitativos!O233</f>
        <v>54</v>
      </c>
      <c r="H118" s="158">
        <v>42.31</v>
      </c>
      <c r="I118" s="158">
        <f t="shared" si="13"/>
        <v>2284.7399999999998</v>
      </c>
      <c r="J118" s="158">
        <f t="shared" si="11"/>
        <v>5556317.8199999984</v>
      </c>
      <c r="K118" s="159">
        <f t="shared" si="10"/>
        <v>4.06E-4</v>
      </c>
      <c r="L118" s="159">
        <f t="shared" si="12"/>
        <v>0.98809499999999995</v>
      </c>
      <c r="M118" s="160" t="str">
        <f t="shared" si="14"/>
        <v>C</v>
      </c>
    </row>
    <row r="119" spans="2:13" hidden="1">
      <c r="B119" s="154" t="s">
        <v>92</v>
      </c>
      <c r="C119" s="154">
        <v>102500</v>
      </c>
      <c r="D119" s="155" t="s">
        <v>1063</v>
      </c>
      <c r="E119" s="156" t="s">
        <v>1064</v>
      </c>
      <c r="F119" s="154" t="s">
        <v>104</v>
      </c>
      <c r="G119" s="161">
        <f>(60.1+45)*4+(40+55)</f>
        <v>515.4</v>
      </c>
      <c r="H119" s="158">
        <v>4.1399999999999997</v>
      </c>
      <c r="I119" s="158">
        <f t="shared" si="13"/>
        <v>2133.75</v>
      </c>
      <c r="J119" s="158">
        <f t="shared" si="11"/>
        <v>5558451.5699999984</v>
      </c>
      <c r="K119" s="159">
        <f t="shared" si="10"/>
        <v>3.79E-4</v>
      </c>
      <c r="L119" s="159">
        <f t="shared" si="12"/>
        <v>0.98847399999999996</v>
      </c>
      <c r="M119" s="160" t="str">
        <f t="shared" si="14"/>
        <v>C</v>
      </c>
    </row>
    <row r="120" spans="2:13" hidden="1">
      <c r="B120" s="154" t="s">
        <v>92</v>
      </c>
      <c r="C120" s="154">
        <v>97083</v>
      </c>
      <c r="D120" s="155" t="s">
        <v>639</v>
      </c>
      <c r="E120" s="156" t="s">
        <v>193</v>
      </c>
      <c r="F120" s="154" t="s">
        <v>95</v>
      </c>
      <c r="G120" s="161">
        <f>Quantitativos!F51</f>
        <v>663.56</v>
      </c>
      <c r="H120" s="158">
        <v>3.17</v>
      </c>
      <c r="I120" s="158">
        <f t="shared" si="13"/>
        <v>2103.48</v>
      </c>
      <c r="J120" s="158">
        <f t="shared" si="11"/>
        <v>5560555.0499999989</v>
      </c>
      <c r="K120" s="159">
        <f t="shared" si="10"/>
        <v>3.7399999999999998E-4</v>
      </c>
      <c r="L120" s="159">
        <f t="shared" si="12"/>
        <v>0.98884799999999995</v>
      </c>
      <c r="M120" s="160" t="str">
        <f t="shared" si="14"/>
        <v>C</v>
      </c>
    </row>
    <row r="121" spans="2:13" hidden="1">
      <c r="B121" s="154" t="s">
        <v>92</v>
      </c>
      <c r="C121" s="154">
        <v>98262</v>
      </c>
      <c r="D121" s="155" t="s">
        <v>927</v>
      </c>
      <c r="E121" s="156" t="s">
        <v>397</v>
      </c>
      <c r="F121" s="154" t="s">
        <v>104</v>
      </c>
      <c r="G121" s="161">
        <f>Quantitativos!R317</f>
        <v>402</v>
      </c>
      <c r="H121" s="158">
        <v>4.9800000000000004</v>
      </c>
      <c r="I121" s="158">
        <f t="shared" si="13"/>
        <v>2001.96</v>
      </c>
      <c r="J121" s="158">
        <f t="shared" si="11"/>
        <v>5562557.0099999988</v>
      </c>
      <c r="K121" s="159">
        <f t="shared" si="10"/>
        <v>3.5599999999999998E-4</v>
      </c>
      <c r="L121" s="159">
        <f t="shared" si="12"/>
        <v>0.98920399999999997</v>
      </c>
      <c r="M121" s="160" t="str">
        <f t="shared" si="14"/>
        <v>C</v>
      </c>
    </row>
    <row r="122" spans="2:13" hidden="1">
      <c r="B122" s="154"/>
      <c r="C122" s="154"/>
      <c r="D122" s="155" t="s">
        <v>609</v>
      </c>
      <c r="E122" s="156" t="s">
        <v>610</v>
      </c>
      <c r="F122" s="154" t="s">
        <v>156</v>
      </c>
      <c r="G122" s="161">
        <v>1</v>
      </c>
      <c r="H122" s="158">
        <v>2000</v>
      </c>
      <c r="I122" s="158">
        <f t="shared" si="13"/>
        <v>2000</v>
      </c>
      <c r="J122" s="158">
        <f t="shared" si="11"/>
        <v>5564557.0099999988</v>
      </c>
      <c r="K122" s="159">
        <f t="shared" si="10"/>
        <v>3.5500000000000001E-4</v>
      </c>
      <c r="L122" s="159">
        <f t="shared" si="12"/>
        <v>0.98955899999999997</v>
      </c>
      <c r="M122" s="160" t="str">
        <f t="shared" si="14"/>
        <v>C</v>
      </c>
    </row>
    <row r="123" spans="2:13" hidden="1">
      <c r="B123" s="154"/>
      <c r="C123" s="154"/>
      <c r="D123" s="155" t="s">
        <v>611</v>
      </c>
      <c r="E123" s="156" t="s">
        <v>612</v>
      </c>
      <c r="F123" s="154" t="s">
        <v>156</v>
      </c>
      <c r="G123" s="161">
        <v>1</v>
      </c>
      <c r="H123" s="158">
        <v>2000</v>
      </c>
      <c r="I123" s="158">
        <f t="shared" si="13"/>
        <v>2000</v>
      </c>
      <c r="J123" s="158">
        <f t="shared" si="11"/>
        <v>5566557.0099999988</v>
      </c>
      <c r="K123" s="159">
        <f t="shared" si="10"/>
        <v>3.5500000000000001E-4</v>
      </c>
      <c r="L123" s="159">
        <f t="shared" si="12"/>
        <v>0.98991399999999996</v>
      </c>
      <c r="M123" s="160" t="str">
        <f t="shared" si="14"/>
        <v>C</v>
      </c>
    </row>
    <row r="124" spans="2:13" hidden="1">
      <c r="B124" s="154" t="s">
        <v>629</v>
      </c>
      <c r="C124" s="154" t="s">
        <v>938</v>
      </c>
      <c r="D124" s="155" t="s">
        <v>939</v>
      </c>
      <c r="E124" s="156" t="s">
        <v>940</v>
      </c>
      <c r="F124" s="154" t="s">
        <v>151</v>
      </c>
      <c r="G124" s="161">
        <f>Quantitativos!D337</f>
        <v>1</v>
      </c>
      <c r="H124" s="158">
        <v>1978.2</v>
      </c>
      <c r="I124" s="158">
        <f t="shared" si="13"/>
        <v>1978.2</v>
      </c>
      <c r="J124" s="158">
        <f t="shared" si="11"/>
        <v>5568535.209999999</v>
      </c>
      <c r="K124" s="159">
        <f t="shared" si="10"/>
        <v>3.5100000000000002E-4</v>
      </c>
      <c r="L124" s="159">
        <f t="shared" si="12"/>
        <v>0.99026499999999995</v>
      </c>
      <c r="M124" s="160" t="str">
        <f t="shared" si="14"/>
        <v>C</v>
      </c>
    </row>
    <row r="125" spans="2:13" hidden="1">
      <c r="B125" s="154" t="s">
        <v>92</v>
      </c>
      <c r="C125" s="154">
        <v>89732</v>
      </c>
      <c r="D125" s="155" t="s">
        <v>799</v>
      </c>
      <c r="E125" s="156" t="s">
        <v>328</v>
      </c>
      <c r="F125" s="154" t="s">
        <v>151</v>
      </c>
      <c r="G125" s="161">
        <f>Quantitativos!O245</f>
        <v>132</v>
      </c>
      <c r="H125" s="158">
        <v>14.91</v>
      </c>
      <c r="I125" s="158">
        <f t="shared" si="13"/>
        <v>1968.12</v>
      </c>
      <c r="J125" s="158">
        <f t="shared" si="11"/>
        <v>5570503.3299999991</v>
      </c>
      <c r="K125" s="159">
        <f t="shared" si="10"/>
        <v>3.5E-4</v>
      </c>
      <c r="L125" s="159">
        <f t="shared" si="12"/>
        <v>0.99061500000000002</v>
      </c>
      <c r="M125" s="160" t="str">
        <f t="shared" si="14"/>
        <v>C</v>
      </c>
    </row>
    <row r="126" spans="2:13" hidden="1">
      <c r="B126" s="154" t="s">
        <v>92</v>
      </c>
      <c r="C126" s="154">
        <v>983098</v>
      </c>
      <c r="D126" s="155" t="s">
        <v>929</v>
      </c>
      <c r="E126" s="156" t="s">
        <v>398</v>
      </c>
      <c r="F126" s="154" t="s">
        <v>151</v>
      </c>
      <c r="G126" s="161">
        <f>Quantitativos!R318</f>
        <v>58</v>
      </c>
      <c r="H126" s="158">
        <v>33.479999999999997</v>
      </c>
      <c r="I126" s="158">
        <f t="shared" si="13"/>
        <v>1941.84</v>
      </c>
      <c r="J126" s="158">
        <f t="shared" si="11"/>
        <v>5572445.169999999</v>
      </c>
      <c r="K126" s="159">
        <f t="shared" si="10"/>
        <v>3.4499999999999998E-4</v>
      </c>
      <c r="L126" s="159">
        <f t="shared" si="12"/>
        <v>0.99095999999999995</v>
      </c>
      <c r="M126" s="160" t="str">
        <f t="shared" si="14"/>
        <v>C</v>
      </c>
    </row>
    <row r="127" spans="2:13" hidden="1">
      <c r="B127" s="154" t="s">
        <v>92</v>
      </c>
      <c r="C127" s="154">
        <v>98104</v>
      </c>
      <c r="D127" s="155" t="s">
        <v>817</v>
      </c>
      <c r="E127" s="156" t="s">
        <v>346</v>
      </c>
      <c r="F127" s="154" t="s">
        <v>151</v>
      </c>
      <c r="G127" s="161">
        <f>Quantitativos!O258</f>
        <v>5</v>
      </c>
      <c r="H127" s="158">
        <v>380.38</v>
      </c>
      <c r="I127" s="158">
        <f t="shared" si="13"/>
        <v>1901.9</v>
      </c>
      <c r="J127" s="158">
        <f t="shared" si="11"/>
        <v>5574347.0699999994</v>
      </c>
      <c r="K127" s="159">
        <f t="shared" si="10"/>
        <v>3.3799999999999998E-4</v>
      </c>
      <c r="L127" s="159">
        <f t="shared" si="12"/>
        <v>0.99129800000000001</v>
      </c>
      <c r="M127" s="160" t="str">
        <f t="shared" si="14"/>
        <v>C</v>
      </c>
    </row>
    <row r="128" spans="2:13" hidden="1">
      <c r="B128" s="154" t="s">
        <v>92</v>
      </c>
      <c r="C128" s="154">
        <v>89711</v>
      </c>
      <c r="D128" s="155" t="s">
        <v>777</v>
      </c>
      <c r="E128" s="156" t="s">
        <v>309</v>
      </c>
      <c r="F128" s="154" t="s">
        <v>104</v>
      </c>
      <c r="G128" s="161">
        <f>Quantitativos!O231</f>
        <v>97.5</v>
      </c>
      <c r="H128" s="158">
        <v>18.79</v>
      </c>
      <c r="I128" s="158">
        <f t="shared" si="13"/>
        <v>1832.02</v>
      </c>
      <c r="J128" s="158">
        <f t="shared" si="11"/>
        <v>5576179.0899999989</v>
      </c>
      <c r="K128" s="159">
        <f t="shared" si="10"/>
        <v>3.2499999999999999E-4</v>
      </c>
      <c r="L128" s="159">
        <f t="shared" si="12"/>
        <v>0.99162300000000003</v>
      </c>
      <c r="M128" s="160" t="str">
        <f t="shared" si="14"/>
        <v>C</v>
      </c>
    </row>
    <row r="129" spans="2:13" hidden="1">
      <c r="B129" s="154" t="s">
        <v>92</v>
      </c>
      <c r="C129" s="154">
        <v>104779</v>
      </c>
      <c r="D129" s="155" t="s">
        <v>703</v>
      </c>
      <c r="E129" s="156" t="s">
        <v>246</v>
      </c>
      <c r="F129" s="154" t="s">
        <v>104</v>
      </c>
      <c r="G129" s="161">
        <f>Quantitativos!O172</f>
        <v>302.45999999999998</v>
      </c>
      <c r="H129" s="158">
        <v>6.04</v>
      </c>
      <c r="I129" s="158">
        <f t="shared" si="13"/>
        <v>1826.85</v>
      </c>
      <c r="J129" s="158">
        <f t="shared" si="11"/>
        <v>5578005.9399999985</v>
      </c>
      <c r="K129" s="159">
        <f t="shared" si="10"/>
        <v>3.2400000000000001E-4</v>
      </c>
      <c r="L129" s="159">
        <f t="shared" si="12"/>
        <v>0.99194700000000002</v>
      </c>
      <c r="M129" s="160" t="str">
        <f t="shared" si="14"/>
        <v>C</v>
      </c>
    </row>
    <row r="130" spans="2:13" hidden="1">
      <c r="B130" s="154" t="s">
        <v>92</v>
      </c>
      <c r="C130" s="154">
        <v>89746</v>
      </c>
      <c r="D130" s="155" t="s">
        <v>795</v>
      </c>
      <c r="E130" s="156" t="s">
        <v>326</v>
      </c>
      <c r="F130" s="154" t="s">
        <v>151</v>
      </c>
      <c r="G130" s="161">
        <f>Quantitativos!O243</f>
        <v>65</v>
      </c>
      <c r="H130" s="158">
        <v>26.68</v>
      </c>
      <c r="I130" s="158">
        <f t="shared" si="13"/>
        <v>1734.2</v>
      </c>
      <c r="J130" s="158">
        <f t="shared" si="11"/>
        <v>5579740.1399999987</v>
      </c>
      <c r="K130" s="159">
        <f t="shared" si="10"/>
        <v>3.0800000000000001E-4</v>
      </c>
      <c r="L130" s="159">
        <f t="shared" si="12"/>
        <v>0.992255</v>
      </c>
      <c r="M130" s="160" t="str">
        <f t="shared" si="14"/>
        <v>C</v>
      </c>
    </row>
    <row r="131" spans="2:13" hidden="1">
      <c r="B131" s="154" t="s">
        <v>629</v>
      </c>
      <c r="C131" s="154" t="s">
        <v>910</v>
      </c>
      <c r="D131" s="155" t="s">
        <v>911</v>
      </c>
      <c r="E131" s="156" t="str">
        <f>Quantitativos!A311</f>
        <v>Conjunto moto-bomba e filtro</v>
      </c>
      <c r="F131" s="154" t="str">
        <f>Quantitativos!B311</f>
        <v>und</v>
      </c>
      <c r="G131" s="161">
        <f>Quantitativos!R311</f>
        <v>1</v>
      </c>
      <c r="H131" s="158">
        <v>1723.04</v>
      </c>
      <c r="I131" s="158">
        <f t="shared" ref="I131:I162" si="15">TRUNC(G131*H131,2)</f>
        <v>1723.04</v>
      </c>
      <c r="J131" s="158">
        <f t="shared" si="11"/>
        <v>5581463.1799999988</v>
      </c>
      <c r="K131" s="159">
        <f t="shared" si="10"/>
        <v>3.0600000000000001E-4</v>
      </c>
      <c r="L131" s="159">
        <f t="shared" si="12"/>
        <v>0.99256100000000003</v>
      </c>
      <c r="M131" s="160" t="str">
        <f t="shared" ref="M131:M162" si="16">IF(L131&lt;=$P$3,"A",IF(L131&lt;=$P$4,"B","C"))</f>
        <v>C</v>
      </c>
    </row>
    <row r="132" spans="2:13" hidden="1">
      <c r="B132" s="154" t="s">
        <v>92</v>
      </c>
      <c r="C132" s="154">
        <v>89744</v>
      </c>
      <c r="D132" s="155" t="s">
        <v>789</v>
      </c>
      <c r="E132" s="156" t="s">
        <v>319</v>
      </c>
      <c r="F132" s="154" t="s">
        <v>151</v>
      </c>
      <c r="G132" s="161">
        <f>Quantitativos!O239</f>
        <v>65</v>
      </c>
      <c r="H132" s="158">
        <v>26.03</v>
      </c>
      <c r="I132" s="158">
        <f t="shared" si="15"/>
        <v>1691.95</v>
      </c>
      <c r="J132" s="158">
        <f t="shared" si="11"/>
        <v>5583155.129999999</v>
      </c>
      <c r="K132" s="159">
        <f t="shared" ref="K132:K195" si="17">TRUNC(I132/$I$200,6)</f>
        <v>2.9999999999999997E-4</v>
      </c>
      <c r="L132" s="159">
        <f t="shared" si="12"/>
        <v>0.99286099999999999</v>
      </c>
      <c r="M132" s="160" t="str">
        <f t="shared" si="16"/>
        <v>C</v>
      </c>
    </row>
    <row r="133" spans="2:13" hidden="1">
      <c r="B133" s="154" t="s">
        <v>92</v>
      </c>
      <c r="C133" s="154">
        <v>100702</v>
      </c>
      <c r="D133" s="155" t="s">
        <v>1034</v>
      </c>
      <c r="E133" s="156" t="s">
        <v>1035</v>
      </c>
      <c r="F133" s="154" t="s">
        <v>95</v>
      </c>
      <c r="G133" s="161">
        <f>Quantitativos!J439*2*2.1</f>
        <v>4.2</v>
      </c>
      <c r="H133" s="158">
        <v>394.82</v>
      </c>
      <c r="I133" s="158">
        <f t="shared" si="15"/>
        <v>1658.24</v>
      </c>
      <c r="J133" s="158">
        <f t="shared" ref="J133:J196" si="18">J132+I133</f>
        <v>5584813.3699999992</v>
      </c>
      <c r="K133" s="159">
        <f t="shared" si="17"/>
        <v>2.9399999999999999E-4</v>
      </c>
      <c r="L133" s="159">
        <f t="shared" ref="L133:L196" si="19">TRUNC(K133+L132,6)</f>
        <v>0.99315500000000001</v>
      </c>
      <c r="M133" s="160" t="str">
        <f t="shared" si="16"/>
        <v>C</v>
      </c>
    </row>
    <row r="134" spans="2:13" hidden="1">
      <c r="B134" s="154" t="s">
        <v>92</v>
      </c>
      <c r="C134" s="154">
        <v>97599</v>
      </c>
      <c r="D134" s="155" t="s">
        <v>843</v>
      </c>
      <c r="E134" s="156" t="s">
        <v>844</v>
      </c>
      <c r="F134" s="154" t="s">
        <v>151</v>
      </c>
      <c r="G134" s="161">
        <f>Quantitativos!C277</f>
        <v>75</v>
      </c>
      <c r="H134" s="158">
        <v>21.91</v>
      </c>
      <c r="I134" s="158">
        <f t="shared" si="15"/>
        <v>1643.25</v>
      </c>
      <c r="J134" s="158">
        <f t="shared" si="18"/>
        <v>5586456.6199999992</v>
      </c>
      <c r="K134" s="159">
        <f t="shared" si="17"/>
        <v>2.92E-4</v>
      </c>
      <c r="L134" s="159">
        <f t="shared" si="19"/>
        <v>0.99344699999999997</v>
      </c>
      <c r="M134" s="160" t="str">
        <f t="shared" si="16"/>
        <v>C</v>
      </c>
    </row>
    <row r="135" spans="2:13" hidden="1">
      <c r="B135" s="154" t="s">
        <v>92</v>
      </c>
      <c r="C135" s="154">
        <v>89395</v>
      </c>
      <c r="D135" s="155" t="s">
        <v>752</v>
      </c>
      <c r="E135" s="156" t="s">
        <v>282</v>
      </c>
      <c r="F135" s="154" t="s">
        <v>151</v>
      </c>
      <c r="G135" s="161">
        <f>Quantitativos!O203</f>
        <v>133</v>
      </c>
      <c r="H135" s="158">
        <v>12.1</v>
      </c>
      <c r="I135" s="158">
        <f t="shared" si="15"/>
        <v>1609.3</v>
      </c>
      <c r="J135" s="158">
        <f t="shared" si="18"/>
        <v>5588065.919999999</v>
      </c>
      <c r="K135" s="159">
        <f t="shared" si="17"/>
        <v>2.8600000000000001E-4</v>
      </c>
      <c r="L135" s="159">
        <f t="shared" si="19"/>
        <v>0.99373299999999998</v>
      </c>
      <c r="M135" s="160" t="str">
        <f t="shared" si="16"/>
        <v>C</v>
      </c>
    </row>
    <row r="136" spans="2:13" hidden="1">
      <c r="B136" s="154" t="s">
        <v>92</v>
      </c>
      <c r="C136" s="154">
        <v>96619</v>
      </c>
      <c r="D136" s="155" t="s">
        <v>641</v>
      </c>
      <c r="E136" s="156" t="s">
        <v>642</v>
      </c>
      <c r="F136" s="154" t="s">
        <v>619</v>
      </c>
      <c r="G136" s="161">
        <f>Quantitativos!F61</f>
        <v>33.049999999999997</v>
      </c>
      <c r="H136" s="158">
        <v>47.17</v>
      </c>
      <c r="I136" s="158">
        <f t="shared" si="15"/>
        <v>1558.96</v>
      </c>
      <c r="J136" s="158">
        <f t="shared" si="18"/>
        <v>5589624.879999999</v>
      </c>
      <c r="K136" s="159">
        <f t="shared" si="17"/>
        <v>2.7700000000000001E-4</v>
      </c>
      <c r="L136" s="159">
        <f t="shared" si="19"/>
        <v>0.99400999999999995</v>
      </c>
      <c r="M136" s="160" t="str">
        <f t="shared" si="16"/>
        <v>C</v>
      </c>
    </row>
    <row r="137" spans="2:13" hidden="1">
      <c r="B137" s="154" t="s">
        <v>92</v>
      </c>
      <c r="C137" s="154">
        <v>89449</v>
      </c>
      <c r="D137" s="155" t="s">
        <v>705</v>
      </c>
      <c r="E137" s="156" t="s">
        <v>249</v>
      </c>
      <c r="F137" s="154" t="s">
        <v>104</v>
      </c>
      <c r="G137" s="161">
        <f>Quantitativos!O173</f>
        <v>96</v>
      </c>
      <c r="H137" s="158">
        <v>15.95</v>
      </c>
      <c r="I137" s="158">
        <f t="shared" si="15"/>
        <v>1531.2</v>
      </c>
      <c r="J137" s="158">
        <f t="shared" si="18"/>
        <v>5591156.0799999991</v>
      </c>
      <c r="K137" s="159">
        <f t="shared" si="17"/>
        <v>2.72E-4</v>
      </c>
      <c r="L137" s="159">
        <f t="shared" si="19"/>
        <v>0.994282</v>
      </c>
      <c r="M137" s="160" t="str">
        <f t="shared" si="16"/>
        <v>C</v>
      </c>
    </row>
    <row r="138" spans="2:13" hidden="1">
      <c r="B138" s="154" t="s">
        <v>92</v>
      </c>
      <c r="C138" s="154">
        <v>89784</v>
      </c>
      <c r="D138" s="155" t="s">
        <v>803</v>
      </c>
      <c r="E138" s="156" t="s">
        <v>333</v>
      </c>
      <c r="F138" s="154" t="s">
        <v>151</v>
      </c>
      <c r="G138" s="161">
        <f>Quantitativos!O248</f>
        <v>63</v>
      </c>
      <c r="H138" s="158">
        <v>22.75</v>
      </c>
      <c r="I138" s="158">
        <f t="shared" si="15"/>
        <v>1433.25</v>
      </c>
      <c r="J138" s="158">
        <f t="shared" si="18"/>
        <v>5592589.3299999991</v>
      </c>
      <c r="K138" s="159">
        <f t="shared" si="17"/>
        <v>2.5399999999999999E-4</v>
      </c>
      <c r="L138" s="159">
        <f t="shared" si="19"/>
        <v>0.99453599999999998</v>
      </c>
      <c r="M138" s="160" t="str">
        <f t="shared" si="16"/>
        <v>C</v>
      </c>
    </row>
    <row r="139" spans="2:13" hidden="1">
      <c r="B139" s="154" t="s">
        <v>92</v>
      </c>
      <c r="C139" s="154">
        <v>99802</v>
      </c>
      <c r="D139" s="155" t="s">
        <v>1099</v>
      </c>
      <c r="E139" s="156" t="s">
        <v>1100</v>
      </c>
      <c r="F139" s="154" t="s">
        <v>95</v>
      </c>
      <c r="G139" s="161">
        <f>Quantitativos!D557</f>
        <v>2789.26</v>
      </c>
      <c r="H139" s="158">
        <v>0.51</v>
      </c>
      <c r="I139" s="158">
        <f t="shared" si="15"/>
        <v>1422.52</v>
      </c>
      <c r="J139" s="158">
        <f t="shared" si="18"/>
        <v>5594011.8499999987</v>
      </c>
      <c r="K139" s="159">
        <f t="shared" si="17"/>
        <v>2.52E-4</v>
      </c>
      <c r="L139" s="159">
        <f t="shared" si="19"/>
        <v>0.99478800000000001</v>
      </c>
      <c r="M139" s="160" t="str">
        <f t="shared" si="16"/>
        <v>C</v>
      </c>
    </row>
    <row r="140" spans="2:13" hidden="1">
      <c r="B140" s="154" t="s">
        <v>92</v>
      </c>
      <c r="C140" s="154">
        <v>86934</v>
      </c>
      <c r="D140" s="155" t="s">
        <v>1003</v>
      </c>
      <c r="E140" s="156" t="s">
        <v>1004</v>
      </c>
      <c r="F140" s="154" t="s">
        <v>151</v>
      </c>
      <c r="G140" s="161">
        <v>3</v>
      </c>
      <c r="H140" s="158">
        <v>469.17</v>
      </c>
      <c r="I140" s="158">
        <f t="shared" si="15"/>
        <v>1407.51</v>
      </c>
      <c r="J140" s="158">
        <f t="shared" si="18"/>
        <v>5595419.3599999985</v>
      </c>
      <c r="K140" s="159">
        <f t="shared" si="17"/>
        <v>2.5000000000000001E-4</v>
      </c>
      <c r="L140" s="159">
        <f t="shared" si="19"/>
        <v>0.99503799999999998</v>
      </c>
      <c r="M140" s="160" t="str">
        <f t="shared" si="16"/>
        <v>C</v>
      </c>
    </row>
    <row r="141" spans="2:13" hidden="1">
      <c r="B141" s="154" t="s">
        <v>92</v>
      </c>
      <c r="C141" s="154">
        <v>89429</v>
      </c>
      <c r="D141" s="155" t="s">
        <v>759</v>
      </c>
      <c r="E141" s="156" t="s">
        <v>286</v>
      </c>
      <c r="F141" s="154" t="s">
        <v>151</v>
      </c>
      <c r="G141" s="161">
        <f>Quantitativos!O207</f>
        <v>242</v>
      </c>
      <c r="H141" s="158">
        <v>5.63</v>
      </c>
      <c r="I141" s="158">
        <f t="shared" si="15"/>
        <v>1362.46</v>
      </c>
      <c r="J141" s="158">
        <f t="shared" si="18"/>
        <v>5596781.8199999984</v>
      </c>
      <c r="K141" s="159">
        <f t="shared" si="17"/>
        <v>2.42E-4</v>
      </c>
      <c r="L141" s="159">
        <f t="shared" si="19"/>
        <v>0.99528000000000005</v>
      </c>
      <c r="M141" s="160" t="str">
        <f t="shared" si="16"/>
        <v>C</v>
      </c>
    </row>
    <row r="142" spans="2:13" hidden="1">
      <c r="B142" s="154" t="s">
        <v>92</v>
      </c>
      <c r="C142" s="154">
        <v>97881</v>
      </c>
      <c r="D142" s="155" t="s">
        <v>919</v>
      </c>
      <c r="E142" s="156" t="s">
        <v>920</v>
      </c>
      <c r="F142" s="154" t="s">
        <v>151</v>
      </c>
      <c r="G142" s="161">
        <v>10</v>
      </c>
      <c r="H142" s="158">
        <v>129.61000000000001</v>
      </c>
      <c r="I142" s="158">
        <f t="shared" si="15"/>
        <v>1296.0999999999999</v>
      </c>
      <c r="J142" s="158">
        <f t="shared" si="18"/>
        <v>5598077.9199999981</v>
      </c>
      <c r="K142" s="159">
        <f t="shared" si="17"/>
        <v>2.3000000000000001E-4</v>
      </c>
      <c r="L142" s="159">
        <f t="shared" si="19"/>
        <v>0.99551000000000001</v>
      </c>
      <c r="M142" s="160" t="str">
        <f t="shared" si="16"/>
        <v>C</v>
      </c>
    </row>
    <row r="143" spans="2:13" hidden="1">
      <c r="B143" s="154" t="s">
        <v>92</v>
      </c>
      <c r="C143" s="154">
        <v>92981</v>
      </c>
      <c r="D143" s="155" t="s">
        <v>880</v>
      </c>
      <c r="E143" s="156" t="str">
        <f>Quantitativos!A295</f>
        <v>Cabo flexível 16mm2</v>
      </c>
      <c r="F143" s="154" t="str">
        <f>Quantitativos!B295</f>
        <v>m</v>
      </c>
      <c r="G143" s="161">
        <f>Quantitativos!R295</f>
        <v>75</v>
      </c>
      <c r="H143" s="158">
        <v>17.09</v>
      </c>
      <c r="I143" s="158">
        <f t="shared" si="15"/>
        <v>1281.75</v>
      </c>
      <c r="J143" s="158">
        <f t="shared" si="18"/>
        <v>5599359.6699999981</v>
      </c>
      <c r="K143" s="159">
        <f t="shared" si="17"/>
        <v>2.2699999999999999E-4</v>
      </c>
      <c r="L143" s="159">
        <f t="shared" si="19"/>
        <v>0.99573699999999998</v>
      </c>
      <c r="M143" s="160" t="str">
        <f t="shared" si="16"/>
        <v>C</v>
      </c>
    </row>
    <row r="144" spans="2:13" hidden="1">
      <c r="B144" s="154" t="s">
        <v>92</v>
      </c>
      <c r="C144" s="154">
        <v>89724</v>
      </c>
      <c r="D144" s="155" t="s">
        <v>793</v>
      </c>
      <c r="E144" s="156" t="s">
        <v>324</v>
      </c>
      <c r="F144" s="154" t="s">
        <v>151</v>
      </c>
      <c r="G144" s="161">
        <f>Quantitativos!O242</f>
        <v>132</v>
      </c>
      <c r="H144" s="158">
        <v>9.26</v>
      </c>
      <c r="I144" s="158">
        <f t="shared" si="15"/>
        <v>1222.32</v>
      </c>
      <c r="J144" s="158">
        <f t="shared" si="18"/>
        <v>5600581.9899999984</v>
      </c>
      <c r="K144" s="159">
        <f t="shared" si="17"/>
        <v>2.1699999999999999E-4</v>
      </c>
      <c r="L144" s="159">
        <f t="shared" si="19"/>
        <v>0.99595400000000001</v>
      </c>
      <c r="M144" s="160" t="str">
        <f t="shared" si="16"/>
        <v>C</v>
      </c>
    </row>
    <row r="145" spans="2:13" hidden="1">
      <c r="B145" s="154" t="s">
        <v>92</v>
      </c>
      <c r="C145" s="154">
        <v>89867</v>
      </c>
      <c r="D145" s="155" t="s">
        <v>960</v>
      </c>
      <c r="E145" s="156" t="s">
        <v>961</v>
      </c>
      <c r="F145" s="154" t="s">
        <v>151</v>
      </c>
      <c r="G145" s="161">
        <f>Quantitativos!G357</f>
        <v>160</v>
      </c>
      <c r="H145" s="158">
        <v>7.49</v>
      </c>
      <c r="I145" s="158">
        <f t="shared" si="15"/>
        <v>1198.4000000000001</v>
      </c>
      <c r="J145" s="158">
        <f t="shared" si="18"/>
        <v>5601780.3899999987</v>
      </c>
      <c r="K145" s="159">
        <f t="shared" si="17"/>
        <v>2.13E-4</v>
      </c>
      <c r="L145" s="159">
        <f t="shared" si="19"/>
        <v>0.99616700000000002</v>
      </c>
      <c r="M145" s="160" t="str">
        <f t="shared" si="16"/>
        <v>C</v>
      </c>
    </row>
    <row r="146" spans="2:13" hidden="1">
      <c r="B146" s="154" t="s">
        <v>92</v>
      </c>
      <c r="C146" s="154">
        <v>92688</v>
      </c>
      <c r="D146" s="155" t="s">
        <v>848</v>
      </c>
      <c r="E146" s="156" t="s">
        <v>363</v>
      </c>
      <c r="F146" s="154" t="s">
        <v>104</v>
      </c>
      <c r="G146" s="161">
        <f>Quantitativos!O280</f>
        <v>30</v>
      </c>
      <c r="H146" s="158">
        <v>38.549999999999997</v>
      </c>
      <c r="I146" s="158">
        <f t="shared" si="15"/>
        <v>1156.5</v>
      </c>
      <c r="J146" s="158">
        <f t="shared" si="18"/>
        <v>5602936.8899999987</v>
      </c>
      <c r="K146" s="159">
        <f t="shared" si="17"/>
        <v>2.05E-4</v>
      </c>
      <c r="L146" s="159">
        <f t="shared" si="19"/>
        <v>0.99637200000000004</v>
      </c>
      <c r="M146" s="160" t="str">
        <f t="shared" si="16"/>
        <v>C</v>
      </c>
    </row>
    <row r="147" spans="2:13" hidden="1">
      <c r="B147" s="154" t="s">
        <v>92</v>
      </c>
      <c r="C147" s="154">
        <v>89778</v>
      </c>
      <c r="D147" s="155" t="s">
        <v>781</v>
      </c>
      <c r="E147" s="156" t="s">
        <v>314</v>
      </c>
      <c r="F147" s="154" t="s">
        <v>151</v>
      </c>
      <c r="G147" s="161">
        <f>Quantitativos!O234</f>
        <v>73</v>
      </c>
      <c r="H147" s="158">
        <v>15.66</v>
      </c>
      <c r="I147" s="158">
        <f t="shared" si="15"/>
        <v>1143.18</v>
      </c>
      <c r="J147" s="158">
        <f t="shared" si="18"/>
        <v>5604080.0699999984</v>
      </c>
      <c r="K147" s="159">
        <f t="shared" si="17"/>
        <v>2.03E-4</v>
      </c>
      <c r="L147" s="159">
        <f t="shared" si="19"/>
        <v>0.99657499999999999</v>
      </c>
      <c r="M147" s="160" t="str">
        <f t="shared" si="16"/>
        <v>C</v>
      </c>
    </row>
    <row r="148" spans="2:13" hidden="1">
      <c r="B148" s="154" t="s">
        <v>92</v>
      </c>
      <c r="C148" s="154">
        <v>89866</v>
      </c>
      <c r="D148" s="155" t="s">
        <v>958</v>
      </c>
      <c r="E148" s="156" t="s">
        <v>365</v>
      </c>
      <c r="F148" s="154" t="s">
        <v>151</v>
      </c>
      <c r="G148" s="161">
        <f>Quantitativos!F357</f>
        <v>160</v>
      </c>
      <c r="H148" s="158">
        <v>6.8</v>
      </c>
      <c r="I148" s="158">
        <f t="shared" si="15"/>
        <v>1088</v>
      </c>
      <c r="J148" s="158">
        <f t="shared" si="18"/>
        <v>5605168.0699999984</v>
      </c>
      <c r="K148" s="159">
        <f t="shared" si="17"/>
        <v>1.93E-4</v>
      </c>
      <c r="L148" s="159">
        <f t="shared" si="19"/>
        <v>0.99676799999999999</v>
      </c>
      <c r="M148" s="160" t="str">
        <f t="shared" si="16"/>
        <v>C</v>
      </c>
    </row>
    <row r="149" spans="2:13" hidden="1">
      <c r="B149" s="154" t="s">
        <v>92</v>
      </c>
      <c r="C149" s="154">
        <v>89443</v>
      </c>
      <c r="D149" s="155" t="s">
        <v>750</v>
      </c>
      <c r="E149" s="156" t="s">
        <v>281</v>
      </c>
      <c r="F149" s="154" t="s">
        <v>151</v>
      </c>
      <c r="G149" s="161">
        <f>Quantitativos!O202</f>
        <v>68</v>
      </c>
      <c r="H149" s="158">
        <v>15.58</v>
      </c>
      <c r="I149" s="158">
        <f t="shared" si="15"/>
        <v>1059.44</v>
      </c>
      <c r="J149" s="158">
        <f t="shared" si="18"/>
        <v>5606227.5099999988</v>
      </c>
      <c r="K149" s="159">
        <f t="shared" si="17"/>
        <v>1.8799999999999999E-4</v>
      </c>
      <c r="L149" s="159">
        <f t="shared" si="19"/>
        <v>0.99695599999999995</v>
      </c>
      <c r="M149" s="160" t="str">
        <f t="shared" si="16"/>
        <v>C</v>
      </c>
    </row>
    <row r="150" spans="2:13" hidden="1">
      <c r="B150" s="154" t="s">
        <v>92</v>
      </c>
      <c r="C150" s="154">
        <v>86900</v>
      </c>
      <c r="D150" s="155" t="s">
        <v>1000</v>
      </c>
      <c r="E150" s="156" t="s">
        <v>1001</v>
      </c>
      <c r="F150" s="154" t="s">
        <v>151</v>
      </c>
      <c r="G150" s="161">
        <f>Quantitativos!D428</f>
        <v>5</v>
      </c>
      <c r="H150" s="158">
        <v>211.81</v>
      </c>
      <c r="I150" s="158">
        <f t="shared" si="15"/>
        <v>1059.05</v>
      </c>
      <c r="J150" s="158">
        <f t="shared" si="18"/>
        <v>5607286.5599999987</v>
      </c>
      <c r="K150" s="159">
        <f t="shared" si="17"/>
        <v>1.8799999999999999E-4</v>
      </c>
      <c r="L150" s="159">
        <f t="shared" si="19"/>
        <v>0.99714400000000003</v>
      </c>
      <c r="M150" s="160" t="str">
        <f t="shared" si="16"/>
        <v>C</v>
      </c>
    </row>
    <row r="151" spans="2:13" hidden="1">
      <c r="B151" s="154" t="s">
        <v>92</v>
      </c>
      <c r="C151" s="154">
        <v>91940</v>
      </c>
      <c r="D151" s="155" t="s">
        <v>926</v>
      </c>
      <c r="E151" s="156" t="s">
        <v>376</v>
      </c>
      <c r="F151" s="154" t="s">
        <v>151</v>
      </c>
      <c r="G151" s="161">
        <f>Quantitativos!R316</f>
        <v>58</v>
      </c>
      <c r="H151" s="158">
        <v>17.21</v>
      </c>
      <c r="I151" s="158">
        <f t="shared" si="15"/>
        <v>998.18</v>
      </c>
      <c r="J151" s="158">
        <f t="shared" si="18"/>
        <v>5608284.7399999984</v>
      </c>
      <c r="K151" s="159">
        <f t="shared" si="17"/>
        <v>1.7699999999999999E-4</v>
      </c>
      <c r="L151" s="159">
        <f t="shared" si="19"/>
        <v>0.99732100000000001</v>
      </c>
      <c r="M151" s="160" t="str">
        <f t="shared" si="16"/>
        <v>C</v>
      </c>
    </row>
    <row r="152" spans="2:13" hidden="1">
      <c r="B152" s="154" t="s">
        <v>92</v>
      </c>
      <c r="C152" s="154">
        <v>101881</v>
      </c>
      <c r="D152" s="155" t="s">
        <v>900</v>
      </c>
      <c r="E152" s="156" t="str">
        <f>Quantitativos!A305</f>
        <v>Quadro geral</v>
      </c>
      <c r="F152" s="154" t="str">
        <f>Quantitativos!B305</f>
        <v>und</v>
      </c>
      <c r="G152" s="161">
        <f>Quantitativos!R305</f>
        <v>1</v>
      </c>
      <c r="H152" s="158">
        <v>902.69</v>
      </c>
      <c r="I152" s="158">
        <f t="shared" si="15"/>
        <v>902.69</v>
      </c>
      <c r="J152" s="158">
        <f t="shared" si="18"/>
        <v>5609187.4299999988</v>
      </c>
      <c r="K152" s="159">
        <f t="shared" si="17"/>
        <v>1.6000000000000001E-4</v>
      </c>
      <c r="L152" s="159">
        <f t="shared" si="19"/>
        <v>0.99748099999999995</v>
      </c>
      <c r="M152" s="160" t="str">
        <f t="shared" si="16"/>
        <v>C</v>
      </c>
    </row>
    <row r="153" spans="2:13" hidden="1">
      <c r="B153" s="154" t="s">
        <v>92</v>
      </c>
      <c r="C153" s="154">
        <v>97084</v>
      </c>
      <c r="D153" s="155" t="s">
        <v>986</v>
      </c>
      <c r="E153" s="156" t="s">
        <v>193</v>
      </c>
      <c r="F153" s="154" t="s">
        <v>95</v>
      </c>
      <c r="G153" s="161">
        <f>Quantitativos!J368</f>
        <v>1203.9000000000001</v>
      </c>
      <c r="H153" s="158">
        <v>0.67</v>
      </c>
      <c r="I153" s="158">
        <f t="shared" si="15"/>
        <v>806.61</v>
      </c>
      <c r="J153" s="158">
        <f t="shared" si="18"/>
        <v>5609994.0399999991</v>
      </c>
      <c r="K153" s="159">
        <f t="shared" si="17"/>
        <v>1.4300000000000001E-4</v>
      </c>
      <c r="L153" s="159">
        <f t="shared" si="19"/>
        <v>0.99762399999999996</v>
      </c>
      <c r="M153" s="160" t="str">
        <f t="shared" si="16"/>
        <v>C</v>
      </c>
    </row>
    <row r="154" spans="2:13" hidden="1">
      <c r="B154" s="154" t="s">
        <v>92</v>
      </c>
      <c r="C154" s="154">
        <v>98104</v>
      </c>
      <c r="D154" s="155" t="s">
        <v>819</v>
      </c>
      <c r="E154" s="156" t="s">
        <v>347</v>
      </c>
      <c r="F154" s="154" t="s">
        <v>151</v>
      </c>
      <c r="G154" s="161">
        <f>Quantitativos!O259</f>
        <v>2</v>
      </c>
      <c r="H154" s="158">
        <v>380.38</v>
      </c>
      <c r="I154" s="158">
        <f t="shared" si="15"/>
        <v>760.76</v>
      </c>
      <c r="J154" s="158">
        <f t="shared" si="18"/>
        <v>5610754.7999999989</v>
      </c>
      <c r="K154" s="159">
        <f t="shared" si="17"/>
        <v>1.35E-4</v>
      </c>
      <c r="L154" s="159">
        <f t="shared" si="19"/>
        <v>0.99775899999999995</v>
      </c>
      <c r="M154" s="160" t="str">
        <f t="shared" si="16"/>
        <v>C</v>
      </c>
    </row>
    <row r="155" spans="2:13" hidden="1">
      <c r="B155" s="154" t="s">
        <v>92</v>
      </c>
      <c r="C155" s="154">
        <v>89362</v>
      </c>
      <c r="D155" s="155" t="s">
        <v>746</v>
      </c>
      <c r="E155" s="156" t="s">
        <v>273</v>
      </c>
      <c r="F155" s="154" t="s">
        <v>151</v>
      </c>
      <c r="G155" s="161">
        <f>Quantitativos!O195</f>
        <v>83</v>
      </c>
      <c r="H155" s="158">
        <v>8.76</v>
      </c>
      <c r="I155" s="158">
        <f t="shared" si="15"/>
        <v>727.08</v>
      </c>
      <c r="J155" s="158">
        <f t="shared" si="18"/>
        <v>5611481.879999999</v>
      </c>
      <c r="K155" s="159">
        <f t="shared" si="17"/>
        <v>1.2899999999999999E-4</v>
      </c>
      <c r="L155" s="159">
        <f t="shared" si="19"/>
        <v>0.997888</v>
      </c>
      <c r="M155" s="160" t="str">
        <f t="shared" si="16"/>
        <v>C</v>
      </c>
    </row>
    <row r="156" spans="2:13" hidden="1">
      <c r="B156" s="154" t="s">
        <v>92</v>
      </c>
      <c r="C156" s="154">
        <v>100788</v>
      </c>
      <c r="D156" s="155" t="s">
        <v>854</v>
      </c>
      <c r="E156" s="156" t="s">
        <v>855</v>
      </c>
      <c r="F156" s="154" t="s">
        <v>151</v>
      </c>
      <c r="G156" s="161">
        <v>1</v>
      </c>
      <c r="H156" s="158">
        <v>706.89</v>
      </c>
      <c r="I156" s="158">
        <f t="shared" si="15"/>
        <v>706.89</v>
      </c>
      <c r="J156" s="158">
        <f t="shared" si="18"/>
        <v>5612188.7699999986</v>
      </c>
      <c r="K156" s="159">
        <f t="shared" si="17"/>
        <v>1.25E-4</v>
      </c>
      <c r="L156" s="159">
        <f t="shared" si="19"/>
        <v>0.99801300000000004</v>
      </c>
      <c r="M156" s="160" t="str">
        <f t="shared" si="16"/>
        <v>C</v>
      </c>
    </row>
    <row r="157" spans="2:13" hidden="1">
      <c r="B157" s="154" t="s">
        <v>832</v>
      </c>
      <c r="C157" s="154" t="s">
        <v>833</v>
      </c>
      <c r="D157" s="155" t="s">
        <v>834</v>
      </c>
      <c r="E157" s="156" t="s">
        <v>835</v>
      </c>
      <c r="F157" s="154" t="s">
        <v>151</v>
      </c>
      <c r="G157" s="161">
        <v>12</v>
      </c>
      <c r="H157" s="158">
        <v>57.54</v>
      </c>
      <c r="I157" s="158">
        <f t="shared" si="15"/>
        <v>690.48</v>
      </c>
      <c r="J157" s="158">
        <f t="shared" si="18"/>
        <v>5612879.2499999991</v>
      </c>
      <c r="K157" s="159">
        <f t="shared" si="17"/>
        <v>1.22E-4</v>
      </c>
      <c r="L157" s="159">
        <f t="shared" si="19"/>
        <v>0.99813499999999999</v>
      </c>
      <c r="M157" s="160" t="str">
        <f t="shared" si="16"/>
        <v>C</v>
      </c>
    </row>
    <row r="158" spans="2:13" hidden="1">
      <c r="B158" s="154" t="s">
        <v>92</v>
      </c>
      <c r="C158" s="154">
        <v>89726</v>
      </c>
      <c r="D158" s="155" t="s">
        <v>801</v>
      </c>
      <c r="E158" s="156" t="s">
        <v>330</v>
      </c>
      <c r="F158" s="154" t="s">
        <v>151</v>
      </c>
      <c r="G158" s="161">
        <f>Quantitativos!O246</f>
        <v>69</v>
      </c>
      <c r="H158" s="158">
        <v>9.44</v>
      </c>
      <c r="I158" s="158">
        <f t="shared" si="15"/>
        <v>651.36</v>
      </c>
      <c r="J158" s="158">
        <f t="shared" si="18"/>
        <v>5613530.6099999994</v>
      </c>
      <c r="K158" s="159">
        <f t="shared" si="17"/>
        <v>1.15E-4</v>
      </c>
      <c r="L158" s="159">
        <f t="shared" si="19"/>
        <v>0.99824999999999997</v>
      </c>
      <c r="M158" s="160" t="str">
        <f t="shared" si="16"/>
        <v>C</v>
      </c>
    </row>
    <row r="159" spans="2:13" hidden="1">
      <c r="B159" s="154" t="s">
        <v>92</v>
      </c>
      <c r="C159" s="154">
        <v>89426</v>
      </c>
      <c r="D159" s="155" t="s">
        <v>756</v>
      </c>
      <c r="E159" s="156" t="s">
        <v>757</v>
      </c>
      <c r="F159" s="154" t="s">
        <v>151</v>
      </c>
      <c r="G159" s="161">
        <f>Quantitativos!O206</f>
        <v>71</v>
      </c>
      <c r="H159" s="158">
        <v>8.65</v>
      </c>
      <c r="I159" s="158">
        <f t="shared" si="15"/>
        <v>614.15</v>
      </c>
      <c r="J159" s="158">
        <f t="shared" si="18"/>
        <v>5614144.7599999998</v>
      </c>
      <c r="K159" s="159">
        <f t="shared" si="17"/>
        <v>1.0900000000000001E-4</v>
      </c>
      <c r="L159" s="159">
        <f t="shared" si="19"/>
        <v>0.998359</v>
      </c>
      <c r="M159" s="160" t="str">
        <f t="shared" si="16"/>
        <v>C</v>
      </c>
    </row>
    <row r="160" spans="2:13" hidden="1">
      <c r="B160" s="154" t="s">
        <v>92</v>
      </c>
      <c r="C160" s="154">
        <v>89713</v>
      </c>
      <c r="D160" s="155" t="s">
        <v>773</v>
      </c>
      <c r="E160" s="156" t="s">
        <v>305</v>
      </c>
      <c r="F160" s="154" t="s">
        <v>104</v>
      </c>
      <c r="G160" s="161">
        <f>Quantitativos!O229</f>
        <v>21</v>
      </c>
      <c r="H160" s="158">
        <v>29.06</v>
      </c>
      <c r="I160" s="158">
        <f t="shared" si="15"/>
        <v>610.26</v>
      </c>
      <c r="J160" s="158">
        <f t="shared" si="18"/>
        <v>5614755.0199999996</v>
      </c>
      <c r="K160" s="159">
        <f t="shared" si="17"/>
        <v>1.08E-4</v>
      </c>
      <c r="L160" s="159">
        <f t="shared" si="19"/>
        <v>0.99846699999999999</v>
      </c>
      <c r="M160" s="160" t="str">
        <f t="shared" si="16"/>
        <v>C</v>
      </c>
    </row>
    <row r="161" spans="2:13" hidden="1">
      <c r="B161" s="154" t="s">
        <v>92</v>
      </c>
      <c r="C161" s="154">
        <v>89386</v>
      </c>
      <c r="D161" s="155" t="s">
        <v>713</v>
      </c>
      <c r="E161" s="156" t="s">
        <v>254</v>
      </c>
      <c r="F161" s="154" t="s">
        <v>151</v>
      </c>
      <c r="G161" s="161">
        <f>Quantitativos!O178</f>
        <v>65</v>
      </c>
      <c r="H161" s="158">
        <v>8.86</v>
      </c>
      <c r="I161" s="158">
        <f t="shared" si="15"/>
        <v>575.9</v>
      </c>
      <c r="J161" s="158">
        <f t="shared" si="18"/>
        <v>5615330.9199999999</v>
      </c>
      <c r="K161" s="159">
        <f t="shared" si="17"/>
        <v>1.02E-4</v>
      </c>
      <c r="L161" s="159">
        <f t="shared" si="19"/>
        <v>0.99856900000000004</v>
      </c>
      <c r="M161" s="160" t="str">
        <f t="shared" si="16"/>
        <v>C</v>
      </c>
    </row>
    <row r="162" spans="2:13" hidden="1">
      <c r="B162" s="154" t="s">
        <v>92</v>
      </c>
      <c r="C162" s="154">
        <v>94492</v>
      </c>
      <c r="D162" s="155" t="s">
        <v>726</v>
      </c>
      <c r="E162" s="156" t="s">
        <v>261</v>
      </c>
      <c r="F162" s="154" t="s">
        <v>151</v>
      </c>
      <c r="G162" s="161">
        <f>Quantitativos!O184</f>
        <v>8</v>
      </c>
      <c r="H162" s="158">
        <v>68.81</v>
      </c>
      <c r="I162" s="158">
        <f t="shared" si="15"/>
        <v>550.48</v>
      </c>
      <c r="J162" s="158">
        <f t="shared" si="18"/>
        <v>5615881.4000000004</v>
      </c>
      <c r="K162" s="159">
        <f t="shared" si="17"/>
        <v>9.7E-5</v>
      </c>
      <c r="L162" s="159">
        <f t="shared" si="19"/>
        <v>0.99866600000000005</v>
      </c>
      <c r="M162" s="160" t="str">
        <f t="shared" si="16"/>
        <v>C</v>
      </c>
    </row>
    <row r="163" spans="2:13" hidden="1">
      <c r="B163" s="154" t="s">
        <v>832</v>
      </c>
      <c r="C163" s="154" t="s">
        <v>837</v>
      </c>
      <c r="D163" s="155" t="s">
        <v>838</v>
      </c>
      <c r="E163" s="156" t="s">
        <v>839</v>
      </c>
      <c r="F163" s="154" t="s">
        <v>151</v>
      </c>
      <c r="G163" s="161">
        <f>Quantitativos!D277</f>
        <v>36</v>
      </c>
      <c r="H163" s="158">
        <v>13.66</v>
      </c>
      <c r="I163" s="158">
        <f t="shared" ref="I163:I194" si="20">TRUNC(G163*H163,2)</f>
        <v>491.76</v>
      </c>
      <c r="J163" s="158">
        <f t="shared" si="18"/>
        <v>5616373.1600000001</v>
      </c>
      <c r="K163" s="159">
        <f t="shared" si="17"/>
        <v>8.7000000000000001E-5</v>
      </c>
      <c r="L163" s="159">
        <f t="shared" si="19"/>
        <v>0.998753</v>
      </c>
      <c r="M163" s="160" t="str">
        <f t="shared" ref="M163:M194" si="21">IF(L163&lt;=$P$3,"A",IF(L163&lt;=$P$4,"B","C"))</f>
        <v>C</v>
      </c>
    </row>
    <row r="164" spans="2:13" hidden="1">
      <c r="B164" s="154" t="s">
        <v>92</v>
      </c>
      <c r="C164" s="154">
        <v>99818</v>
      </c>
      <c r="D164" s="155" t="s">
        <v>1111</v>
      </c>
      <c r="E164" s="156" t="s">
        <v>1112</v>
      </c>
      <c r="F164" s="154" t="s">
        <v>151</v>
      </c>
      <c r="G164" s="161">
        <f>G151+G152</f>
        <v>59</v>
      </c>
      <c r="H164" s="158">
        <v>7.03</v>
      </c>
      <c r="I164" s="158">
        <f t="shared" si="20"/>
        <v>414.77</v>
      </c>
      <c r="J164" s="158">
        <f t="shared" si="18"/>
        <v>5616787.9299999997</v>
      </c>
      <c r="K164" s="159">
        <f t="shared" si="17"/>
        <v>7.2999999999999999E-5</v>
      </c>
      <c r="L164" s="159">
        <f t="shared" si="19"/>
        <v>0.99882599999999999</v>
      </c>
      <c r="M164" s="160" t="str">
        <f t="shared" si="21"/>
        <v>C</v>
      </c>
    </row>
    <row r="165" spans="2:13" hidden="1">
      <c r="B165" s="154" t="s">
        <v>92</v>
      </c>
      <c r="C165" s="154">
        <v>104779</v>
      </c>
      <c r="D165" s="155" t="s">
        <v>768</v>
      </c>
      <c r="E165" s="156" t="s">
        <v>246</v>
      </c>
      <c r="F165" s="154" t="s">
        <v>104</v>
      </c>
      <c r="G165" s="161">
        <f>Quantitativos!O224</f>
        <v>72</v>
      </c>
      <c r="H165" s="158">
        <v>6.04</v>
      </c>
      <c r="I165" s="158">
        <f t="shared" si="20"/>
        <v>434.88</v>
      </c>
      <c r="J165" s="158">
        <f t="shared" si="18"/>
        <v>5617222.8099999996</v>
      </c>
      <c r="K165" s="159">
        <f t="shared" si="17"/>
        <v>7.7000000000000001E-5</v>
      </c>
      <c r="L165" s="159">
        <f t="shared" si="19"/>
        <v>0.99890299999999999</v>
      </c>
      <c r="M165" s="160" t="str">
        <f t="shared" si="21"/>
        <v>C</v>
      </c>
    </row>
    <row r="166" spans="2:13" hidden="1">
      <c r="B166" s="154" t="s">
        <v>92</v>
      </c>
      <c r="C166" s="154">
        <v>89378</v>
      </c>
      <c r="D166" s="155" t="s">
        <v>715</v>
      </c>
      <c r="E166" s="156" t="s">
        <v>255</v>
      </c>
      <c r="F166" s="154" t="s">
        <v>151</v>
      </c>
      <c r="G166" s="161">
        <f>Quantitativos!O179</f>
        <v>66</v>
      </c>
      <c r="H166" s="158">
        <v>6.52</v>
      </c>
      <c r="I166" s="158">
        <f t="shared" si="20"/>
        <v>430.32</v>
      </c>
      <c r="J166" s="158">
        <f t="shared" si="18"/>
        <v>5617653.1299999999</v>
      </c>
      <c r="K166" s="159">
        <f t="shared" si="17"/>
        <v>7.6000000000000004E-5</v>
      </c>
      <c r="L166" s="159">
        <f t="shared" si="19"/>
        <v>0.99897899999999995</v>
      </c>
      <c r="M166" s="160" t="str">
        <f t="shared" si="21"/>
        <v>C</v>
      </c>
    </row>
    <row r="167" spans="2:13" hidden="1">
      <c r="B167" s="154" t="s">
        <v>92</v>
      </c>
      <c r="C167" s="154">
        <v>100563</v>
      </c>
      <c r="D167" s="155" t="s">
        <v>931</v>
      </c>
      <c r="E167" s="156" t="s">
        <v>388</v>
      </c>
      <c r="F167" s="154" t="s">
        <v>151</v>
      </c>
      <c r="G167" s="161">
        <f>Quantitativos!R319</f>
        <v>1</v>
      </c>
      <c r="H167" s="158">
        <v>414.58</v>
      </c>
      <c r="I167" s="158">
        <f t="shared" si="20"/>
        <v>414.58</v>
      </c>
      <c r="J167" s="158">
        <f t="shared" si="18"/>
        <v>5618067.71</v>
      </c>
      <c r="K167" s="159">
        <f t="shared" si="17"/>
        <v>7.2999999999999999E-5</v>
      </c>
      <c r="L167" s="159">
        <f t="shared" si="19"/>
        <v>0.99905200000000005</v>
      </c>
      <c r="M167" s="160" t="str">
        <f t="shared" si="21"/>
        <v>C</v>
      </c>
    </row>
    <row r="168" spans="2:13" hidden="1">
      <c r="B168" s="154" t="s">
        <v>92</v>
      </c>
      <c r="C168" s="154">
        <v>96986</v>
      </c>
      <c r="D168" s="155" t="s">
        <v>916</v>
      </c>
      <c r="E168" s="156" t="s">
        <v>917</v>
      </c>
      <c r="F168" s="154" t="s">
        <v>151</v>
      </c>
      <c r="G168" s="161">
        <v>3</v>
      </c>
      <c r="H168" s="158">
        <v>135.63</v>
      </c>
      <c r="I168" s="158">
        <f t="shared" si="20"/>
        <v>406.89</v>
      </c>
      <c r="J168" s="158">
        <f t="shared" si="18"/>
        <v>5618474.5999999996</v>
      </c>
      <c r="K168" s="159">
        <f t="shared" si="17"/>
        <v>7.2000000000000002E-5</v>
      </c>
      <c r="L168" s="159">
        <f t="shared" si="19"/>
        <v>0.99912400000000001</v>
      </c>
      <c r="M168" s="160" t="str">
        <f t="shared" si="21"/>
        <v>C</v>
      </c>
    </row>
    <row r="169" spans="2:13" hidden="1">
      <c r="B169" s="154" t="s">
        <v>92</v>
      </c>
      <c r="C169" s="154">
        <v>89369</v>
      </c>
      <c r="D169" s="155" t="s">
        <v>741</v>
      </c>
      <c r="E169" s="156" t="s">
        <v>742</v>
      </c>
      <c r="F169" s="154" t="s">
        <v>151</v>
      </c>
      <c r="G169" s="161">
        <f>Quantitativos!O191</f>
        <v>25</v>
      </c>
      <c r="H169" s="158">
        <v>15.61</v>
      </c>
      <c r="I169" s="158">
        <f t="shared" si="20"/>
        <v>390.25</v>
      </c>
      <c r="J169" s="158">
        <f t="shared" si="18"/>
        <v>5618864.8499999996</v>
      </c>
      <c r="K169" s="159">
        <f t="shared" si="17"/>
        <v>6.8999999999999997E-5</v>
      </c>
      <c r="L169" s="159">
        <f t="shared" si="19"/>
        <v>0.999193</v>
      </c>
      <c r="M169" s="160" t="str">
        <f t="shared" si="21"/>
        <v>C</v>
      </c>
    </row>
    <row r="170" spans="2:13" hidden="1">
      <c r="B170" s="154" t="s">
        <v>92</v>
      </c>
      <c r="C170" s="154">
        <v>94706</v>
      </c>
      <c r="D170" s="155" t="s">
        <v>720</v>
      </c>
      <c r="E170" s="156" t="s">
        <v>721</v>
      </c>
      <c r="F170" s="154" t="s">
        <v>151</v>
      </c>
      <c r="G170" s="161">
        <f>Quantitativos!O182</f>
        <v>12</v>
      </c>
      <c r="H170" s="158">
        <v>31.44</v>
      </c>
      <c r="I170" s="158">
        <f t="shared" si="20"/>
        <v>377.28</v>
      </c>
      <c r="J170" s="158">
        <f t="shared" si="18"/>
        <v>5619242.1299999999</v>
      </c>
      <c r="K170" s="159">
        <f t="shared" si="17"/>
        <v>6.7000000000000002E-5</v>
      </c>
      <c r="L170" s="159">
        <f t="shared" si="19"/>
        <v>0.99926000000000004</v>
      </c>
      <c r="M170" s="160" t="str">
        <f t="shared" si="21"/>
        <v>C</v>
      </c>
    </row>
    <row r="171" spans="2:13" hidden="1">
      <c r="B171" s="154" t="s">
        <v>92</v>
      </c>
      <c r="C171" s="154">
        <v>103986</v>
      </c>
      <c r="D171" s="155" t="s">
        <v>738</v>
      </c>
      <c r="E171" s="156" t="s">
        <v>739</v>
      </c>
      <c r="F171" s="154" t="s">
        <v>151</v>
      </c>
      <c r="G171" s="161">
        <f>Quantitativos!O190</f>
        <v>15</v>
      </c>
      <c r="H171" s="158">
        <v>25</v>
      </c>
      <c r="I171" s="158">
        <f t="shared" si="20"/>
        <v>375</v>
      </c>
      <c r="J171" s="158">
        <f t="shared" si="18"/>
        <v>5619617.1299999999</v>
      </c>
      <c r="K171" s="159">
        <f t="shared" si="17"/>
        <v>6.6000000000000005E-5</v>
      </c>
      <c r="L171" s="159">
        <f t="shared" si="19"/>
        <v>0.99932600000000005</v>
      </c>
      <c r="M171" s="160" t="str">
        <f t="shared" si="21"/>
        <v>C</v>
      </c>
    </row>
    <row r="172" spans="2:13" hidden="1">
      <c r="B172" s="154" t="s">
        <v>148</v>
      </c>
      <c r="C172" s="154" t="s">
        <v>149</v>
      </c>
      <c r="D172" s="155" t="s">
        <v>608</v>
      </c>
      <c r="E172" s="156" t="s">
        <v>157</v>
      </c>
      <c r="F172" s="154" t="s">
        <v>151</v>
      </c>
      <c r="G172" s="161">
        <v>1</v>
      </c>
      <c r="H172" s="158">
        <v>262.55</v>
      </c>
      <c r="I172" s="158">
        <f t="shared" si="20"/>
        <v>262.55</v>
      </c>
      <c r="J172" s="158">
        <f t="shared" si="18"/>
        <v>5619879.6799999997</v>
      </c>
      <c r="K172" s="159">
        <f t="shared" si="17"/>
        <v>4.6E-5</v>
      </c>
      <c r="L172" s="159">
        <f t="shared" si="19"/>
        <v>0.99937200000000004</v>
      </c>
      <c r="M172" s="160" t="str">
        <f t="shared" si="21"/>
        <v>C</v>
      </c>
    </row>
    <row r="173" spans="2:13" hidden="1">
      <c r="B173" s="154" t="s">
        <v>92</v>
      </c>
      <c r="C173" s="154">
        <v>89594</v>
      </c>
      <c r="D173" s="155" t="s">
        <v>730</v>
      </c>
      <c r="E173" s="156" t="s">
        <v>263</v>
      </c>
      <c r="F173" s="154" t="s">
        <v>151</v>
      </c>
      <c r="G173" s="161">
        <f>Quantitativos!O186</f>
        <v>8</v>
      </c>
      <c r="H173" s="158">
        <v>31.25</v>
      </c>
      <c r="I173" s="158">
        <f t="shared" si="20"/>
        <v>250</v>
      </c>
      <c r="J173" s="158">
        <f t="shared" si="18"/>
        <v>5620129.6799999997</v>
      </c>
      <c r="K173" s="159">
        <f t="shared" si="17"/>
        <v>4.3999999999999999E-5</v>
      </c>
      <c r="L173" s="159">
        <f t="shared" si="19"/>
        <v>0.99941599999999997</v>
      </c>
      <c r="M173" s="160" t="str">
        <f t="shared" si="21"/>
        <v>C</v>
      </c>
    </row>
    <row r="174" spans="2:13" hidden="1">
      <c r="B174" s="154" t="s">
        <v>92</v>
      </c>
      <c r="C174" s="154">
        <v>95695</v>
      </c>
      <c r="D174" s="155" t="s">
        <v>824</v>
      </c>
      <c r="E174" s="156" t="s">
        <v>352</v>
      </c>
      <c r="F174" s="154" t="s">
        <v>151</v>
      </c>
      <c r="G174" s="161">
        <f>Quantitativos!O265</f>
        <v>4</v>
      </c>
      <c r="H174" s="158">
        <v>52.07</v>
      </c>
      <c r="I174" s="158">
        <f t="shared" si="20"/>
        <v>208.28</v>
      </c>
      <c r="J174" s="158">
        <f t="shared" si="18"/>
        <v>5620337.96</v>
      </c>
      <c r="K174" s="159">
        <f t="shared" si="17"/>
        <v>3.6999999999999998E-5</v>
      </c>
      <c r="L174" s="159">
        <f t="shared" si="19"/>
        <v>0.99945300000000004</v>
      </c>
      <c r="M174" s="160" t="str">
        <f t="shared" si="21"/>
        <v>C</v>
      </c>
    </row>
    <row r="175" spans="2:13" hidden="1">
      <c r="B175" s="154" t="s">
        <v>92</v>
      </c>
      <c r="C175" s="154">
        <v>89625</v>
      </c>
      <c r="D175" s="155" t="s">
        <v>748</v>
      </c>
      <c r="E175" s="156" t="s">
        <v>279</v>
      </c>
      <c r="F175" s="154" t="s">
        <v>151</v>
      </c>
      <c r="G175" s="161">
        <f>Quantitativos!O201</f>
        <v>10</v>
      </c>
      <c r="H175" s="158">
        <v>20.57</v>
      </c>
      <c r="I175" s="158">
        <f t="shared" si="20"/>
        <v>205.7</v>
      </c>
      <c r="J175" s="158">
        <f t="shared" si="18"/>
        <v>5620543.6600000001</v>
      </c>
      <c r="K175" s="159">
        <f t="shared" si="17"/>
        <v>3.6000000000000001E-5</v>
      </c>
      <c r="L175" s="159">
        <f t="shared" si="19"/>
        <v>0.99948899999999996</v>
      </c>
      <c r="M175" s="160" t="str">
        <f t="shared" si="21"/>
        <v>C</v>
      </c>
    </row>
    <row r="176" spans="2:13" hidden="1">
      <c r="B176" s="154" t="s">
        <v>92</v>
      </c>
      <c r="C176" s="154">
        <v>93673</v>
      </c>
      <c r="D176" s="155" t="s">
        <v>908</v>
      </c>
      <c r="E176" s="156" t="str">
        <f>Quantitativos!A309</f>
        <v>Disjuntor tripolar 50A</v>
      </c>
      <c r="F176" s="154" t="str">
        <f>Quantitativos!B309</f>
        <v>und</v>
      </c>
      <c r="G176" s="161">
        <f>Quantitativos!R309</f>
        <v>2</v>
      </c>
      <c r="H176" s="158">
        <v>99.9</v>
      </c>
      <c r="I176" s="158">
        <f t="shared" si="20"/>
        <v>199.8</v>
      </c>
      <c r="J176" s="158">
        <f t="shared" si="18"/>
        <v>5620743.46</v>
      </c>
      <c r="K176" s="159">
        <f t="shared" si="17"/>
        <v>3.4999999999999997E-5</v>
      </c>
      <c r="L176" s="159">
        <f t="shared" si="19"/>
        <v>0.99952399999999997</v>
      </c>
      <c r="M176" s="160" t="str">
        <f t="shared" si="21"/>
        <v>C</v>
      </c>
    </row>
    <row r="177" spans="2:13" hidden="1">
      <c r="B177" s="154" t="s">
        <v>92</v>
      </c>
      <c r="C177" s="154">
        <v>89785</v>
      </c>
      <c r="D177" s="155" t="s">
        <v>807</v>
      </c>
      <c r="E177" s="156" t="s">
        <v>337</v>
      </c>
      <c r="F177" s="154" t="s">
        <v>151</v>
      </c>
      <c r="G177" s="161">
        <f>Quantitativos!O251</f>
        <v>8</v>
      </c>
      <c r="H177" s="158">
        <v>24.56</v>
      </c>
      <c r="I177" s="158">
        <f t="shared" si="20"/>
        <v>196.48</v>
      </c>
      <c r="J177" s="158">
        <f t="shared" si="18"/>
        <v>5620939.9400000004</v>
      </c>
      <c r="K177" s="159">
        <f t="shared" si="17"/>
        <v>3.4E-5</v>
      </c>
      <c r="L177" s="159">
        <f t="shared" si="19"/>
        <v>0.99955799999999995</v>
      </c>
      <c r="M177" s="160" t="str">
        <f t="shared" si="21"/>
        <v>C</v>
      </c>
    </row>
    <row r="178" spans="2:13" hidden="1">
      <c r="B178" s="154" t="s">
        <v>92</v>
      </c>
      <c r="C178" s="154">
        <v>93656</v>
      </c>
      <c r="D178" s="155" t="s">
        <v>906</v>
      </c>
      <c r="E178" s="156" t="str">
        <f>Quantitativos!A308</f>
        <v>Disjuntor monopolar 20A</v>
      </c>
      <c r="F178" s="154" t="str">
        <f>Quantitativos!B308</f>
        <v>und</v>
      </c>
      <c r="G178" s="161">
        <f>Quantitativos!R308</f>
        <v>11</v>
      </c>
      <c r="H178" s="158">
        <v>14.12</v>
      </c>
      <c r="I178" s="158">
        <f t="shared" si="20"/>
        <v>155.32</v>
      </c>
      <c r="J178" s="158">
        <f t="shared" si="18"/>
        <v>5621095.2600000007</v>
      </c>
      <c r="K178" s="159">
        <f t="shared" si="17"/>
        <v>2.6999999999999999E-5</v>
      </c>
      <c r="L178" s="159">
        <f t="shared" si="19"/>
        <v>0.99958499999999995</v>
      </c>
      <c r="M178" s="160" t="str">
        <f t="shared" si="21"/>
        <v>C</v>
      </c>
    </row>
    <row r="179" spans="2:13" hidden="1">
      <c r="B179" s="154" t="s">
        <v>92</v>
      </c>
      <c r="C179" s="154">
        <v>92701</v>
      </c>
      <c r="D179" s="155" t="s">
        <v>850</v>
      </c>
      <c r="E179" s="156" t="s">
        <v>365</v>
      </c>
      <c r="F179" s="154" t="s">
        <v>151</v>
      </c>
      <c r="G179" s="161">
        <f>Quantitativos!O281</f>
        <v>5</v>
      </c>
      <c r="H179" s="158">
        <v>29.11</v>
      </c>
      <c r="I179" s="158">
        <f t="shared" si="20"/>
        <v>145.55000000000001</v>
      </c>
      <c r="J179" s="158">
        <f t="shared" si="18"/>
        <v>5621240.8100000005</v>
      </c>
      <c r="K179" s="159">
        <f t="shared" si="17"/>
        <v>2.5000000000000001E-5</v>
      </c>
      <c r="L179" s="159">
        <f t="shared" si="19"/>
        <v>0.99961</v>
      </c>
      <c r="M179" s="160" t="str">
        <f t="shared" si="21"/>
        <v>C</v>
      </c>
    </row>
    <row r="180" spans="2:13" hidden="1">
      <c r="B180" s="154" t="s">
        <v>92</v>
      </c>
      <c r="C180" s="154">
        <v>98111</v>
      </c>
      <c r="D180" s="155" t="s">
        <v>913</v>
      </c>
      <c r="E180" s="156" t="s">
        <v>914</v>
      </c>
      <c r="F180" s="154" t="s">
        <v>151</v>
      </c>
      <c r="G180" s="161">
        <v>3</v>
      </c>
      <c r="H180" s="158">
        <v>47.78</v>
      </c>
      <c r="I180" s="158">
        <f t="shared" si="20"/>
        <v>143.34</v>
      </c>
      <c r="J180" s="158">
        <f t="shared" si="18"/>
        <v>5621384.1500000004</v>
      </c>
      <c r="K180" s="159">
        <f t="shared" si="17"/>
        <v>2.5000000000000001E-5</v>
      </c>
      <c r="L180" s="159">
        <f t="shared" si="19"/>
        <v>0.99963500000000005</v>
      </c>
      <c r="M180" s="160" t="str">
        <f t="shared" si="21"/>
        <v>C</v>
      </c>
    </row>
    <row r="181" spans="2:13" hidden="1">
      <c r="B181" s="154" t="s">
        <v>629</v>
      </c>
      <c r="C181" s="154" t="s">
        <v>149</v>
      </c>
      <c r="D181" s="155" t="s">
        <v>765</v>
      </c>
      <c r="E181" s="156" t="s">
        <v>289</v>
      </c>
      <c r="F181" s="154" t="s">
        <v>151</v>
      </c>
      <c r="G181" s="161">
        <f>Quantitativos!O210</f>
        <v>272</v>
      </c>
      <c r="H181" s="158">
        <v>0.5</v>
      </c>
      <c r="I181" s="158">
        <f t="shared" si="20"/>
        <v>136</v>
      </c>
      <c r="J181" s="158">
        <f t="shared" si="18"/>
        <v>5621520.1500000004</v>
      </c>
      <c r="K181" s="159">
        <f t="shared" si="17"/>
        <v>2.4000000000000001E-5</v>
      </c>
      <c r="L181" s="159">
        <f t="shared" si="19"/>
        <v>0.99965899999999996</v>
      </c>
      <c r="M181" s="160" t="str">
        <f t="shared" si="21"/>
        <v>C</v>
      </c>
    </row>
    <row r="182" spans="2:13" hidden="1">
      <c r="B182" s="154" t="s">
        <v>92</v>
      </c>
      <c r="C182" s="154">
        <v>89753</v>
      </c>
      <c r="D182" s="155" t="s">
        <v>785</v>
      </c>
      <c r="E182" s="156" t="s">
        <v>316</v>
      </c>
      <c r="F182" s="154" t="s">
        <v>151</v>
      </c>
      <c r="G182" s="161">
        <f>Quantitativos!O236</f>
        <v>16</v>
      </c>
      <c r="H182" s="158">
        <v>8.18</v>
      </c>
      <c r="I182" s="158">
        <f t="shared" si="20"/>
        <v>130.88</v>
      </c>
      <c r="J182" s="158">
        <f t="shared" si="18"/>
        <v>5621651.0300000003</v>
      </c>
      <c r="K182" s="159">
        <f t="shared" si="17"/>
        <v>2.3E-5</v>
      </c>
      <c r="L182" s="159">
        <f t="shared" si="19"/>
        <v>0.99968199999999996</v>
      </c>
      <c r="M182" s="160" t="str">
        <f t="shared" si="21"/>
        <v>C</v>
      </c>
    </row>
    <row r="183" spans="2:13" hidden="1">
      <c r="B183" s="154" t="s">
        <v>92</v>
      </c>
      <c r="C183" s="154">
        <v>93654</v>
      </c>
      <c r="D183" s="155" t="s">
        <v>904</v>
      </c>
      <c r="E183" s="156" t="str">
        <f>Quantitativos!A307</f>
        <v>Disjuntor monopolar 16A</v>
      </c>
      <c r="F183" s="154" t="str">
        <f>Quantitativos!B307</f>
        <v>und</v>
      </c>
      <c r="G183" s="161">
        <f>Quantitativos!R307</f>
        <v>10</v>
      </c>
      <c r="H183" s="158">
        <v>12.82</v>
      </c>
      <c r="I183" s="158">
        <f t="shared" si="20"/>
        <v>128.19999999999999</v>
      </c>
      <c r="J183" s="158">
        <f t="shared" si="18"/>
        <v>5621779.2300000004</v>
      </c>
      <c r="K183" s="159">
        <f t="shared" si="17"/>
        <v>2.1999999999999999E-5</v>
      </c>
      <c r="L183" s="159">
        <f t="shared" si="19"/>
        <v>0.99970400000000004</v>
      </c>
      <c r="M183" s="160" t="str">
        <f t="shared" si="21"/>
        <v>C</v>
      </c>
    </row>
    <row r="184" spans="2:13" hidden="1">
      <c r="B184" s="154" t="s">
        <v>832</v>
      </c>
      <c r="C184" s="154" t="s">
        <v>837</v>
      </c>
      <c r="D184" s="155" t="s">
        <v>841</v>
      </c>
      <c r="E184" s="156" t="s">
        <v>842</v>
      </c>
      <c r="F184" s="154" t="s">
        <v>151</v>
      </c>
      <c r="G184" s="161">
        <f>Quantitativos!E277</f>
        <v>8</v>
      </c>
      <c r="H184" s="158">
        <v>13.66</v>
      </c>
      <c r="I184" s="158">
        <f t="shared" si="20"/>
        <v>109.28</v>
      </c>
      <c r="J184" s="158">
        <f t="shared" si="18"/>
        <v>5621888.5100000007</v>
      </c>
      <c r="K184" s="159">
        <f t="shared" si="17"/>
        <v>1.9000000000000001E-5</v>
      </c>
      <c r="L184" s="159">
        <f t="shared" si="19"/>
        <v>0.99972300000000003</v>
      </c>
      <c r="M184" s="160" t="str">
        <f t="shared" si="21"/>
        <v>C</v>
      </c>
    </row>
    <row r="185" spans="2:13" hidden="1">
      <c r="B185" s="154" t="s">
        <v>92</v>
      </c>
      <c r="C185" s="154">
        <v>89501</v>
      </c>
      <c r="D185" s="155" t="s">
        <v>744</v>
      </c>
      <c r="E185" s="156" t="s">
        <v>270</v>
      </c>
      <c r="F185" s="154" t="s">
        <v>151</v>
      </c>
      <c r="G185" s="161">
        <f>Quantitativos!O193</f>
        <v>8</v>
      </c>
      <c r="H185" s="158">
        <v>13.09</v>
      </c>
      <c r="I185" s="158">
        <f t="shared" si="20"/>
        <v>104.72</v>
      </c>
      <c r="J185" s="158">
        <f t="shared" si="18"/>
        <v>5621993.2300000004</v>
      </c>
      <c r="K185" s="159">
        <f t="shared" si="17"/>
        <v>1.8E-5</v>
      </c>
      <c r="L185" s="159">
        <f t="shared" si="19"/>
        <v>0.99974099999999999</v>
      </c>
      <c r="M185" s="160" t="str">
        <f t="shared" si="21"/>
        <v>C</v>
      </c>
    </row>
    <row r="186" spans="2:13" hidden="1">
      <c r="B186" s="154" t="s">
        <v>92</v>
      </c>
      <c r="C186" s="154">
        <v>103029</v>
      </c>
      <c r="D186" s="155" t="s">
        <v>857</v>
      </c>
      <c r="E186" s="156" t="s">
        <v>858</v>
      </c>
      <c r="F186" s="154" t="s">
        <v>151</v>
      </c>
      <c r="G186" s="161">
        <v>2</v>
      </c>
      <c r="H186" s="158">
        <v>50.59</v>
      </c>
      <c r="I186" s="158">
        <f t="shared" si="20"/>
        <v>101.18</v>
      </c>
      <c r="J186" s="158">
        <f t="shared" si="18"/>
        <v>5622094.4100000001</v>
      </c>
      <c r="K186" s="159">
        <f t="shared" si="17"/>
        <v>1.7E-5</v>
      </c>
      <c r="L186" s="159">
        <f t="shared" si="19"/>
        <v>0.99975800000000004</v>
      </c>
      <c r="M186" s="160" t="str">
        <f t="shared" si="21"/>
        <v>C</v>
      </c>
    </row>
    <row r="187" spans="2:13" hidden="1">
      <c r="B187" s="154" t="s">
        <v>92</v>
      </c>
      <c r="C187" s="154">
        <v>94490</v>
      </c>
      <c r="D187" s="155" t="s">
        <v>728</v>
      </c>
      <c r="E187" s="156" t="s">
        <v>262</v>
      </c>
      <c r="F187" s="154" t="s">
        <v>151</v>
      </c>
      <c r="G187" s="161">
        <f>Quantitativos!O185</f>
        <v>2</v>
      </c>
      <c r="H187" s="158">
        <v>49.16</v>
      </c>
      <c r="I187" s="158">
        <f t="shared" si="20"/>
        <v>98.32</v>
      </c>
      <c r="J187" s="158">
        <f t="shared" si="18"/>
        <v>5622192.7300000004</v>
      </c>
      <c r="K187" s="159">
        <f t="shared" si="17"/>
        <v>1.7E-5</v>
      </c>
      <c r="L187" s="159">
        <f t="shared" si="19"/>
        <v>0.99977499999999997</v>
      </c>
      <c r="M187" s="160" t="str">
        <f t="shared" si="21"/>
        <v>C</v>
      </c>
    </row>
    <row r="188" spans="2:13" hidden="1">
      <c r="B188" s="154" t="s">
        <v>92</v>
      </c>
      <c r="C188" s="154">
        <v>94704</v>
      </c>
      <c r="D188" s="155" t="s">
        <v>723</v>
      </c>
      <c r="E188" s="156" t="s">
        <v>724</v>
      </c>
      <c r="F188" s="154" t="s">
        <v>151</v>
      </c>
      <c r="G188" s="161">
        <f>Quantitativos!O183</f>
        <v>4</v>
      </c>
      <c r="H188" s="158">
        <v>23.49</v>
      </c>
      <c r="I188" s="158">
        <f t="shared" si="20"/>
        <v>93.96</v>
      </c>
      <c r="J188" s="158">
        <f t="shared" si="18"/>
        <v>5622286.6900000004</v>
      </c>
      <c r="K188" s="159">
        <f t="shared" si="17"/>
        <v>1.5999999999999999E-5</v>
      </c>
      <c r="L188" s="159">
        <f t="shared" si="19"/>
        <v>0.99979099999999999</v>
      </c>
      <c r="M188" s="160" t="str">
        <f t="shared" si="21"/>
        <v>C</v>
      </c>
    </row>
    <row r="189" spans="2:13" hidden="1">
      <c r="B189" s="154" t="s">
        <v>92</v>
      </c>
      <c r="C189" s="154">
        <v>89739</v>
      </c>
      <c r="D189" s="155" t="s">
        <v>797</v>
      </c>
      <c r="E189" s="156" t="s">
        <v>327</v>
      </c>
      <c r="F189" s="154" t="s">
        <v>151</v>
      </c>
      <c r="G189" s="161">
        <f>Quantitativos!O244</f>
        <v>4</v>
      </c>
      <c r="H189" s="158">
        <v>22.09</v>
      </c>
      <c r="I189" s="158">
        <f t="shared" si="20"/>
        <v>88.36</v>
      </c>
      <c r="J189" s="158">
        <f t="shared" si="18"/>
        <v>5622375.0500000007</v>
      </c>
      <c r="K189" s="159">
        <f t="shared" si="17"/>
        <v>1.5E-5</v>
      </c>
      <c r="L189" s="159">
        <f t="shared" si="19"/>
        <v>0.99980599999999997</v>
      </c>
      <c r="M189" s="160" t="str">
        <f t="shared" si="21"/>
        <v>C</v>
      </c>
    </row>
    <row r="190" spans="2:13" hidden="1">
      <c r="B190" s="154" t="s">
        <v>92</v>
      </c>
      <c r="C190" s="154">
        <v>90374</v>
      </c>
      <c r="D190" s="155" t="s">
        <v>736</v>
      </c>
      <c r="E190" s="156" t="s">
        <v>266</v>
      </c>
      <c r="F190" s="154" t="s">
        <v>151</v>
      </c>
      <c r="G190" s="161">
        <f>Quantitativos!O189</f>
        <v>4</v>
      </c>
      <c r="H190" s="158">
        <v>19.940000000000001</v>
      </c>
      <c r="I190" s="158">
        <f t="shared" si="20"/>
        <v>79.760000000000005</v>
      </c>
      <c r="J190" s="158">
        <f t="shared" si="18"/>
        <v>5622454.8100000005</v>
      </c>
      <c r="K190" s="159">
        <f t="shared" si="17"/>
        <v>1.4E-5</v>
      </c>
      <c r="L190" s="159">
        <f t="shared" si="19"/>
        <v>0.99982000000000004</v>
      </c>
      <c r="M190" s="160" t="str">
        <f t="shared" si="21"/>
        <v>C</v>
      </c>
    </row>
    <row r="191" spans="2:13" hidden="1">
      <c r="B191" s="154" t="s">
        <v>92</v>
      </c>
      <c r="C191" s="154">
        <v>92705</v>
      </c>
      <c r="D191" s="155" t="s">
        <v>852</v>
      </c>
      <c r="E191" s="156" t="s">
        <v>366</v>
      </c>
      <c r="F191" s="154" t="s">
        <v>151</v>
      </c>
      <c r="G191" s="161">
        <f>Quantitativos!O282</f>
        <v>2</v>
      </c>
      <c r="H191" s="158">
        <v>38.49</v>
      </c>
      <c r="I191" s="158">
        <f t="shared" si="20"/>
        <v>76.98</v>
      </c>
      <c r="J191" s="158">
        <f t="shared" si="18"/>
        <v>5622531.790000001</v>
      </c>
      <c r="K191" s="159">
        <f t="shared" si="17"/>
        <v>1.2999999999999999E-5</v>
      </c>
      <c r="L191" s="159">
        <f t="shared" si="19"/>
        <v>0.99983299999999997</v>
      </c>
      <c r="M191" s="160" t="str">
        <f t="shared" si="21"/>
        <v>C</v>
      </c>
    </row>
    <row r="192" spans="2:13" hidden="1">
      <c r="B192" s="154" t="s">
        <v>92</v>
      </c>
      <c r="C192" s="154">
        <v>89795</v>
      </c>
      <c r="D192" s="155" t="s">
        <v>805</v>
      </c>
      <c r="E192" s="156" t="s">
        <v>336</v>
      </c>
      <c r="F192" s="154" t="s">
        <v>151</v>
      </c>
      <c r="G192" s="161">
        <f>Quantitativos!O250</f>
        <v>2</v>
      </c>
      <c r="H192" s="158">
        <v>37.14</v>
      </c>
      <c r="I192" s="158">
        <f t="shared" si="20"/>
        <v>74.28</v>
      </c>
      <c r="J192" s="158">
        <f t="shared" si="18"/>
        <v>5622606.0700000012</v>
      </c>
      <c r="K192" s="159">
        <f t="shared" si="17"/>
        <v>1.2999999999999999E-5</v>
      </c>
      <c r="L192" s="159">
        <f t="shared" si="19"/>
        <v>0.99984600000000001</v>
      </c>
      <c r="M192" s="160" t="str">
        <f t="shared" si="21"/>
        <v>C</v>
      </c>
    </row>
    <row r="193" spans="2:13" hidden="1">
      <c r="B193" s="154" t="s">
        <v>92</v>
      </c>
      <c r="C193" s="154">
        <v>89435</v>
      </c>
      <c r="D193" s="155" t="s">
        <v>732</v>
      </c>
      <c r="E193" s="156" t="s">
        <v>264</v>
      </c>
      <c r="F193" s="154" t="s">
        <v>151</v>
      </c>
      <c r="G193" s="161">
        <f>Quantitativos!O187</f>
        <v>4</v>
      </c>
      <c r="H193" s="158">
        <v>18.440000000000001</v>
      </c>
      <c r="I193" s="158">
        <f t="shared" si="20"/>
        <v>73.760000000000005</v>
      </c>
      <c r="J193" s="158">
        <f t="shared" si="18"/>
        <v>5622679.830000001</v>
      </c>
      <c r="K193" s="159">
        <f t="shared" si="17"/>
        <v>1.2999999999999999E-5</v>
      </c>
      <c r="L193" s="159">
        <f t="shared" si="19"/>
        <v>0.99985900000000005</v>
      </c>
      <c r="M193" s="160" t="str">
        <f t="shared" si="21"/>
        <v>C</v>
      </c>
    </row>
    <row r="194" spans="2:13" hidden="1">
      <c r="B194" s="154" t="s">
        <v>92</v>
      </c>
      <c r="C194" s="154">
        <v>89575</v>
      </c>
      <c r="D194" s="155" t="s">
        <v>711</v>
      </c>
      <c r="E194" s="156" t="s">
        <v>253</v>
      </c>
      <c r="F194" s="154" t="s">
        <v>151</v>
      </c>
      <c r="G194" s="161">
        <f>Quantitativos!O177</f>
        <v>6</v>
      </c>
      <c r="H194" s="158">
        <v>10.57</v>
      </c>
      <c r="I194" s="158">
        <f t="shared" si="20"/>
        <v>63.42</v>
      </c>
      <c r="J194" s="158">
        <f t="shared" si="18"/>
        <v>5622743.2500000009</v>
      </c>
      <c r="K194" s="159">
        <f t="shared" si="17"/>
        <v>1.1E-5</v>
      </c>
      <c r="L194" s="159">
        <f t="shared" si="19"/>
        <v>0.99987000000000004</v>
      </c>
      <c r="M194" s="160" t="str">
        <f t="shared" si="21"/>
        <v>C</v>
      </c>
    </row>
    <row r="195" spans="2:13" hidden="1">
      <c r="B195" s="154" t="s">
        <v>92</v>
      </c>
      <c r="C195" s="154">
        <v>104343</v>
      </c>
      <c r="D195" s="155" t="s">
        <v>811</v>
      </c>
      <c r="E195" s="156" t="s">
        <v>341</v>
      </c>
      <c r="F195" s="154" t="s">
        <v>151</v>
      </c>
      <c r="G195" s="161">
        <f>Quantitativos!O254</f>
        <v>2</v>
      </c>
      <c r="H195" s="158">
        <v>31.32</v>
      </c>
      <c r="I195" s="158">
        <f t="shared" ref="I195:I199" si="22">TRUNC(G195*H195,2)</f>
        <v>62.64</v>
      </c>
      <c r="J195" s="158">
        <f t="shared" si="18"/>
        <v>5622805.8900000006</v>
      </c>
      <c r="K195" s="159">
        <f t="shared" si="17"/>
        <v>1.1E-5</v>
      </c>
      <c r="L195" s="159">
        <f t="shared" si="19"/>
        <v>0.99988100000000002</v>
      </c>
      <c r="M195" s="160" t="str">
        <f t="shared" ref="M195:M199" si="23">IF(L195&lt;=$P$3,"A",IF(L195&lt;=$P$4,"B","C"))</f>
        <v>C</v>
      </c>
    </row>
    <row r="196" spans="2:13" hidden="1">
      <c r="B196" s="154" t="s">
        <v>92</v>
      </c>
      <c r="C196" s="154">
        <v>89868</v>
      </c>
      <c r="D196" s="155" t="s">
        <v>963</v>
      </c>
      <c r="E196" s="156" t="s">
        <v>964</v>
      </c>
      <c r="F196" s="154" t="s">
        <v>151</v>
      </c>
      <c r="G196" s="161">
        <v>12</v>
      </c>
      <c r="H196" s="158">
        <v>5.19</v>
      </c>
      <c r="I196" s="158">
        <f t="shared" si="22"/>
        <v>62.28</v>
      </c>
      <c r="J196" s="158">
        <f t="shared" si="18"/>
        <v>5622868.1700000009</v>
      </c>
      <c r="K196" s="159">
        <f t="shared" ref="K196:K199" si="24">TRUNC(I196/$I$200,6)</f>
        <v>1.1E-5</v>
      </c>
      <c r="L196" s="159">
        <f t="shared" si="19"/>
        <v>0.999892</v>
      </c>
      <c r="M196" s="160" t="str">
        <f t="shared" si="23"/>
        <v>C</v>
      </c>
    </row>
    <row r="197" spans="2:13" hidden="1">
      <c r="B197" s="154" t="s">
        <v>92</v>
      </c>
      <c r="C197" s="154">
        <v>89774</v>
      </c>
      <c r="D197" s="155" t="s">
        <v>783</v>
      </c>
      <c r="E197" s="156" t="s">
        <v>315</v>
      </c>
      <c r="F197" s="154" t="s">
        <v>151</v>
      </c>
      <c r="G197" s="161">
        <f>Quantitativos!O235</f>
        <v>3</v>
      </c>
      <c r="H197" s="158">
        <v>13.45</v>
      </c>
      <c r="I197" s="158">
        <f t="shared" si="22"/>
        <v>40.35</v>
      </c>
      <c r="J197" s="158">
        <f t="shared" ref="J197:J199" si="25">J196+I197</f>
        <v>5622908.5200000005</v>
      </c>
      <c r="K197" s="159">
        <f t="shared" si="24"/>
        <v>6.9999999999999999E-6</v>
      </c>
      <c r="L197" s="159">
        <f t="shared" ref="L197:L199" si="26">TRUNC(K197+L196,6)</f>
        <v>0.99989899999999998</v>
      </c>
      <c r="M197" s="160" t="str">
        <f t="shared" si="23"/>
        <v>C</v>
      </c>
    </row>
    <row r="198" spans="2:13" hidden="1">
      <c r="B198" s="154" t="s">
        <v>92</v>
      </c>
      <c r="C198" s="154">
        <v>103993</v>
      </c>
      <c r="D198" s="155" t="s">
        <v>754</v>
      </c>
      <c r="E198" s="156" t="s">
        <v>284</v>
      </c>
      <c r="F198" s="154" t="s">
        <v>151</v>
      </c>
      <c r="G198" s="161">
        <f>Quantitativos!O205</f>
        <v>3</v>
      </c>
      <c r="H198" s="158">
        <v>9.0299999999999994</v>
      </c>
      <c r="I198" s="158">
        <f t="shared" si="22"/>
        <v>27.09</v>
      </c>
      <c r="J198" s="158">
        <f t="shared" si="25"/>
        <v>5622935.6100000003</v>
      </c>
      <c r="K198" s="159">
        <f t="shared" si="24"/>
        <v>3.9999999999999998E-6</v>
      </c>
      <c r="L198" s="159">
        <f t="shared" si="26"/>
        <v>0.99990299999999999</v>
      </c>
      <c r="M198" s="160" t="str">
        <f t="shared" si="23"/>
        <v>C</v>
      </c>
    </row>
    <row r="199" spans="2:13" hidden="1">
      <c r="B199" s="163" t="s">
        <v>92</v>
      </c>
      <c r="C199" s="163">
        <v>89752</v>
      </c>
      <c r="D199" s="164" t="s">
        <v>787</v>
      </c>
      <c r="E199" s="165" t="s">
        <v>317</v>
      </c>
      <c r="F199" s="163" t="s">
        <v>151</v>
      </c>
      <c r="G199" s="166">
        <f>Quantitativos!O237</f>
        <v>3</v>
      </c>
      <c r="H199" s="167">
        <v>6.93</v>
      </c>
      <c r="I199" s="167">
        <f t="shared" si="22"/>
        <v>20.79</v>
      </c>
      <c r="J199" s="167">
        <f t="shared" si="25"/>
        <v>5622956.4000000004</v>
      </c>
      <c r="K199" s="186">
        <f t="shared" si="24"/>
        <v>3.0000000000000001E-6</v>
      </c>
      <c r="L199" s="186">
        <f t="shared" si="26"/>
        <v>0.99990599999999996</v>
      </c>
      <c r="M199" s="168" t="str">
        <f t="shared" si="23"/>
        <v>C</v>
      </c>
    </row>
    <row r="200" spans="2:13" hidden="1">
      <c r="I200" s="174">
        <f>TRUNC(SUM(I3:I199),2)</f>
        <v>5622956.4000000004</v>
      </c>
      <c r="J200" s="175">
        <f>J199</f>
        <v>5622956.4000000004</v>
      </c>
      <c r="K200" s="176">
        <f>TRUNC(SUM(K3:K199),6)</f>
        <v>0.99990500000000004</v>
      </c>
      <c r="L200" s="187">
        <f>L199</f>
        <v>0.99990599999999996</v>
      </c>
    </row>
    <row r="201" spans="2:13" hidden="1"/>
    <row r="202" spans="2:13" hidden="1"/>
  </sheetData>
  <sheetProtection password="C655" sheet="1" objects="1" scenarios="1"/>
  <hyperlinks>
    <hyperlink ref="C157" r:id="rId1"/>
    <hyperlink ref="C163" r:id="rId2"/>
    <hyperlink ref="C184" r:id="rId3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I32"/>
  <sheetViews>
    <sheetView topLeftCell="A4" workbookViewId="0">
      <selection activeCell="C25" sqref="C25"/>
    </sheetView>
  </sheetViews>
  <sheetFormatPr defaultRowHeight="15"/>
  <cols>
    <col min="2" max="2" width="35.85546875" style="61" bestFit="1" customWidth="1"/>
    <col min="3" max="3" width="17.85546875" customWidth="1"/>
    <col min="4" max="4" width="15.28515625" bestFit="1" customWidth="1"/>
    <col min="5" max="5" width="41.7109375" bestFit="1" customWidth="1"/>
    <col min="6" max="6" width="17" style="128" customWidth="1"/>
    <col min="11" max="11" width="13.140625" bestFit="1" customWidth="1"/>
  </cols>
  <sheetData>
    <row r="1" spans="1:9" ht="20.25">
      <c r="A1" s="100" t="str">
        <f>CAPEX!C6</f>
        <v>ITEM</v>
      </c>
      <c r="B1" s="100" t="str">
        <f>CAPEX!D6</f>
        <v>DESCRIÇÃO DOS SERVIÇOS</v>
      </c>
      <c r="C1" s="101" t="str">
        <f>CAPEX!H6</f>
        <v>V. TOT. (R$)</v>
      </c>
      <c r="D1" s="101" t="str">
        <f>CAPEX!D230</f>
        <v>BDI (R$)</v>
      </c>
      <c r="E1" s="101" t="str">
        <f>CAPEX!D231</f>
        <v>TOTAL COM BDI (R$)</v>
      </c>
      <c r="F1" s="101" t="s">
        <v>1133</v>
      </c>
      <c r="G1" s="5"/>
      <c r="H1" s="5"/>
      <c r="I1" s="5"/>
    </row>
    <row r="2" spans="1:9" ht="16.5">
      <c r="A2" s="11">
        <f>CAPEX!C7</f>
        <v>1</v>
      </c>
      <c r="B2" s="98" t="str">
        <f>CAPEX!D7</f>
        <v>SERVIÇOS INICIAIS</v>
      </c>
      <c r="C2" s="99">
        <f>CAPEX!H7</f>
        <v>180392.94</v>
      </c>
      <c r="D2" s="125">
        <f>C2*CAPEX!$H$3</f>
        <v>45098.235000000001</v>
      </c>
      <c r="E2" s="99">
        <f>D2+C2</f>
        <v>225491.17499999999</v>
      </c>
      <c r="F2" s="126">
        <f>E2/$E$27</f>
        <v>3.217909777274075E-2</v>
      </c>
      <c r="G2" s="206">
        <f>F2</f>
        <v>3.217909777274075E-2</v>
      </c>
      <c r="H2" s="5"/>
      <c r="I2" s="5"/>
    </row>
    <row r="3" spans="1:9" ht="16.5">
      <c r="A3" s="11">
        <f>CAPEX!C12</f>
        <v>2</v>
      </c>
      <c r="B3" s="98" t="str">
        <f>CAPEX!D12</f>
        <v>SERVIÇOS PRELIMINARES</v>
      </c>
      <c r="C3" s="99">
        <f>CAPEX!H12</f>
        <v>416844.65</v>
      </c>
      <c r="D3" s="125">
        <f>C3*CAPEX!$H$3</f>
        <v>104211.16250000001</v>
      </c>
      <c r="E3" s="99">
        <f t="shared" ref="E3:E26" si="0">D3+C3</f>
        <v>521055.8125</v>
      </c>
      <c r="F3" s="126">
        <f t="shared" ref="F3:F8" si="1">E3/$E$27</f>
        <v>7.43581469895324E-2</v>
      </c>
      <c r="G3" s="206">
        <f>G2+F3</f>
        <v>0.10653724476227315</v>
      </c>
      <c r="H3" s="5"/>
      <c r="I3" s="5"/>
    </row>
    <row r="4" spans="1:9" ht="16.5">
      <c r="A4" s="11">
        <f>CAPEX!C20</f>
        <v>3</v>
      </c>
      <c r="B4" s="98" t="str">
        <f>CAPEX!D20</f>
        <v>INFRAESTRUTURA</v>
      </c>
      <c r="C4" s="99">
        <f>CAPEX!H20</f>
        <v>681236.35</v>
      </c>
      <c r="D4" s="125">
        <f>C4*CAPEX!$H$3</f>
        <v>170309.08749999999</v>
      </c>
      <c r="E4" s="99">
        <f t="shared" si="0"/>
        <v>851545.4375</v>
      </c>
      <c r="F4" s="126">
        <f t="shared" si="1"/>
        <v>0.12152122534837029</v>
      </c>
      <c r="G4" s="206">
        <f t="shared" ref="G4:G26" si="2">G3+F4</f>
        <v>0.22805847011064345</v>
      </c>
      <c r="H4" s="5"/>
      <c r="I4" s="5"/>
    </row>
    <row r="5" spans="1:9" ht="16.5">
      <c r="A5" s="11">
        <f>CAPEX!C32</f>
        <v>4</v>
      </c>
      <c r="B5" s="98" t="str">
        <f>CAPEX!D32</f>
        <v>SUPERESTRUTURA</v>
      </c>
      <c r="C5" s="99">
        <f>CAPEX!H32</f>
        <v>307935.01</v>
      </c>
      <c r="D5" s="125">
        <f>C5*CAPEX!$H$3</f>
        <v>76983.752500000002</v>
      </c>
      <c r="E5" s="99">
        <f t="shared" si="0"/>
        <v>384918.76250000001</v>
      </c>
      <c r="F5" s="126">
        <f t="shared" si="1"/>
        <v>5.4930480064463175E-2</v>
      </c>
      <c r="G5" s="206">
        <f t="shared" si="2"/>
        <v>0.28298895017510661</v>
      </c>
      <c r="H5" s="5"/>
      <c r="I5" s="5"/>
    </row>
    <row r="6" spans="1:9" ht="16.5">
      <c r="A6" s="11">
        <f>CAPEX!C40</f>
        <v>5</v>
      </c>
      <c r="B6" s="98" t="str">
        <f>CAPEX!D40</f>
        <v>PAREDES E PAINEIS</v>
      </c>
      <c r="C6" s="99">
        <f>CAPEX!H40</f>
        <v>795652.06</v>
      </c>
      <c r="D6" s="125">
        <f>C6*CAPEX!$H$3</f>
        <v>198913.01500000001</v>
      </c>
      <c r="E6" s="99">
        <f t="shared" si="0"/>
        <v>994565.07500000007</v>
      </c>
      <c r="F6" s="126">
        <f t="shared" si="1"/>
        <v>0.14193108351037792</v>
      </c>
      <c r="G6" s="206">
        <f t="shared" si="2"/>
        <v>0.42492003368548453</v>
      </c>
      <c r="H6" s="5"/>
      <c r="I6" s="5"/>
    </row>
    <row r="7" spans="1:9" ht="16.5">
      <c r="A7" s="11">
        <f>CAPEX!C43</f>
        <v>6</v>
      </c>
      <c r="B7" s="98" t="str">
        <f>CAPEX!D43</f>
        <v>COBERTURA</v>
      </c>
      <c r="C7" s="99">
        <f>CAPEX!H43</f>
        <v>148179.46</v>
      </c>
      <c r="D7" s="125">
        <f>C7*CAPEX!$H$3</f>
        <v>37044.864999999998</v>
      </c>
      <c r="E7" s="99">
        <f t="shared" si="0"/>
        <v>185224.32499999998</v>
      </c>
      <c r="F7" s="126">
        <f t="shared" si="1"/>
        <v>2.6432749148896442E-2</v>
      </c>
      <c r="G7" s="206">
        <f t="shared" si="2"/>
        <v>0.45135278283438096</v>
      </c>
      <c r="H7" s="5"/>
      <c r="I7" s="5"/>
    </row>
    <row r="8" spans="1:9" ht="16.5">
      <c r="A8" s="11">
        <f>CAPEX!C47</f>
        <v>7</v>
      </c>
      <c r="B8" s="98" t="str">
        <f>CAPEX!D47</f>
        <v>INSTALAÇÕES</v>
      </c>
      <c r="C8" s="99">
        <f>CAPEX!H47</f>
        <v>669299.91</v>
      </c>
      <c r="D8" s="125">
        <f>C8*CAPEX!$H$3</f>
        <v>167324.97750000001</v>
      </c>
      <c r="E8" s="99">
        <f t="shared" si="0"/>
        <v>836624.88750000007</v>
      </c>
      <c r="F8" s="126">
        <f t="shared" si="1"/>
        <v>0.1193919631398911</v>
      </c>
      <c r="G8" s="206">
        <f t="shared" si="2"/>
        <v>0.57074474597427205</v>
      </c>
      <c r="H8" s="5"/>
      <c r="I8" s="5"/>
    </row>
    <row r="9" spans="1:9" ht="16.5" hidden="1">
      <c r="A9" s="102" t="str">
        <f>CAPEX!C48</f>
        <v>7.1</v>
      </c>
      <c r="B9" s="103" t="str">
        <f>CAPEX!D48</f>
        <v>INSTALAÇÕES HIDRÁULICAS</v>
      </c>
      <c r="C9" s="104">
        <f>CAPEX!H48</f>
        <v>47035.96</v>
      </c>
      <c r="D9" s="104">
        <f>C9*CAPEX!$H$3</f>
        <v>11758.99</v>
      </c>
      <c r="E9" s="104">
        <f t="shared" si="0"/>
        <v>58794.95</v>
      </c>
      <c r="F9" s="127">
        <f>E9/$E$8</f>
        <v>7.027635787370716E-2</v>
      </c>
      <c r="G9" s="206">
        <f t="shared" si="2"/>
        <v>0.64102110384797917</v>
      </c>
      <c r="H9" s="5"/>
      <c r="I9" s="5"/>
    </row>
    <row r="10" spans="1:9" ht="16.5" hidden="1">
      <c r="A10" s="102" t="str">
        <f>CAPEX!C78</f>
        <v>7.2</v>
      </c>
      <c r="B10" s="103" t="str">
        <f>CAPEX!D78</f>
        <v>INSTALAÇÕES SANITÁRIAS</v>
      </c>
      <c r="C10" s="104">
        <f>CAPEX!H78</f>
        <v>130809.4</v>
      </c>
      <c r="D10" s="104">
        <f>C10*CAPEX!$H$3</f>
        <v>32702.35</v>
      </c>
      <c r="E10" s="104">
        <f t="shared" si="0"/>
        <v>163511.75</v>
      </c>
      <c r="F10" s="127">
        <f t="shared" ref="F10:F17" si="3">E10/$E$8</f>
        <v>0.19544212997130089</v>
      </c>
      <c r="G10" s="206">
        <f t="shared" si="2"/>
        <v>0.83646323381928012</v>
      </c>
      <c r="H10" s="5"/>
      <c r="I10" s="5"/>
    </row>
    <row r="11" spans="1:9" ht="16.5" hidden="1">
      <c r="A11" s="102" t="str">
        <f>CAPEX!C106</f>
        <v>7.3</v>
      </c>
      <c r="B11" s="103" t="str">
        <f>CAPEX!D106</f>
        <v>INSTALAÇÕES ÁGUAS PLUVIAIS</v>
      </c>
      <c r="C11" s="104">
        <f>CAPEX!H106</f>
        <v>15169.58</v>
      </c>
      <c r="D11" s="104">
        <f>C11*CAPEX!$H$3</f>
        <v>3792.395</v>
      </c>
      <c r="E11" s="104">
        <f t="shared" si="0"/>
        <v>18961.974999999999</v>
      </c>
      <c r="F11" s="127">
        <f t="shared" si="3"/>
        <v>2.2664846914442281E-2</v>
      </c>
      <c r="G11" s="206">
        <f t="shared" si="2"/>
        <v>0.85912808073372238</v>
      </c>
      <c r="H11" s="5"/>
      <c r="I11" s="5"/>
    </row>
    <row r="12" spans="1:9" ht="16.5" hidden="1">
      <c r="A12" s="102" t="str">
        <f>CAPEX!C110</f>
        <v>7.4</v>
      </c>
      <c r="B12" s="103" t="str">
        <f>CAPEX!D110</f>
        <v>INSTALAÇOES DE COMBATE A INCÊNDIO</v>
      </c>
      <c r="C12" s="104">
        <f>CAPEX!H110</f>
        <v>6202.85</v>
      </c>
      <c r="D12" s="104">
        <f>C12*CAPEX!$H$3</f>
        <v>1550.7125000000001</v>
      </c>
      <c r="E12" s="104">
        <f t="shared" si="0"/>
        <v>7753.5625</v>
      </c>
      <c r="F12" s="127">
        <f t="shared" si="3"/>
        <v>9.2676689587482524E-3</v>
      </c>
      <c r="G12" s="206">
        <f t="shared" si="2"/>
        <v>0.86839574969247058</v>
      </c>
      <c r="H12" s="5"/>
      <c r="I12" s="5"/>
    </row>
    <row r="13" spans="1:9" ht="16.5" hidden="1">
      <c r="A13" s="102" t="str">
        <f>CAPEX!C116</f>
        <v>7.5</v>
      </c>
      <c r="B13" s="103" t="str">
        <f>CAPEX!D116</f>
        <v>INSTALAÇÕES DE GÁS</v>
      </c>
      <c r="C13" s="104">
        <f>CAPEX!H116</f>
        <v>4687.1000000000004</v>
      </c>
      <c r="D13" s="104">
        <f>C13*CAPEX!$H$3</f>
        <v>1171.7750000000001</v>
      </c>
      <c r="E13" s="104">
        <f t="shared" si="0"/>
        <v>5858.875</v>
      </c>
      <c r="F13" s="127">
        <f t="shared" si="3"/>
        <v>7.0029891383072192E-3</v>
      </c>
      <c r="G13" s="206">
        <f t="shared" si="2"/>
        <v>0.87539873883077779</v>
      </c>
      <c r="H13" s="5"/>
      <c r="I13" s="5"/>
    </row>
    <row r="14" spans="1:9" ht="16.5" hidden="1">
      <c r="A14" s="102" t="str">
        <f>CAPEX!C123</f>
        <v>7.6</v>
      </c>
      <c r="B14" s="103" t="str">
        <f>CAPEX!D123</f>
        <v>INSTALAÇÕES ELÉTRICAS</v>
      </c>
      <c r="C14" s="104">
        <f>CAPEX!H123</f>
        <v>132180.51</v>
      </c>
      <c r="D14" s="104">
        <f>C14*CAPEX!$H$3</f>
        <v>33045.127500000002</v>
      </c>
      <c r="E14" s="104">
        <f t="shared" si="0"/>
        <v>165225.63750000001</v>
      </c>
      <c r="F14" s="127">
        <f t="shared" si="3"/>
        <v>0.19749070338288258</v>
      </c>
      <c r="G14" s="206">
        <f t="shared" si="2"/>
        <v>1.0728894422136603</v>
      </c>
      <c r="H14" s="5"/>
      <c r="I14" s="5"/>
    </row>
    <row r="15" spans="1:9" ht="16.5" hidden="1">
      <c r="A15" s="102" t="str">
        <f>CAPEX!C151</f>
        <v>7.7</v>
      </c>
      <c r="B15" s="103" t="str">
        <f>CAPEX!D151</f>
        <v>INSTALAÇÕES DE TELEFONIA</v>
      </c>
      <c r="C15" s="104">
        <f>CAPEX!H151</f>
        <v>11376</v>
      </c>
      <c r="D15" s="104">
        <f>C15*CAPEX!$H$3</f>
        <v>2844</v>
      </c>
      <c r="E15" s="104">
        <f t="shared" si="0"/>
        <v>14220</v>
      </c>
      <c r="F15" s="127">
        <f t="shared" si="3"/>
        <v>1.6996864679094309E-2</v>
      </c>
      <c r="G15" s="206">
        <f t="shared" si="2"/>
        <v>1.0898863068927547</v>
      </c>
      <c r="H15" s="5"/>
      <c r="I15" s="5"/>
    </row>
    <row r="16" spans="1:9" ht="16.5" hidden="1">
      <c r="A16" s="102" t="str">
        <f>CAPEX!C158</f>
        <v>7.8</v>
      </c>
      <c r="B16" s="103" t="str">
        <f>CAPEX!D158</f>
        <v>INSTALAÇÕES DE AR-CONDICIONADO</v>
      </c>
      <c r="C16" s="104">
        <f>CAPEX!H158</f>
        <v>311041.82</v>
      </c>
      <c r="D16" s="104">
        <f>C16*CAPEX!$H$3</f>
        <v>77760.455000000002</v>
      </c>
      <c r="E16" s="104">
        <f t="shared" si="0"/>
        <v>388802.27500000002</v>
      </c>
      <c r="F16" s="127">
        <f t="shared" si="3"/>
        <v>0.46472712061174487</v>
      </c>
      <c r="G16" s="206">
        <f t="shared" si="2"/>
        <v>1.5546134275044996</v>
      </c>
      <c r="H16" s="5"/>
      <c r="I16" s="5"/>
    </row>
    <row r="17" spans="1:9" ht="16.5" hidden="1">
      <c r="A17" s="102" t="str">
        <f>CAPEX!C164</f>
        <v>7.9</v>
      </c>
      <c r="B17" s="103" t="str">
        <f>CAPEX!D164</f>
        <v>INSTALAÇÕES DE DRENO</v>
      </c>
      <c r="C17" s="104">
        <f>CAPEX!H164</f>
        <v>10796.69</v>
      </c>
      <c r="D17" s="104">
        <f>C17*CAPEX!$H$3</f>
        <v>2699.1725000000001</v>
      </c>
      <c r="E17" s="104">
        <f t="shared" si="0"/>
        <v>13495.862500000001</v>
      </c>
      <c r="F17" s="127">
        <f t="shared" si="3"/>
        <v>1.6131318469772393E-2</v>
      </c>
      <c r="G17" s="206">
        <f t="shared" si="2"/>
        <v>1.570744745974272</v>
      </c>
      <c r="H17" s="5"/>
      <c r="I17" s="5"/>
    </row>
    <row r="18" spans="1:9" ht="16.5">
      <c r="A18" s="11">
        <f>CAPEX!C169</f>
        <v>8</v>
      </c>
      <c r="B18" s="98" t="str">
        <f>CAPEX!D169</f>
        <v>PISO CIVIL</v>
      </c>
      <c r="C18" s="99">
        <f>CAPEX!H169</f>
        <v>463267.64</v>
      </c>
      <c r="D18" s="125">
        <f>C18*CAPEX!$H$3</f>
        <v>115816.91</v>
      </c>
      <c r="E18" s="99">
        <f t="shared" si="0"/>
        <v>579084.55000000005</v>
      </c>
      <c r="F18" s="126">
        <f t="shared" ref="F18:F27" si="4">E18/$E$27</f>
        <v>8.2639235673562753E-2</v>
      </c>
      <c r="G18" s="206">
        <f>G8+F18</f>
        <v>0.65338398164783484</v>
      </c>
      <c r="H18" s="5"/>
      <c r="I18" s="5"/>
    </row>
    <row r="19" spans="1:9" ht="16.5">
      <c r="A19" s="11">
        <f>CAPEX!C178</f>
        <v>9</v>
      </c>
      <c r="B19" s="98" t="str">
        <f>CAPEX!D178</f>
        <v>REVESTIMENTO CIVIL</v>
      </c>
      <c r="C19" s="99">
        <f>CAPEX!H178</f>
        <v>431245.46</v>
      </c>
      <c r="D19" s="125">
        <f>C19*CAPEX!$H$3</f>
        <v>107811.36500000001</v>
      </c>
      <c r="E19" s="99">
        <f t="shared" si="0"/>
        <v>539056.82500000007</v>
      </c>
      <c r="F19" s="126">
        <f t="shared" si="4"/>
        <v>7.6927011785442173E-2</v>
      </c>
      <c r="G19" s="206">
        <f t="shared" si="2"/>
        <v>0.73031099343327699</v>
      </c>
      <c r="H19" s="5"/>
      <c r="I19" s="5"/>
    </row>
    <row r="20" spans="1:9" ht="16.5">
      <c r="A20" s="11">
        <f>CAPEX!C181</f>
        <v>10</v>
      </c>
      <c r="B20" s="98" t="str">
        <f>CAPEX!D181</f>
        <v>DIVERSOS</v>
      </c>
      <c r="C20" s="99">
        <f>CAPEX!H181</f>
        <v>150984.21</v>
      </c>
      <c r="D20" s="125">
        <f>C20*CAPEX!$H$3</f>
        <v>37746.052499999998</v>
      </c>
      <c r="E20" s="99">
        <f t="shared" si="0"/>
        <v>188730.26249999998</v>
      </c>
      <c r="F20" s="126">
        <f t="shared" si="4"/>
        <v>2.693306986254574E-2</v>
      </c>
      <c r="G20" s="206">
        <f t="shared" si="2"/>
        <v>0.75724406329582272</v>
      </c>
      <c r="H20" s="5"/>
      <c r="I20" s="5"/>
    </row>
    <row r="21" spans="1:9" ht="16.5">
      <c r="A21" s="11">
        <f>CAPEX!C186</f>
        <v>11</v>
      </c>
      <c r="B21" s="98" t="str">
        <f>CAPEX!D186</f>
        <v xml:space="preserve">REVESTIMENTOS </v>
      </c>
      <c r="C21" s="99">
        <f>CAPEX!H186</f>
        <v>436378.9</v>
      </c>
      <c r="D21" s="125">
        <f>C21*CAPEX!$H$3</f>
        <v>109094.72500000001</v>
      </c>
      <c r="E21" s="99">
        <f t="shared" si="0"/>
        <v>545473.625</v>
      </c>
      <c r="F21" s="126">
        <f t="shared" si="4"/>
        <v>7.7842732032977896E-2</v>
      </c>
      <c r="G21" s="206">
        <f t="shared" si="2"/>
        <v>0.83508679532880059</v>
      </c>
      <c r="H21" s="5"/>
      <c r="I21" s="5"/>
    </row>
    <row r="22" spans="1:9" ht="16.5">
      <c r="A22" s="11">
        <f>CAPEX!C190</f>
        <v>12</v>
      </c>
      <c r="B22" s="98" t="str">
        <f>CAPEX!D190</f>
        <v>ESQUADRIAS</v>
      </c>
      <c r="C22" s="99">
        <f>CAPEX!H190</f>
        <v>245997.4</v>
      </c>
      <c r="D22" s="125">
        <f>C22*CAPEX!$H$3</f>
        <v>61499.35</v>
      </c>
      <c r="E22" s="99">
        <f t="shared" si="0"/>
        <v>307496.75</v>
      </c>
      <c r="F22" s="126">
        <f t="shared" si="4"/>
        <v>4.3881841420401572E-2</v>
      </c>
      <c r="G22" s="206">
        <f t="shared" si="2"/>
        <v>0.87896863674920211</v>
      </c>
      <c r="H22" s="5"/>
      <c r="I22" s="5"/>
    </row>
    <row r="23" spans="1:9" ht="16.5">
      <c r="A23" s="11">
        <f>CAPEX!C201</f>
        <v>13</v>
      </c>
      <c r="B23" s="98" t="str">
        <f>CAPEX!D201</f>
        <v>PINTURA</v>
      </c>
      <c r="C23" s="99">
        <f>CAPEX!H201</f>
        <v>230586.12</v>
      </c>
      <c r="D23" s="125">
        <f>C23*CAPEX!$H$3</f>
        <v>57646.53</v>
      </c>
      <c r="E23" s="99">
        <f t="shared" si="0"/>
        <v>288232.65000000002</v>
      </c>
      <c r="F23" s="126">
        <f t="shared" si="4"/>
        <v>4.1132725596228617E-2</v>
      </c>
      <c r="G23" s="206">
        <f t="shared" si="2"/>
        <v>0.92010136234543072</v>
      </c>
      <c r="H23" s="5"/>
      <c r="I23" s="5"/>
    </row>
    <row r="24" spans="1:9" ht="16.5">
      <c r="A24" s="11">
        <f>CAPEX!C210</f>
        <v>14</v>
      </c>
      <c r="B24" s="98" t="str">
        <f>CAPEX!D210</f>
        <v>ACABAMENTOS FINAIS</v>
      </c>
      <c r="C24" s="99">
        <f>CAPEX!H210</f>
        <v>73703.070000000007</v>
      </c>
      <c r="D24" s="125">
        <f>C24*CAPEX!$H$3</f>
        <v>18425.767500000002</v>
      </c>
      <c r="E24" s="99">
        <f t="shared" si="0"/>
        <v>92128.837500000009</v>
      </c>
      <c r="F24" s="126">
        <f t="shared" si="4"/>
        <v>1.3147400866581341E-2</v>
      </c>
      <c r="G24" s="206">
        <f t="shared" si="2"/>
        <v>0.93324876321201211</v>
      </c>
      <c r="H24" s="5"/>
      <c r="I24" s="5"/>
    </row>
    <row r="25" spans="1:9" ht="16.5">
      <c r="A25" s="11">
        <f>CAPEX!C219</f>
        <v>15</v>
      </c>
      <c r="B25" s="98" t="str">
        <f>CAPEX!D219</f>
        <v>MÓVEIS</v>
      </c>
      <c r="C25" s="99">
        <f>CAPEX!H219</f>
        <v>362512.94</v>
      </c>
      <c r="D25" s="125">
        <f>C25*CAPEX!$H$3</f>
        <v>90628.235000000001</v>
      </c>
      <c r="E25" s="99">
        <f t="shared" si="0"/>
        <v>453141.17499999999</v>
      </c>
      <c r="F25" s="126">
        <f t="shared" si="4"/>
        <v>6.4666274301775351E-2</v>
      </c>
      <c r="G25" s="206">
        <f t="shared" si="2"/>
        <v>0.99791503751378752</v>
      </c>
      <c r="H25" s="5"/>
      <c r="I25" s="5"/>
    </row>
    <row r="26" spans="1:9" ht="16.5">
      <c r="A26" s="11">
        <f>CAPEX!C221</f>
        <v>16</v>
      </c>
      <c r="B26" s="98" t="str">
        <f>CAPEX!D221</f>
        <v>SERVIÇOS FINAIS</v>
      </c>
      <c r="C26" s="99">
        <f>CAPEX!H221</f>
        <v>11688.1</v>
      </c>
      <c r="D26" s="125">
        <f>C26*CAPEX!$H$3</f>
        <v>2922.0250000000001</v>
      </c>
      <c r="E26" s="99">
        <f t="shared" si="0"/>
        <v>14610.125</v>
      </c>
      <c r="F26" s="126">
        <f t="shared" si="4"/>
        <v>2.084962486212438E-3</v>
      </c>
      <c r="G26" s="206">
        <f t="shared" si="2"/>
        <v>1</v>
      </c>
      <c r="H26" s="5"/>
      <c r="I26" s="5"/>
    </row>
    <row r="27" spans="1:9" ht="16.5">
      <c r="A27" s="11">
        <v>17</v>
      </c>
      <c r="B27" s="98" t="s">
        <v>1118</v>
      </c>
      <c r="C27" s="99">
        <f t="shared" ref="C27:D27" si="5">C26+C25+C24+C23+C22+C21+C20+C19+C18+C8+C7+C6+C5+C4+C3+C2</f>
        <v>5605904.2200000007</v>
      </c>
      <c r="D27" s="99">
        <f t="shared" si="5"/>
        <v>1401476.0550000002</v>
      </c>
      <c r="E27" s="99">
        <f>E26+E25+E24+E23+E22+E21+E20+E19+E18+E8+E7+E6+E5+E4+E3+E2</f>
        <v>7007380.2750000004</v>
      </c>
      <c r="F27" s="126">
        <f t="shared" si="4"/>
        <v>1</v>
      </c>
    </row>
    <row r="30" spans="1:9" ht="16.5">
      <c r="E30" s="98" t="s">
        <v>1134</v>
      </c>
      <c r="F30" s="197">
        <f>E27</f>
        <v>7007380.2750000004</v>
      </c>
    </row>
    <row r="31" spans="1:9" ht="16.5">
      <c r="E31" s="98" t="s">
        <v>1135</v>
      </c>
      <c r="F31" s="196">
        <f>'Quadro Áreas'!B4</f>
        <v>2500</v>
      </c>
    </row>
    <row r="32" spans="1:9" ht="16.5">
      <c r="E32" s="98" t="s">
        <v>1136</v>
      </c>
      <c r="F32" s="197">
        <f>TRUNC(F30/F31)</f>
        <v>2802</v>
      </c>
    </row>
  </sheetData>
  <sheetProtection password="C65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3</vt:i4>
      </vt:variant>
    </vt:vector>
  </HeadingPairs>
  <TitlesOfParts>
    <vt:vector size="15" baseType="lpstr">
      <vt:lpstr>Dados</vt:lpstr>
      <vt:lpstr>Quadro Áreas</vt:lpstr>
      <vt:lpstr>Premissas</vt:lpstr>
      <vt:lpstr>Eq. Proj.</vt:lpstr>
      <vt:lpstr>Quantitativos</vt:lpstr>
      <vt:lpstr>CAPEX</vt:lpstr>
      <vt:lpstr>ABC</vt:lpstr>
      <vt:lpstr>A</vt:lpstr>
      <vt:lpstr>QUADRO RESUMO</vt:lpstr>
      <vt:lpstr>CRONOGRAMA</vt:lpstr>
      <vt:lpstr>Série Hist. INCC</vt:lpstr>
      <vt:lpstr>Correção CAPEX</vt:lpstr>
      <vt:lpstr>A!Area_de_impressao</vt:lpstr>
      <vt:lpstr>ABC!Area_de_impressao</vt:lpstr>
      <vt:lpstr>CAPEX!Area_de_impressao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2025-07-03T16:26:04Z</dcterms:modified>
  <cp:category/>
  <cp:contentStatus/>
</cp:coreProperties>
</file>