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fcedu\Downloads\Versões para publicação\"/>
    </mc:Choice>
  </mc:AlternateContent>
  <bookViews>
    <workbookView xWindow="0" yWindow="0" windowWidth="20490" windowHeight="7230" firstSheet="2" activeTab="8"/>
  </bookViews>
  <sheets>
    <sheet name="Premissas Gerais" sheetId="1" r:id="rId1"/>
    <sheet name="Demonstrações Financeiras " sheetId="2" r:id="rId2"/>
    <sheet name="Seguros" sheetId="9" r:id="rId3"/>
    <sheet name="WACC" sheetId="3" r:id="rId4"/>
    <sheet name="Capex" sheetId="4" r:id="rId5"/>
    <sheet name="Financiamento" sheetId="5" r:id="rId6"/>
    <sheet name="Tributação" sheetId="6" r:id="rId7"/>
    <sheet name="TABELAS" sheetId="7" r:id="rId8"/>
    <sheet name="GRÁFICOS" sheetId="10" r:id="rId9"/>
  </sheets>
  <calcPr calcId="162913"/>
  <customWorkbookViews>
    <customWorkbookView name="Eduardo Sá - Modo de exibição pessoal" guid="{30D5658C-25B6-44C0-9599-95A19C107C6A}" mergeInterval="0" personalView="1" maximized="1" xWindow="-8" yWindow="-8" windowWidth="1616" windowHeight="86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C120" i="2" l="1"/>
  <c r="Z9" i="1"/>
  <c r="Z10" i="1"/>
  <c r="Z11" i="1"/>
  <c r="AB4" i="3"/>
  <c r="M16" i="3" s="1"/>
  <c r="E10" i="3" s="1"/>
  <c r="E6" i="3"/>
  <c r="BN12" i="7"/>
  <c r="BN8" i="7"/>
  <c r="BN7" i="7"/>
  <c r="AB13" i="1"/>
  <c r="AC13" i="1" s="1"/>
  <c r="F84" i="1"/>
  <c r="G84" i="1"/>
  <c r="E18" i="2"/>
  <c r="E23" i="2"/>
  <c r="E54" i="2"/>
  <c r="E58" i="2"/>
  <c r="E59" i="2"/>
  <c r="E63" i="2"/>
  <c r="E72" i="2"/>
  <c r="E75" i="2"/>
  <c r="E88" i="2"/>
  <c r="H18" i="1"/>
  <c r="E61" i="2"/>
  <c r="E57" i="2"/>
  <c r="E56" i="2"/>
  <c r="F15" i="5"/>
  <c r="K6" i="5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I7" i="7"/>
  <c r="AI5" i="7"/>
  <c r="AI6" i="7"/>
  <c r="AI8" i="7"/>
  <c r="H51" i="9"/>
  <c r="AK8" i="7"/>
  <c r="H50" i="9"/>
  <c r="AK7" i="7"/>
  <c r="H49" i="9"/>
  <c r="AK6" i="7"/>
  <c r="E48" i="9"/>
  <c r="AH5" i="7"/>
  <c r="E50" i="9"/>
  <c r="AH7" i="7"/>
  <c r="E51" i="9"/>
  <c r="AH8" i="7"/>
  <c r="E49" i="9"/>
  <c r="AH6" i="7"/>
  <c r="H48" i="9"/>
  <c r="AK5" i="7"/>
  <c r="E33" i="9"/>
  <c r="E32" i="9"/>
  <c r="AP4" i="7" a="1"/>
  <c r="AT4" i="7"/>
  <c r="AS4" i="7"/>
  <c r="AR4" i="7"/>
  <c r="AQ4" i="7"/>
  <c r="AP4" i="7"/>
  <c r="B5" i="7" a="1"/>
  <c r="B29" i="7"/>
  <c r="J4" i="7" a="1"/>
  <c r="J4" i="7"/>
  <c r="G33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B5" i="7"/>
  <c r="B18" i="7"/>
  <c r="B16" i="7"/>
  <c r="B17" i="7"/>
  <c r="B15" i="7"/>
  <c r="B6" i="7"/>
  <c r="H33" i="9"/>
  <c r="B14" i="7"/>
  <c r="B30" i="7"/>
  <c r="B26" i="7"/>
  <c r="B13" i="7"/>
  <c r="B12" i="7"/>
  <c r="B35" i="7"/>
  <c r="B23" i="7"/>
  <c r="B33" i="7"/>
  <c r="B21" i="7"/>
  <c r="B9" i="7"/>
  <c r="B28" i="7"/>
  <c r="B39" i="7"/>
  <c r="B27" i="7"/>
  <c r="B38" i="7"/>
  <c r="B37" i="7"/>
  <c r="B25" i="7"/>
  <c r="B36" i="7"/>
  <c r="B24" i="7"/>
  <c r="B11" i="7"/>
  <c r="B34" i="7"/>
  <c r="B22" i="7"/>
  <c r="B10" i="7"/>
  <c r="B32" i="7"/>
  <c r="B20" i="7"/>
  <c r="B8" i="7"/>
  <c r="B31" i="7"/>
  <c r="B19" i="7"/>
  <c r="B7" i="7"/>
  <c r="F18" i="2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G40" i="9"/>
  <c r="G23" i="9"/>
  <c r="G31" i="9"/>
  <c r="G4" i="9"/>
  <c r="G20" i="9"/>
  <c r="G30" i="9"/>
  <c r="G39" i="9"/>
  <c r="H4" i="9"/>
  <c r="H20" i="9"/>
  <c r="H30" i="9"/>
  <c r="H39" i="9"/>
  <c r="I4" i="9"/>
  <c r="I20" i="9"/>
  <c r="I30" i="9"/>
  <c r="I39" i="9"/>
  <c r="J4" i="9"/>
  <c r="J20" i="9"/>
  <c r="J30" i="9"/>
  <c r="J39" i="9"/>
  <c r="K4" i="9"/>
  <c r="K20" i="9"/>
  <c r="K30" i="9"/>
  <c r="K39" i="9"/>
  <c r="L4" i="9"/>
  <c r="L20" i="9"/>
  <c r="L30" i="9"/>
  <c r="L39" i="9"/>
  <c r="M4" i="9"/>
  <c r="M20" i="9"/>
  <c r="M30" i="9"/>
  <c r="M39" i="9"/>
  <c r="N4" i="9"/>
  <c r="N20" i="9"/>
  <c r="N30" i="9"/>
  <c r="N39" i="9"/>
  <c r="O4" i="9"/>
  <c r="O20" i="9"/>
  <c r="O30" i="9"/>
  <c r="O39" i="9"/>
  <c r="P4" i="9"/>
  <c r="P20" i="9"/>
  <c r="P30" i="9"/>
  <c r="P39" i="9"/>
  <c r="Q4" i="9"/>
  <c r="Q20" i="9"/>
  <c r="Q30" i="9"/>
  <c r="Q39" i="9"/>
  <c r="R4" i="9"/>
  <c r="R20" i="9"/>
  <c r="R30" i="9"/>
  <c r="R39" i="9"/>
  <c r="S4" i="9"/>
  <c r="S20" i="9"/>
  <c r="S30" i="9"/>
  <c r="S39" i="9"/>
  <c r="T4" i="9"/>
  <c r="T20" i="9"/>
  <c r="T30" i="9"/>
  <c r="T39" i="9"/>
  <c r="U4" i="9"/>
  <c r="U20" i="9"/>
  <c r="U30" i="9"/>
  <c r="U39" i="9"/>
  <c r="V4" i="9"/>
  <c r="V20" i="9"/>
  <c r="V30" i="9"/>
  <c r="V39" i="9"/>
  <c r="W4" i="9"/>
  <c r="W20" i="9"/>
  <c r="W30" i="9"/>
  <c r="W39" i="9"/>
  <c r="X4" i="9"/>
  <c r="X20" i="9"/>
  <c r="X30" i="9"/>
  <c r="X39" i="9"/>
  <c r="Y4" i="9"/>
  <c r="Y20" i="9"/>
  <c r="Y30" i="9"/>
  <c r="Y39" i="9"/>
  <c r="Z4" i="9"/>
  <c r="Z20" i="9"/>
  <c r="Z30" i="9"/>
  <c r="Z39" i="9"/>
  <c r="AA4" i="9"/>
  <c r="AA20" i="9"/>
  <c r="AA30" i="9"/>
  <c r="AA39" i="9"/>
  <c r="AB4" i="9"/>
  <c r="AB20" i="9"/>
  <c r="AB30" i="9"/>
  <c r="AB39" i="9"/>
  <c r="AC4" i="9"/>
  <c r="AC20" i="9"/>
  <c r="AC30" i="9"/>
  <c r="AC39" i="9"/>
  <c r="AD4" i="9"/>
  <c r="AD20" i="9"/>
  <c r="AD30" i="9"/>
  <c r="AD39" i="9"/>
  <c r="AE4" i="9"/>
  <c r="AE20" i="9"/>
  <c r="AE30" i="9"/>
  <c r="AE39" i="9"/>
  <c r="AF4" i="9"/>
  <c r="AF20" i="9"/>
  <c r="AF30" i="9"/>
  <c r="AF39" i="9"/>
  <c r="AG4" i="9"/>
  <c r="AG20" i="9"/>
  <c r="AG30" i="9"/>
  <c r="AG39" i="9"/>
  <c r="AH4" i="9"/>
  <c r="AH20" i="9"/>
  <c r="AH30" i="9"/>
  <c r="AH39" i="9"/>
  <c r="AI4" i="9"/>
  <c r="AI20" i="9"/>
  <c r="AI30" i="9"/>
  <c r="AI39" i="9"/>
  <c r="AJ4" i="9"/>
  <c r="AJ20" i="9"/>
  <c r="AJ30" i="9"/>
  <c r="AJ39" i="9"/>
  <c r="AK4" i="9"/>
  <c r="AK20" i="9"/>
  <c r="AK30" i="9"/>
  <c r="AK39" i="9"/>
  <c r="AL4" i="9"/>
  <c r="AL20" i="9"/>
  <c r="AL30" i="9"/>
  <c r="AL39" i="9"/>
  <c r="AM4" i="9"/>
  <c r="AM20" i="9"/>
  <c r="AM30" i="9"/>
  <c r="AM39" i="9"/>
  <c r="AN4" i="9"/>
  <c r="AN20" i="9"/>
  <c r="AN30" i="9"/>
  <c r="AN39" i="9"/>
  <c r="F4" i="9"/>
  <c r="C13" i="9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F75" i="2"/>
  <c r="F11" i="4"/>
  <c r="E27" i="4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4" i="2"/>
  <c r="E4" i="2"/>
  <c r="H7" i="6"/>
  <c r="AJ3" i="9"/>
  <c r="F20" i="9"/>
  <c r="F30" i="9"/>
  <c r="F39" i="9"/>
  <c r="AO5" i="7" a="1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I33" i="9"/>
  <c r="F3" i="9"/>
  <c r="F19" i="9"/>
  <c r="F29" i="9"/>
  <c r="F38" i="9"/>
  <c r="N155" i="1"/>
  <c r="V32" i="9"/>
  <c r="AJ32" i="9"/>
  <c r="AB32" i="9"/>
  <c r="T32" i="9"/>
  <c r="L32" i="9"/>
  <c r="AI32" i="9"/>
  <c r="AA32" i="9"/>
  <c r="S32" i="9"/>
  <c r="K32" i="9"/>
  <c r="R32" i="9"/>
  <c r="AG32" i="9"/>
  <c r="Y32" i="9"/>
  <c r="Q32" i="9"/>
  <c r="I32" i="9"/>
  <c r="N32" i="9"/>
  <c r="AH32" i="9"/>
  <c r="J32" i="9"/>
  <c r="AN32" i="9"/>
  <c r="AF32" i="9"/>
  <c r="X32" i="9"/>
  <c r="P32" i="9"/>
  <c r="H32" i="9"/>
  <c r="AD32" i="9"/>
  <c r="Z32" i="9"/>
  <c r="AM32" i="9"/>
  <c r="AE32" i="9"/>
  <c r="W32" i="9"/>
  <c r="O32" i="9"/>
  <c r="H31" i="9"/>
  <c r="AL32" i="9"/>
  <c r="AK32" i="9"/>
  <c r="AC32" i="9"/>
  <c r="U32" i="9"/>
  <c r="M32" i="9"/>
  <c r="H23" i="9"/>
  <c r="H34" i="9"/>
  <c r="H7" i="9"/>
  <c r="AO9" i="7"/>
  <c r="AW9" i="7"/>
  <c r="BC9" i="7"/>
  <c r="AO5" i="7"/>
  <c r="AW5" i="7"/>
  <c r="BC5" i="7"/>
  <c r="AO29" i="7"/>
  <c r="AW29" i="7"/>
  <c r="BC29" i="7"/>
  <c r="AO13" i="7"/>
  <c r="AW13" i="7"/>
  <c r="BC13" i="7"/>
  <c r="AO10" i="7"/>
  <c r="AW10" i="7"/>
  <c r="BC10" i="7"/>
  <c r="AO33" i="7"/>
  <c r="AW33" i="7"/>
  <c r="BC33" i="7"/>
  <c r="AO31" i="7"/>
  <c r="AW31" i="7"/>
  <c r="BC31" i="7"/>
  <c r="AO22" i="7"/>
  <c r="AW22" i="7"/>
  <c r="BC22" i="7"/>
  <c r="AO8" i="7"/>
  <c r="AW8" i="7"/>
  <c r="BC8" i="7"/>
  <c r="AO17" i="7"/>
  <c r="AW17" i="7"/>
  <c r="BC17" i="7"/>
  <c r="AO24" i="7"/>
  <c r="AW24" i="7"/>
  <c r="BC24" i="7"/>
  <c r="AO19" i="7"/>
  <c r="AW19" i="7"/>
  <c r="BC19" i="7"/>
  <c r="AO21" i="7"/>
  <c r="AW21" i="7"/>
  <c r="BC21" i="7"/>
  <c r="AO37" i="7"/>
  <c r="AW37" i="7"/>
  <c r="BC37" i="7"/>
  <c r="AO7" i="7"/>
  <c r="AW7" i="7"/>
  <c r="BC7" i="7"/>
  <c r="AO16" i="7"/>
  <c r="AW16" i="7"/>
  <c r="BC16" i="7"/>
  <c r="AO12" i="7"/>
  <c r="AW12" i="7"/>
  <c r="BC12" i="7"/>
  <c r="AO30" i="7"/>
  <c r="AW30" i="7"/>
  <c r="BC30" i="7"/>
  <c r="AO20" i="7"/>
  <c r="AW20" i="7"/>
  <c r="BC20" i="7"/>
  <c r="AO26" i="7"/>
  <c r="AW26" i="7"/>
  <c r="BC26" i="7"/>
  <c r="AO6" i="7"/>
  <c r="AW6" i="7"/>
  <c r="BC6" i="7"/>
  <c r="AO39" i="7"/>
  <c r="AW39" i="7"/>
  <c r="BC39" i="7"/>
  <c r="AO35" i="7"/>
  <c r="AW35" i="7"/>
  <c r="BC35" i="7"/>
  <c r="AO28" i="7"/>
  <c r="AW28" i="7"/>
  <c r="BC28" i="7"/>
  <c r="AO38" i="7"/>
  <c r="AW38" i="7"/>
  <c r="BC38" i="7"/>
  <c r="AO11" i="7"/>
  <c r="AW11" i="7"/>
  <c r="BC11" i="7"/>
  <c r="AO14" i="7"/>
  <c r="AW14" i="7"/>
  <c r="BC14" i="7"/>
  <c r="AO34" i="7"/>
  <c r="AW34" i="7"/>
  <c r="BC34" i="7"/>
  <c r="AO18" i="7"/>
  <c r="AW18" i="7"/>
  <c r="BC18" i="7"/>
  <c r="AO25" i="7"/>
  <c r="AW25" i="7"/>
  <c r="BC25" i="7"/>
  <c r="AO36" i="7"/>
  <c r="AW36" i="7"/>
  <c r="BC36" i="7"/>
  <c r="AO32" i="7"/>
  <c r="AW32" i="7"/>
  <c r="BC32" i="7"/>
  <c r="AO15" i="7"/>
  <c r="AW15" i="7"/>
  <c r="BC15" i="7"/>
  <c r="AO23" i="7"/>
  <c r="AW23" i="7"/>
  <c r="BC23" i="7"/>
  <c r="AO27" i="7"/>
  <c r="AW27" i="7"/>
  <c r="BC27" i="7"/>
  <c r="J33" i="9"/>
  <c r="I31" i="9"/>
  <c r="I34" i="9"/>
  <c r="I23" i="9"/>
  <c r="G7" i="6"/>
  <c r="M155" i="1"/>
  <c r="K33" i="9"/>
  <c r="J31" i="9"/>
  <c r="J34" i="9"/>
  <c r="I7" i="9"/>
  <c r="J23" i="9"/>
  <c r="L33" i="9"/>
  <c r="K31" i="9"/>
  <c r="K34" i="9"/>
  <c r="J7" i="9"/>
  <c r="K23" i="9"/>
  <c r="D24" i="2"/>
  <c r="C111" i="2"/>
  <c r="B111" i="2"/>
  <c r="C112" i="2"/>
  <c r="B112" i="2"/>
  <c r="C113" i="2"/>
  <c r="B113" i="2"/>
  <c r="C114" i="2"/>
  <c r="B114" i="2"/>
  <c r="C115" i="2"/>
  <c r="B115" i="2"/>
  <c r="C116" i="2"/>
  <c r="B116" i="2"/>
  <c r="C117" i="2"/>
  <c r="B117" i="2"/>
  <c r="C118" i="2"/>
  <c r="B118" i="2"/>
  <c r="C119" i="2"/>
  <c r="B119" i="2"/>
  <c r="B120" i="2"/>
  <c r="C110" i="2"/>
  <c r="B110" i="2"/>
  <c r="N98" i="2"/>
  <c r="M98" i="2"/>
  <c r="N97" i="2"/>
  <c r="M9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N96" i="2"/>
  <c r="K44" i="1"/>
  <c r="K45" i="1"/>
  <c r="K46" i="1"/>
  <c r="K47" i="1"/>
  <c r="K48" i="1"/>
  <c r="K49" i="1"/>
  <c r="K43" i="1"/>
  <c r="C4" i="7" a="1"/>
  <c r="D4" i="7"/>
  <c r="M33" i="9"/>
  <c r="L31" i="9"/>
  <c r="L34" i="9"/>
  <c r="K7" i="9"/>
  <c r="L23" i="9"/>
  <c r="B96" i="2"/>
  <c r="H4" i="7"/>
  <c r="C4" i="7"/>
  <c r="F4" i="7"/>
  <c r="G4" i="7"/>
  <c r="E4" i="7"/>
  <c r="I4" i="7"/>
  <c r="N33" i="9"/>
  <c r="M31" i="9"/>
  <c r="M34" i="9"/>
  <c r="L7" i="9"/>
  <c r="M23" i="9"/>
  <c r="D61" i="1"/>
  <c r="O33" i="9"/>
  <c r="N31" i="9"/>
  <c r="N34" i="9"/>
  <c r="M7" i="9"/>
  <c r="N23" i="9"/>
  <c r="AU37" i="4"/>
  <c r="P73" i="1" s="1"/>
  <c r="L72" i="1"/>
  <c r="P33" i="9"/>
  <c r="O31" i="9"/>
  <c r="O34" i="9"/>
  <c r="N7" i="9"/>
  <c r="O23" i="9"/>
  <c r="E17" i="3"/>
  <c r="E12" i="3"/>
  <c r="E5" i="3"/>
  <c r="K18" i="1"/>
  <c r="I5" i="5"/>
  <c r="D7" i="5"/>
  <c r="E16" i="3"/>
  <c r="Q33" i="9"/>
  <c r="P31" i="9"/>
  <c r="P34" i="9"/>
  <c r="O7" i="9"/>
  <c r="P23" i="9"/>
  <c r="E18" i="3"/>
  <c r="G8" i="1"/>
  <c r="L8" i="1" a="1"/>
  <c r="O8" i="1"/>
  <c r="O178" i="1"/>
  <c r="E46" i="1"/>
  <c r="M126" i="1"/>
  <c r="E47" i="1"/>
  <c r="AA10" i="1"/>
  <c r="E48" i="1"/>
  <c r="AA11" i="1"/>
  <c r="N38" i="1"/>
  <c r="N39" i="1"/>
  <c r="L180" i="1"/>
  <c r="D66" i="1"/>
  <c r="D68" i="1"/>
  <c r="N59" i="1"/>
  <c r="F74" i="1"/>
  <c r="F76" i="1"/>
  <c r="F85" i="1"/>
  <c r="G85" i="1"/>
  <c r="F86" i="1"/>
  <c r="G86" i="1"/>
  <c r="F87" i="1"/>
  <c r="G87" i="1"/>
  <c r="M72" i="1"/>
  <c r="F88" i="1"/>
  <c r="M73" i="1"/>
  <c r="M74" i="1"/>
  <c r="M75" i="1"/>
  <c r="M76" i="1"/>
  <c r="M77" i="1"/>
  <c r="L78" i="1"/>
  <c r="E73" i="1"/>
  <c r="N83" i="1"/>
  <c r="O83" i="1"/>
  <c r="N85" i="1"/>
  <c r="N88" i="1"/>
  <c r="O88" i="1"/>
  <c r="N91" i="1"/>
  <c r="O91" i="1"/>
  <c r="N93" i="1"/>
  <c r="O93" i="1"/>
  <c r="Q98" i="1"/>
  <c r="Q99" i="1"/>
  <c r="Q100" i="1"/>
  <c r="Q101" i="1"/>
  <c r="Q102" i="1"/>
  <c r="R103" i="1"/>
  <c r="L110" i="1"/>
  <c r="L111" i="1"/>
  <c r="L120" i="1"/>
  <c r="K178" i="1"/>
  <c r="K179" i="1"/>
  <c r="P120" i="1"/>
  <c r="U180" i="1"/>
  <c r="R33" i="9"/>
  <c r="Q31" i="9"/>
  <c r="Q34" i="9"/>
  <c r="P7" i="9"/>
  <c r="Q23" i="9"/>
  <c r="T180" i="1"/>
  <c r="Q180" i="1"/>
  <c r="R180" i="1"/>
  <c r="O180" i="1"/>
  <c r="W180" i="1"/>
  <c r="M180" i="1"/>
  <c r="N180" i="1"/>
  <c r="V180" i="1"/>
  <c r="D60" i="1"/>
  <c r="N62" i="1"/>
  <c r="O62" i="1"/>
  <c r="P62" i="1"/>
  <c r="N61" i="1"/>
  <c r="P61" i="1"/>
  <c r="Q61" i="1"/>
  <c r="P83" i="1"/>
  <c r="N65" i="1"/>
  <c r="O65" i="1"/>
  <c r="P65" i="1"/>
  <c r="Q65" i="1"/>
  <c r="P93" i="1"/>
  <c r="P91" i="1"/>
  <c r="S180" i="1"/>
  <c r="L62" i="1"/>
  <c r="L67" i="1"/>
  <c r="Q103" i="1"/>
  <c r="L113" i="1"/>
  <c r="S120" i="1"/>
  <c r="P180" i="1"/>
  <c r="V8" i="1"/>
  <c r="V178" i="1"/>
  <c r="N8" i="1"/>
  <c r="N178" i="1"/>
  <c r="M148" i="1"/>
  <c r="M147" i="1"/>
  <c r="M149" i="1"/>
  <c r="S8" i="1"/>
  <c r="S178" i="1"/>
  <c r="M128" i="1"/>
  <c r="V9" i="1"/>
  <c r="V11" i="1"/>
  <c r="M127" i="1"/>
  <c r="Q9" i="1"/>
  <c r="Q11" i="1"/>
  <c r="AA9" i="1"/>
  <c r="N9" i="1"/>
  <c r="N179" i="1"/>
  <c r="G93" i="1"/>
  <c r="G94" i="1"/>
  <c r="P88" i="1"/>
  <c r="N60" i="1"/>
  <c r="N64" i="1"/>
  <c r="N66" i="1"/>
  <c r="N63" i="1"/>
  <c r="T120" i="1"/>
  <c r="M120" i="1"/>
  <c r="U120" i="1"/>
  <c r="N120" i="1"/>
  <c r="V120" i="1"/>
  <c r="O120" i="1"/>
  <c r="W120" i="1"/>
  <c r="Q120" i="1"/>
  <c r="R120" i="1"/>
  <c r="W9" i="1"/>
  <c r="P9" i="1"/>
  <c r="U8" i="1"/>
  <c r="U178" i="1"/>
  <c r="M8" i="1"/>
  <c r="M178" i="1"/>
  <c r="O9" i="1"/>
  <c r="T8" i="1"/>
  <c r="T178" i="1"/>
  <c r="L8" i="1"/>
  <c r="L178" i="1"/>
  <c r="U9" i="1"/>
  <c r="M9" i="1"/>
  <c r="R8" i="1"/>
  <c r="R178" i="1"/>
  <c r="T9" i="1"/>
  <c r="L9" i="1"/>
  <c r="Q8" i="1"/>
  <c r="Q178" i="1"/>
  <c r="S9" i="1"/>
  <c r="P8" i="1"/>
  <c r="P178" i="1"/>
  <c r="R9" i="1"/>
  <c r="W8" i="1"/>
  <c r="W178" i="1"/>
  <c r="AD54" i="2"/>
  <c r="Q10" i="1"/>
  <c r="Q12" i="1"/>
  <c r="S33" i="9"/>
  <c r="R31" i="9"/>
  <c r="R34" i="9"/>
  <c r="Q7" i="9"/>
  <c r="R23" i="9"/>
  <c r="Q62" i="1"/>
  <c r="O85" i="1"/>
  <c r="N117" i="1"/>
  <c r="N10" i="1"/>
  <c r="N11" i="1"/>
  <c r="N141" i="1"/>
  <c r="V179" i="1"/>
  <c r="V141" i="1"/>
  <c r="V117" i="1"/>
  <c r="V10" i="1"/>
  <c r="Q141" i="1"/>
  <c r="Q117" i="1"/>
  <c r="Q179" i="1"/>
  <c r="M150" i="1"/>
  <c r="M129" i="1"/>
  <c r="O11" i="1"/>
  <c r="O117" i="1"/>
  <c r="O179" i="1"/>
  <c r="O10" i="1"/>
  <c r="O141" i="1"/>
  <c r="O59" i="1"/>
  <c r="P59" i="1"/>
  <c r="Q59" i="1"/>
  <c r="L11" i="1"/>
  <c r="L117" i="1"/>
  <c r="L179" i="1"/>
  <c r="L10" i="1"/>
  <c r="L181" i="1" s="1"/>
  <c r="L141" i="1"/>
  <c r="O66" i="1"/>
  <c r="P66" i="1"/>
  <c r="Q66" i="1"/>
  <c r="W10" i="1"/>
  <c r="W117" i="1"/>
  <c r="W179" i="1"/>
  <c r="W141" i="1"/>
  <c r="W11" i="1"/>
  <c r="U11" i="1"/>
  <c r="U10" i="1"/>
  <c r="U117" i="1"/>
  <c r="U141" i="1"/>
  <c r="U179" i="1"/>
  <c r="O64" i="1"/>
  <c r="P64" i="1"/>
  <c r="Q64" i="1"/>
  <c r="S11" i="1"/>
  <c r="S10" i="1"/>
  <c r="S179" i="1"/>
  <c r="S117" i="1"/>
  <c r="S141" i="1"/>
  <c r="O63" i="1"/>
  <c r="P63" i="1"/>
  <c r="Q63" i="1"/>
  <c r="R10" i="1"/>
  <c r="R141" i="1"/>
  <c r="R11" i="1"/>
  <c r="R117" i="1"/>
  <c r="R179" i="1"/>
  <c r="M11" i="1"/>
  <c r="M10" i="1"/>
  <c r="M117" i="1"/>
  <c r="M141" i="1"/>
  <c r="M179" i="1"/>
  <c r="T11" i="1"/>
  <c r="T117" i="1"/>
  <c r="T179" i="1"/>
  <c r="T10" i="1"/>
  <c r="T141" i="1"/>
  <c r="P10" i="1"/>
  <c r="P11" i="1"/>
  <c r="P141" i="1"/>
  <c r="P117" i="1"/>
  <c r="P179" i="1"/>
  <c r="O60" i="1"/>
  <c r="P60" i="1"/>
  <c r="Q60" i="1"/>
  <c r="Q181" i="1"/>
  <c r="Q183" i="1"/>
  <c r="Q143" i="1"/>
  <c r="V181" i="1"/>
  <c r="V12" i="1"/>
  <c r="U12" i="1"/>
  <c r="O12" i="1"/>
  <c r="P12" i="1"/>
  <c r="T12" i="1"/>
  <c r="R12" i="1"/>
  <c r="W12" i="1"/>
  <c r="L12" i="1"/>
  <c r="S12" i="1"/>
  <c r="M12" i="1"/>
  <c r="N12" i="1"/>
  <c r="T33" i="9"/>
  <c r="S31" i="9"/>
  <c r="S34" i="9"/>
  <c r="R7" i="9"/>
  <c r="S23" i="9"/>
  <c r="P85" i="1"/>
  <c r="N181" i="1"/>
  <c r="Q67" i="1"/>
  <c r="E72" i="1"/>
  <c r="R67" i="1"/>
  <c r="F72" i="1"/>
  <c r="O181" i="1"/>
  <c r="O183" i="1"/>
  <c r="O143" i="1"/>
  <c r="R181" i="1"/>
  <c r="R183" i="1"/>
  <c r="R143" i="1"/>
  <c r="Q182" i="1"/>
  <c r="Q119" i="1"/>
  <c r="P181" i="1"/>
  <c r="P183" i="1"/>
  <c r="P143" i="1"/>
  <c r="W181" i="1"/>
  <c r="W183" i="1"/>
  <c r="W143" i="1"/>
  <c r="M181" i="1"/>
  <c r="U181" i="1"/>
  <c r="U183" i="1"/>
  <c r="U143" i="1"/>
  <c r="T181" i="1"/>
  <c r="T183" i="1"/>
  <c r="T143" i="1"/>
  <c r="S181" i="1"/>
  <c r="S183" i="1"/>
  <c r="S143" i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11" i="5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G24" i="4"/>
  <c r="F24" i="4"/>
  <c r="M183" i="1"/>
  <c r="M143" i="1"/>
  <c r="N183" i="1"/>
  <c r="V182" i="1"/>
  <c r="V119" i="1"/>
  <c r="V121" i="1"/>
  <c r="V183" i="1"/>
  <c r="V143" i="1"/>
  <c r="U33" i="9"/>
  <c r="T31" i="9"/>
  <c r="T34" i="9"/>
  <c r="S7" i="9"/>
  <c r="T23" i="9"/>
  <c r="P94" i="1"/>
  <c r="F75" i="1"/>
  <c r="E75" i="1"/>
  <c r="G12" i="1"/>
  <c r="AB43" i="1" s="1"/>
  <c r="O24" i="1"/>
  <c r="O21" i="1" s="1"/>
  <c r="O22" i="1"/>
  <c r="N182" i="1"/>
  <c r="N119" i="1"/>
  <c r="R182" i="1"/>
  <c r="R119" i="1"/>
  <c r="W182" i="1"/>
  <c r="W119" i="1"/>
  <c r="U182" i="1"/>
  <c r="U119" i="1"/>
  <c r="T182" i="1"/>
  <c r="T119" i="1"/>
  <c r="S182" i="1"/>
  <c r="S119" i="1"/>
  <c r="P182" i="1"/>
  <c r="P119" i="1"/>
  <c r="M182" i="1"/>
  <c r="M119" i="1"/>
  <c r="O182" i="1"/>
  <c r="O119" i="1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AG248" i="4"/>
  <c r="AH248" i="4"/>
  <c r="AI248" i="4"/>
  <c r="AJ248" i="4"/>
  <c r="AK248" i="4"/>
  <c r="AL248" i="4"/>
  <c r="AM248" i="4"/>
  <c r="F248" i="4"/>
  <c r="G248" i="4"/>
  <c r="H248" i="4"/>
  <c r="I248" i="4"/>
  <c r="J248" i="4"/>
  <c r="K248" i="4"/>
  <c r="L248" i="4"/>
  <c r="M248" i="4"/>
  <c r="E248" i="4"/>
  <c r="P95" i="2"/>
  <c r="N143" i="1"/>
  <c r="L51" i="1"/>
  <c r="E15" i="2" s="1"/>
  <c r="L48" i="1"/>
  <c r="V33" i="9"/>
  <c r="U31" i="9"/>
  <c r="U34" i="9"/>
  <c r="T7" i="9"/>
  <c r="U23" i="9"/>
  <c r="L44" i="1"/>
  <c r="M43" i="1"/>
  <c r="AY45" i="1"/>
  <c r="M33" i="1"/>
  <c r="M44" i="1"/>
  <c r="AY46" i="1" s="1"/>
  <c r="L49" i="1"/>
  <c r="L43" i="1"/>
  <c r="L47" i="1"/>
  <c r="N44" i="1"/>
  <c r="AZ46" i="1" s="1"/>
  <c r="N47" i="1"/>
  <c r="L45" i="1"/>
  <c r="L33" i="1"/>
  <c r="E7" i="2"/>
  <c r="E11" i="2"/>
  <c r="L46" i="1"/>
  <c r="N51" i="1"/>
  <c r="G15" i="2" s="1"/>
  <c r="M51" i="1"/>
  <c r="F15" i="2" s="1"/>
  <c r="Q95" i="2"/>
  <c r="R95" i="2"/>
  <c r="AI46" i="1"/>
  <c r="M49" i="1"/>
  <c r="AY48" i="1"/>
  <c r="L17" i="1"/>
  <c r="AN43" i="1"/>
  <c r="BZ45" i="1"/>
  <c r="AG43" i="1"/>
  <c r="BS45" i="1"/>
  <c r="AP46" i="1"/>
  <c r="AL43" i="1"/>
  <c r="BX45" i="1"/>
  <c r="V43" i="1"/>
  <c r="BH45" i="1"/>
  <c r="Q43" i="1"/>
  <c r="BC45" i="1"/>
  <c r="Y46" i="1"/>
  <c r="AQ43" i="1"/>
  <c r="CC45" i="1"/>
  <c r="AL46" i="1"/>
  <c r="AU46" i="1"/>
  <c r="Y43" i="1"/>
  <c r="BK45" i="1"/>
  <c r="AS46" i="1"/>
  <c r="AC43" i="1"/>
  <c r="BO45" i="1"/>
  <c r="W43" i="1"/>
  <c r="BI45" i="1"/>
  <c r="AJ46" i="1"/>
  <c r="AS43" i="1"/>
  <c r="CE45" i="1"/>
  <c r="O43" i="1"/>
  <c r="BA45" i="1"/>
  <c r="AA46" i="1"/>
  <c r="W46" i="1"/>
  <c r="Z46" i="1"/>
  <c r="AT43" i="1"/>
  <c r="CF45" i="1"/>
  <c r="X46" i="1"/>
  <c r="V46" i="1"/>
  <c r="AT46" i="1"/>
  <c r="AK43" i="1"/>
  <c r="BW45" i="1"/>
  <c r="R43" i="1"/>
  <c r="BD45" i="1"/>
  <c r="AR43" i="1"/>
  <c r="CD45" i="1"/>
  <c r="AD43" i="1"/>
  <c r="BP45" i="1"/>
  <c r="AJ43" i="1"/>
  <c r="BV45" i="1"/>
  <c r="P46" i="1"/>
  <c r="AE46" i="1"/>
  <c r="X43" i="1"/>
  <c r="BJ45" i="1"/>
  <c r="AB46" i="1"/>
  <c r="AE43" i="1"/>
  <c r="BQ45" i="1"/>
  <c r="AP43" i="1"/>
  <c r="CB45" i="1"/>
  <c r="BN45" i="1"/>
  <c r="AG46" i="1"/>
  <c r="AQ46" i="1"/>
  <c r="Z43" i="1"/>
  <c r="BL45" i="1"/>
  <c r="T43" i="1"/>
  <c r="BF45" i="1"/>
  <c r="AO46" i="1"/>
  <c r="AF46" i="1"/>
  <c r="R46" i="1"/>
  <c r="AK46" i="1"/>
  <c r="AI43" i="1"/>
  <c r="BU45" i="1"/>
  <c r="AR46" i="1"/>
  <c r="AH46" i="1"/>
  <c r="AN46" i="1"/>
  <c r="AA43" i="1"/>
  <c r="BM45" i="1"/>
  <c r="Q46" i="1"/>
  <c r="O46" i="1"/>
  <c r="AH43" i="1"/>
  <c r="BT45" i="1"/>
  <c r="AU43" i="1"/>
  <c r="CG45" i="1"/>
  <c r="S43" i="1"/>
  <c r="BE45" i="1"/>
  <c r="T46" i="1"/>
  <c r="AM46" i="1"/>
  <c r="U46" i="1"/>
  <c r="U43" i="1"/>
  <c r="BG45" i="1"/>
  <c r="AC46" i="1"/>
  <c r="AF43" i="1"/>
  <c r="BR45" i="1"/>
  <c r="P43" i="1"/>
  <c r="BB45" i="1"/>
  <c r="AM43" i="1"/>
  <c r="BY45" i="1"/>
  <c r="AO43" i="1"/>
  <c r="CA45" i="1"/>
  <c r="S46" i="1"/>
  <c r="AD46" i="1"/>
  <c r="K7" i="5"/>
  <c r="M48" i="1"/>
  <c r="AY47" i="1"/>
  <c r="AK24" i="1"/>
  <c r="AK21" i="1" s="1"/>
  <c r="AK22" i="1"/>
  <c r="N33" i="1"/>
  <c r="N45" i="1"/>
  <c r="AL24" i="1"/>
  <c r="AL21" i="1" s="1"/>
  <c r="AL22" i="1"/>
  <c r="U24" i="1"/>
  <c r="U21" i="1" s="1"/>
  <c r="U22" i="1"/>
  <c r="AR24" i="1"/>
  <c r="AR21" i="1" s="1"/>
  <c r="AR22" i="1"/>
  <c r="AB24" i="1"/>
  <c r="AB21" i="1" s="1"/>
  <c r="AB22" i="1"/>
  <c r="AI24" i="1"/>
  <c r="AI21" i="1" s="1"/>
  <c r="AI22" i="1"/>
  <c r="M46" i="1"/>
  <c r="AA24" i="1"/>
  <c r="AA21" i="1" s="1"/>
  <c r="AA22" i="1"/>
  <c r="M45" i="1"/>
  <c r="P24" i="1"/>
  <c r="P21" i="1" s="1"/>
  <c r="P22" i="1"/>
  <c r="AN24" i="1"/>
  <c r="AN21" i="1" s="1"/>
  <c r="AN22" i="1"/>
  <c r="N46" i="1"/>
  <c r="T24" i="1"/>
  <c r="T21" i="1" s="1"/>
  <c r="T22" i="1"/>
  <c r="AP24" i="1"/>
  <c r="AP21" i="1" s="1"/>
  <c r="AP22" i="1"/>
  <c r="M47" i="1"/>
  <c r="AQ24" i="1"/>
  <c r="AQ21" i="1" s="1"/>
  <c r="AQ22" i="1"/>
  <c r="V47" i="1"/>
  <c r="AR47" i="1"/>
  <c r="N49" i="1"/>
  <c r="AZ48" i="1"/>
  <c r="AS24" i="1"/>
  <c r="AS21" i="1" s="1"/>
  <c r="AS22" i="1"/>
  <c r="AD24" i="1"/>
  <c r="AD21" i="1" s="1"/>
  <c r="AD22" i="1"/>
  <c r="AT24" i="1"/>
  <c r="AT21" i="1" s="1"/>
  <c r="AT22" i="1"/>
  <c r="AF24" i="1"/>
  <c r="AF21" i="1" s="1"/>
  <c r="AF22" i="1"/>
  <c r="L25" i="1"/>
  <c r="L26" i="1"/>
  <c r="L27" i="1" s="1"/>
  <c r="L34" i="1" s="1"/>
  <c r="N43" i="1"/>
  <c r="AZ45" i="1"/>
  <c r="N48" i="1"/>
  <c r="AZ47" i="1"/>
  <c r="AH24" i="1"/>
  <c r="AH21" i="1" s="1"/>
  <c r="AH22" i="1"/>
  <c r="M25" i="1"/>
  <c r="M26" i="1" s="1"/>
  <c r="M27" i="1" s="1"/>
  <c r="M34" i="1" s="1"/>
  <c r="N25" i="1"/>
  <c r="N26" i="1"/>
  <c r="N27" i="1" s="1"/>
  <c r="N34" i="1" s="1"/>
  <c r="AJ24" i="1"/>
  <c r="AJ21" i="1" s="1"/>
  <c r="AJ22" i="1"/>
  <c r="Z24" i="1"/>
  <c r="Z21" i="1" s="1"/>
  <c r="Z22" i="1"/>
  <c r="AO24" i="1"/>
  <c r="AO21" i="1" s="1"/>
  <c r="AO22" i="1"/>
  <c r="AU24" i="1"/>
  <c r="AU21" i="1" s="1"/>
  <c r="AU22" i="1"/>
  <c r="U47" i="1"/>
  <c r="L24" i="1"/>
  <c r="L21" i="1" s="1"/>
  <c r="L22" i="1"/>
  <c r="AA47" i="1"/>
  <c r="W24" i="1"/>
  <c r="W21" i="1" s="1"/>
  <c r="W22" i="1"/>
  <c r="R24" i="1"/>
  <c r="R21" i="1" s="1"/>
  <c r="R22" i="1"/>
  <c r="AE47" i="1"/>
  <c r="AM47" i="1"/>
  <c r="N24" i="1"/>
  <c r="N21" i="1" s="1"/>
  <c r="N22" i="1"/>
  <c r="AG24" i="1"/>
  <c r="AG21" i="1" s="1"/>
  <c r="AG22" i="1"/>
  <c r="AM24" i="1"/>
  <c r="AM21" i="1" s="1"/>
  <c r="AM22" i="1"/>
  <c r="AC47" i="1"/>
  <c r="AL47" i="1"/>
  <c r="X24" i="1"/>
  <c r="X21" i="1" s="1"/>
  <c r="X22" i="1"/>
  <c r="Y24" i="1"/>
  <c r="Y21" i="1" s="1"/>
  <c r="Y22" i="1"/>
  <c r="X47" i="1"/>
  <c r="AO47" i="1"/>
  <c r="AF47" i="1"/>
  <c r="V24" i="1"/>
  <c r="V21" i="1" s="1"/>
  <c r="V22" i="1"/>
  <c r="AN47" i="1"/>
  <c r="AB47" i="1"/>
  <c r="AE24" i="1"/>
  <c r="AE21" i="1" s="1"/>
  <c r="AE22" i="1"/>
  <c r="AK47" i="1"/>
  <c r="AC24" i="1"/>
  <c r="AC21" i="1" s="1"/>
  <c r="AC22" i="1"/>
  <c r="AI47" i="1"/>
  <c r="AH47" i="1"/>
  <c r="M24" i="1"/>
  <c r="M21" i="1" s="1"/>
  <c r="M22" i="1"/>
  <c r="Q24" i="1"/>
  <c r="Q21" i="1" s="1"/>
  <c r="Q22" i="1"/>
  <c r="G14" i="1"/>
  <c r="G15" i="1"/>
  <c r="Y47" i="1"/>
  <c r="S47" i="1"/>
  <c r="AJ47" i="1"/>
  <c r="S24" i="1"/>
  <c r="S21" i="1" s="1"/>
  <c r="S22" i="1"/>
  <c r="AT45" i="1"/>
  <c r="T47" i="1"/>
  <c r="O47" i="1"/>
  <c r="AQ47" i="1"/>
  <c r="Q47" i="1"/>
  <c r="W47" i="1"/>
  <c r="AT47" i="1"/>
  <c r="Y45" i="1"/>
  <c r="R47" i="1"/>
  <c r="N121" i="1"/>
  <c r="V144" i="1"/>
  <c r="Q121" i="1"/>
  <c r="D8" i="5"/>
  <c r="L5" i="7" a="1"/>
  <c r="L37" i="7"/>
  <c r="S37" i="7"/>
  <c r="V37" i="7"/>
  <c r="AF7" i="3"/>
  <c r="AS7" i="3"/>
  <c r="AT7" i="3"/>
  <c r="E16" i="2"/>
  <c r="W33" i="9"/>
  <c r="V31" i="9"/>
  <c r="V34" i="9"/>
  <c r="U7" i="9"/>
  <c r="V23" i="9"/>
  <c r="G16" i="2"/>
  <c r="F16" i="2"/>
  <c r="I16" i="2"/>
  <c r="S95" i="2"/>
  <c r="AN23" i="1"/>
  <c r="AK23" i="1"/>
  <c r="AC23" i="1"/>
  <c r="W23" i="1"/>
  <c r="AE23" i="1"/>
  <c r="AI23" i="1"/>
  <c r="AA23" i="1"/>
  <c r="N23" i="1"/>
  <c r="AM23" i="1"/>
  <c r="L23" i="1"/>
  <c r="U23" i="1"/>
  <c r="AO23" i="1"/>
  <c r="O23" i="1"/>
  <c r="Q23" i="1"/>
  <c r="Y23" i="1"/>
  <c r="AD23" i="1"/>
  <c r="P23" i="1"/>
  <c r="H16" i="2"/>
  <c r="S23" i="1"/>
  <c r="M23" i="1"/>
  <c r="V23" i="1"/>
  <c r="X23" i="1"/>
  <c r="AU23" i="1"/>
  <c r="AS23" i="1"/>
  <c r="O121" i="1"/>
  <c r="W121" i="1"/>
  <c r="T121" i="1"/>
  <c r="Q144" i="1"/>
  <c r="M121" i="1"/>
  <c r="O33" i="1"/>
  <c r="H7" i="2"/>
  <c r="H11" i="2"/>
  <c r="W33" i="1"/>
  <c r="AE33" i="1"/>
  <c r="AM33" i="1"/>
  <c r="AU33" i="1"/>
  <c r="P33" i="1"/>
  <c r="X33" i="1"/>
  <c r="AF33" i="1"/>
  <c r="AN33" i="1"/>
  <c r="Q33" i="1"/>
  <c r="Y33" i="1"/>
  <c r="AG33" i="1"/>
  <c r="AO33" i="1"/>
  <c r="R33" i="1"/>
  <c r="Z33" i="1"/>
  <c r="AH33" i="1"/>
  <c r="AP33" i="1"/>
  <c r="T33" i="1"/>
  <c r="AB33" i="1"/>
  <c r="AJ33" i="1"/>
  <c r="AR33" i="1"/>
  <c r="U33" i="1"/>
  <c r="AC33" i="1"/>
  <c r="AK33" i="1"/>
  <c r="AS33" i="1"/>
  <c r="AD33" i="1"/>
  <c r="AI33" i="1"/>
  <c r="AL33" i="1"/>
  <c r="AQ33" i="1"/>
  <c r="S33" i="1"/>
  <c r="V33" i="1"/>
  <c r="AA33" i="1"/>
  <c r="AT33" i="1"/>
  <c r="R121" i="1"/>
  <c r="N144" i="1"/>
  <c r="U121" i="1"/>
  <c r="S121" i="1"/>
  <c r="P121" i="1"/>
  <c r="AB10" i="1"/>
  <c r="AB11" i="1"/>
  <c r="AB9" i="1"/>
  <c r="F7" i="2"/>
  <c r="G7" i="2"/>
  <c r="L8" i="7"/>
  <c r="S8" i="7"/>
  <c r="V8" i="7"/>
  <c r="L35" i="7"/>
  <c r="S35" i="7"/>
  <c r="V35" i="7"/>
  <c r="L6" i="7"/>
  <c r="S6" i="7"/>
  <c r="V6" i="7"/>
  <c r="L14" i="7"/>
  <c r="S14" i="7"/>
  <c r="V14" i="7"/>
  <c r="L22" i="7"/>
  <c r="S22" i="7"/>
  <c r="V22" i="7"/>
  <c r="L30" i="7"/>
  <c r="S30" i="7"/>
  <c r="V30" i="7"/>
  <c r="L38" i="7"/>
  <c r="S38" i="7"/>
  <c r="V38" i="7"/>
  <c r="L9" i="7"/>
  <c r="S9" i="7"/>
  <c r="V9" i="7"/>
  <c r="L17" i="7"/>
  <c r="S17" i="7"/>
  <c r="V17" i="7"/>
  <c r="L25" i="7"/>
  <c r="S25" i="7"/>
  <c r="V25" i="7"/>
  <c r="L33" i="7"/>
  <c r="S33" i="7"/>
  <c r="V33" i="7"/>
  <c r="L16" i="7"/>
  <c r="S16" i="7"/>
  <c r="V16" i="7"/>
  <c r="L24" i="7"/>
  <c r="S24" i="7"/>
  <c r="V24" i="7"/>
  <c r="L32" i="7"/>
  <c r="S32" i="7"/>
  <c r="V32" i="7"/>
  <c r="L12" i="7"/>
  <c r="S12" i="7"/>
  <c r="V12" i="7"/>
  <c r="L20" i="7"/>
  <c r="S20" i="7"/>
  <c r="V20" i="7"/>
  <c r="L28" i="7"/>
  <c r="S28" i="7"/>
  <c r="V28" i="7"/>
  <c r="L36" i="7"/>
  <c r="S36" i="7"/>
  <c r="V36" i="7"/>
  <c r="L7" i="7"/>
  <c r="S7" i="7"/>
  <c r="V7" i="7"/>
  <c r="L15" i="7"/>
  <c r="S15" i="7"/>
  <c r="V15" i="7"/>
  <c r="L23" i="7"/>
  <c r="S23" i="7"/>
  <c r="V23" i="7"/>
  <c r="L31" i="7"/>
  <c r="S31" i="7"/>
  <c r="V31" i="7"/>
  <c r="L39" i="7"/>
  <c r="S39" i="7"/>
  <c r="V39" i="7"/>
  <c r="L11" i="7"/>
  <c r="S11" i="7"/>
  <c r="V11" i="7"/>
  <c r="L19" i="7"/>
  <c r="S19" i="7"/>
  <c r="V19" i="7"/>
  <c r="L27" i="7"/>
  <c r="S27" i="7"/>
  <c r="V27" i="7"/>
  <c r="L5" i="7"/>
  <c r="S5" i="7"/>
  <c r="V5" i="7"/>
  <c r="L10" i="7"/>
  <c r="S10" i="7"/>
  <c r="V10" i="7"/>
  <c r="L18" i="7"/>
  <c r="S18" i="7"/>
  <c r="V18" i="7"/>
  <c r="L26" i="7"/>
  <c r="S26" i="7"/>
  <c r="V26" i="7"/>
  <c r="L34" i="7"/>
  <c r="S34" i="7"/>
  <c r="V34" i="7"/>
  <c r="L13" i="7"/>
  <c r="S13" i="7"/>
  <c r="V13" i="7"/>
  <c r="L21" i="7"/>
  <c r="S21" i="7"/>
  <c r="V21" i="7"/>
  <c r="L29" i="7"/>
  <c r="S29" i="7"/>
  <c r="V29" i="7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R7" i="3"/>
  <c r="AQ7" i="3"/>
  <c r="AP7" i="3"/>
  <c r="AO7" i="3"/>
  <c r="AN7" i="3"/>
  <c r="AM7" i="3"/>
  <c r="AL7" i="3"/>
  <c r="AK7" i="3"/>
  <c r="AJ7" i="3"/>
  <c r="AI7" i="3"/>
  <c r="AH7" i="3"/>
  <c r="AG7" i="3"/>
  <c r="AE7" i="3"/>
  <c r="AD7" i="3"/>
  <c r="M20" i="3"/>
  <c r="E20" i="3"/>
  <c r="M10" i="3" s="1"/>
  <c r="D8" i="1"/>
  <c r="D4" i="5" s="1"/>
  <c r="I11" i="5" s="1"/>
  <c r="G12" i="5" s="1"/>
  <c r="E9" i="3"/>
  <c r="AT23" i="1"/>
  <c r="AG23" i="1"/>
  <c r="AP23" i="1"/>
  <c r="AL23" i="1"/>
  <c r="AQ23" i="1"/>
  <c r="AF23" i="1"/>
  <c r="X33" i="9"/>
  <c r="W31" i="9"/>
  <c r="W34" i="9"/>
  <c r="V7" i="9"/>
  <c r="W23" i="9"/>
  <c r="T95" i="2"/>
  <c r="O38" i="1"/>
  <c r="S144" i="1"/>
  <c r="U144" i="1"/>
  <c r="T144" i="1"/>
  <c r="O144" i="1"/>
  <c r="W144" i="1"/>
  <c r="P144" i="1"/>
  <c r="M144" i="1"/>
  <c r="R144" i="1"/>
  <c r="E7" i="3"/>
  <c r="E8" i="3" s="1"/>
  <c r="AD8" i="3"/>
  <c r="AD9" i="3"/>
  <c r="AF4" i="3" s="1"/>
  <c r="M21" i="3" s="1"/>
  <c r="Y33" i="9"/>
  <c r="W7" i="9"/>
  <c r="X31" i="9"/>
  <c r="X34" i="9"/>
  <c r="X23" i="9"/>
  <c r="U95" i="2"/>
  <c r="P38" i="1"/>
  <c r="Z33" i="9"/>
  <c r="X7" i="9"/>
  <c r="Y31" i="9"/>
  <c r="Y34" i="9"/>
  <c r="Y23" i="9"/>
  <c r="F12" i="5"/>
  <c r="AA33" i="9"/>
  <c r="Z31" i="9"/>
  <c r="Z34" i="9"/>
  <c r="Y7" i="9"/>
  <c r="Z23" i="9"/>
  <c r="H12" i="5"/>
  <c r="E12" i="5"/>
  <c r="F13" i="5"/>
  <c r="AB33" i="9"/>
  <c r="AA31" i="9"/>
  <c r="AA34" i="9"/>
  <c r="Z7" i="9"/>
  <c r="AA23" i="9"/>
  <c r="H13" i="5"/>
  <c r="E13" i="5"/>
  <c r="AC33" i="9"/>
  <c r="AA7" i="9"/>
  <c r="AB31" i="9"/>
  <c r="AB34" i="9"/>
  <c r="AB23" i="9"/>
  <c r="F14" i="5"/>
  <c r="AD33" i="9"/>
  <c r="AC31" i="9"/>
  <c r="AC34" i="9"/>
  <c r="AB7" i="9"/>
  <c r="AC23" i="9"/>
  <c r="H14" i="5"/>
  <c r="E14" i="5"/>
  <c r="AE33" i="9"/>
  <c r="AD31" i="9"/>
  <c r="AD34" i="9"/>
  <c r="AC7" i="9"/>
  <c r="AD23" i="9"/>
  <c r="AF33" i="9"/>
  <c r="AE31" i="9"/>
  <c r="AE34" i="9"/>
  <c r="AD7" i="9"/>
  <c r="AE23" i="9"/>
  <c r="H15" i="5"/>
  <c r="E15" i="5"/>
  <c r="AG33" i="9"/>
  <c r="AF31" i="9"/>
  <c r="AF34" i="9"/>
  <c r="AE7" i="9"/>
  <c r="AF23" i="9"/>
  <c r="AH33" i="9"/>
  <c r="AF7" i="9"/>
  <c r="AG31" i="9"/>
  <c r="AG34" i="9"/>
  <c r="AG23" i="9"/>
  <c r="F41" i="5"/>
  <c r="F43" i="5"/>
  <c r="F44" i="5"/>
  <c r="F42" i="5"/>
  <c r="F40" i="5"/>
  <c r="F45" i="5"/>
  <c r="F38" i="5"/>
  <c r="F39" i="5"/>
  <c r="F46" i="5"/>
  <c r="AI33" i="9"/>
  <c r="AG7" i="9"/>
  <c r="AH31" i="9"/>
  <c r="AH34" i="9"/>
  <c r="AH23" i="9"/>
  <c r="AJ33" i="9"/>
  <c r="AH7" i="9"/>
  <c r="AI31" i="9"/>
  <c r="AI34" i="9"/>
  <c r="AI23" i="9"/>
  <c r="F36" i="5"/>
  <c r="F33" i="5"/>
  <c r="F34" i="5"/>
  <c r="F30" i="5"/>
  <c r="F31" i="5"/>
  <c r="F35" i="5"/>
  <c r="F37" i="5"/>
  <c r="F32" i="5"/>
  <c r="F28" i="5"/>
  <c r="F29" i="5"/>
  <c r="AK33" i="9"/>
  <c r="AJ31" i="9"/>
  <c r="AJ34" i="9"/>
  <c r="AI7" i="9"/>
  <c r="AJ23" i="9"/>
  <c r="AL33" i="9"/>
  <c r="AK31" i="9"/>
  <c r="AK34" i="9"/>
  <c r="AJ7" i="9"/>
  <c r="AK23" i="9"/>
  <c r="AM33" i="9"/>
  <c r="AL31" i="9"/>
  <c r="AL34" i="9"/>
  <c r="AK7" i="9"/>
  <c r="AL23" i="9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E54" i="2"/>
  <c r="AF54" i="2"/>
  <c r="AG54" i="2"/>
  <c r="AH54" i="2"/>
  <c r="AI54" i="2"/>
  <c r="AJ54" i="2"/>
  <c r="AK54" i="2"/>
  <c r="AL54" i="2"/>
  <c r="AM54" i="2"/>
  <c r="AN54" i="2"/>
  <c r="F54" i="2"/>
  <c r="G54" i="2"/>
  <c r="G109" i="2"/>
  <c r="G115" i="2"/>
  <c r="G95" i="2"/>
  <c r="D12" i="2"/>
  <c r="AN33" i="9"/>
  <c r="AL7" i="9"/>
  <c r="AM31" i="9"/>
  <c r="AM34" i="9"/>
  <c r="AM23" i="9"/>
  <c r="H95" i="2"/>
  <c r="H109" i="2"/>
  <c r="H115" i="2"/>
  <c r="AM7" i="9"/>
  <c r="AN31" i="9"/>
  <c r="AN34" i="9"/>
  <c r="AN23" i="9"/>
  <c r="I95" i="2"/>
  <c r="I109" i="2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169" i="4"/>
  <c r="AN7" i="9"/>
  <c r="J95" i="2"/>
  <c r="J109" i="2"/>
  <c r="C147" i="4"/>
  <c r="C146" i="4"/>
  <c r="C143" i="4"/>
  <c r="C142" i="4"/>
  <c r="D143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D29" i="4"/>
  <c r="D28" i="4"/>
  <c r="G21" i="4"/>
  <c r="G22" i="4"/>
  <c r="G20" i="4"/>
  <c r="D19" i="4"/>
  <c r="D20" i="4"/>
  <c r="H28" i="4"/>
  <c r="D30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K109" i="2"/>
  <c r="K115" i="2"/>
  <c r="K95" i="2"/>
  <c r="H29" i="4"/>
  <c r="G28" i="4"/>
  <c r="G29" i="4"/>
  <c r="E151" i="4"/>
  <c r="D21" i="4"/>
  <c r="D147" i="4"/>
  <c r="D22" i="4"/>
  <c r="E158" i="4"/>
  <c r="L95" i="2"/>
  <c r="L109" i="2"/>
  <c r="L115" i="2"/>
  <c r="G30" i="4"/>
  <c r="I28" i="4"/>
  <c r="I29" i="4"/>
  <c r="H30" i="4"/>
  <c r="H7" i="4"/>
  <c r="G21" i="9"/>
  <c r="G25" i="9"/>
  <c r="D146" i="4"/>
  <c r="D148" i="4"/>
  <c r="E146" i="4" s="1"/>
  <c r="F158" i="4"/>
  <c r="G158" i="4"/>
  <c r="G6" i="9"/>
  <c r="G7" i="4"/>
  <c r="F61" i="2"/>
  <c r="G61" i="2"/>
  <c r="G58" i="2"/>
  <c r="I30" i="4"/>
  <c r="I7" i="4"/>
  <c r="G46" i="2"/>
  <c r="G45" i="2"/>
  <c r="J29" i="4"/>
  <c r="J28" i="4"/>
  <c r="H43" i="4"/>
  <c r="H56" i="4"/>
  <c r="H46" i="4"/>
  <c r="H59" i="4"/>
  <c r="H52" i="4"/>
  <c r="H62" i="4"/>
  <c r="H65" i="4"/>
  <c r="H77" i="4"/>
  <c r="H47" i="4"/>
  <c r="H57" i="4"/>
  <c r="H71" i="4"/>
  <c r="H49" i="4"/>
  <c r="H61" i="4"/>
  <c r="H68" i="4"/>
  <c r="H60" i="4"/>
  <c r="H76" i="4"/>
  <c r="H45" i="4"/>
  <c r="H64" i="4"/>
  <c r="H74" i="4"/>
  <c r="H51" i="4"/>
  <c r="H73" i="4"/>
  <c r="H50" i="4"/>
  <c r="H44" i="4"/>
  <c r="H63" i="4"/>
  <c r="H54" i="4"/>
  <c r="H67" i="4"/>
  <c r="H69" i="4"/>
  <c r="H75" i="4"/>
  <c r="H48" i="4"/>
  <c r="H55" i="4"/>
  <c r="H66" i="4"/>
  <c r="H53" i="4"/>
  <c r="H70" i="4"/>
  <c r="H72" i="4"/>
  <c r="H58" i="4"/>
  <c r="G49" i="4"/>
  <c r="G43" i="4"/>
  <c r="G44" i="4"/>
  <c r="G57" i="4"/>
  <c r="G47" i="4"/>
  <c r="G60" i="4"/>
  <c r="G51" i="4"/>
  <c r="G61" i="4"/>
  <c r="G66" i="4"/>
  <c r="G72" i="4"/>
  <c r="G53" i="4"/>
  <c r="G67" i="4"/>
  <c r="G48" i="4"/>
  <c r="G52" i="4"/>
  <c r="G56" i="4"/>
  <c r="G65" i="4"/>
  <c r="G75" i="4"/>
  <c r="G73" i="4"/>
  <c r="G55" i="4"/>
  <c r="G59" i="4"/>
  <c r="G63" i="4"/>
  <c r="G54" i="4"/>
  <c r="G58" i="4"/>
  <c r="G62" i="4"/>
  <c r="G70" i="4"/>
  <c r="G69" i="4"/>
  <c r="G71" i="4"/>
  <c r="G50" i="4"/>
  <c r="G68" i="4"/>
  <c r="G45" i="4"/>
  <c r="G77" i="4"/>
  <c r="G64" i="4"/>
  <c r="G46" i="4"/>
  <c r="G74" i="4"/>
  <c r="G76" i="4"/>
  <c r="F96" i="4"/>
  <c r="F108" i="4"/>
  <c r="F88" i="4"/>
  <c r="F100" i="4"/>
  <c r="F112" i="4"/>
  <c r="F89" i="4"/>
  <c r="F101" i="4"/>
  <c r="F113" i="4"/>
  <c r="F92" i="4"/>
  <c r="F104" i="4"/>
  <c r="F116" i="4"/>
  <c r="F87" i="4"/>
  <c r="F106" i="4"/>
  <c r="F90" i="4"/>
  <c r="F107" i="4"/>
  <c r="F93" i="4"/>
  <c r="F110" i="4"/>
  <c r="F85" i="4"/>
  <c r="F111" i="4"/>
  <c r="F86" i="4"/>
  <c r="F114" i="4"/>
  <c r="F91" i="4"/>
  <c r="F115" i="4"/>
  <c r="F94" i="4"/>
  <c r="F117" i="4"/>
  <c r="F95" i="4"/>
  <c r="F99" i="4"/>
  <c r="F109" i="4"/>
  <c r="F103" i="4"/>
  <c r="F84" i="4"/>
  <c r="F97" i="4"/>
  <c r="F98" i="4"/>
  <c r="F102" i="4"/>
  <c r="F105" i="4"/>
  <c r="F118" i="4"/>
  <c r="F44" i="4"/>
  <c r="F49" i="4"/>
  <c r="G88" i="4"/>
  <c r="G87" i="4"/>
  <c r="G100" i="4"/>
  <c r="G112" i="4"/>
  <c r="G90" i="4"/>
  <c r="G86" i="4"/>
  <c r="G92" i="4"/>
  <c r="G104" i="4"/>
  <c r="G116" i="4"/>
  <c r="G84" i="4"/>
  <c r="G99" i="4"/>
  <c r="G111" i="4"/>
  <c r="G96" i="4"/>
  <c r="G108" i="4"/>
  <c r="G109" i="4"/>
  <c r="G117" i="4"/>
  <c r="G102" i="4"/>
  <c r="G115" i="4"/>
  <c r="G98" i="4"/>
  <c r="G91" i="4"/>
  <c r="G106" i="4"/>
  <c r="G113" i="4"/>
  <c r="G95" i="4"/>
  <c r="G103" i="4"/>
  <c r="G110" i="4"/>
  <c r="G85" i="4"/>
  <c r="G114" i="4"/>
  <c r="G93" i="4"/>
  <c r="G89" i="4"/>
  <c r="G118" i="4"/>
  <c r="G97" i="4"/>
  <c r="G101" i="4"/>
  <c r="G105" i="4"/>
  <c r="G94" i="4"/>
  <c r="G107" i="4"/>
  <c r="H88" i="4"/>
  <c r="H93" i="4"/>
  <c r="H105" i="4"/>
  <c r="H117" i="4"/>
  <c r="H95" i="4"/>
  <c r="H97" i="4"/>
  <c r="H109" i="4"/>
  <c r="H86" i="4"/>
  <c r="H92" i="4"/>
  <c r="H104" i="4"/>
  <c r="H116" i="4"/>
  <c r="H89" i="4"/>
  <c r="H101" i="4"/>
  <c r="H113" i="4"/>
  <c r="H114" i="4"/>
  <c r="H87" i="4"/>
  <c r="H107" i="4"/>
  <c r="H85" i="4"/>
  <c r="H102" i="4"/>
  <c r="H98" i="4"/>
  <c r="H91" i="4"/>
  <c r="H99" i="4"/>
  <c r="H106" i="4"/>
  <c r="H110" i="4"/>
  <c r="H94" i="4"/>
  <c r="H111" i="4"/>
  <c r="H118" i="4"/>
  <c r="H90" i="4"/>
  <c r="H112" i="4"/>
  <c r="H115" i="4"/>
  <c r="H96" i="4"/>
  <c r="H108" i="4"/>
  <c r="H100" i="4"/>
  <c r="H84" i="4"/>
  <c r="H103" i="4"/>
  <c r="F58" i="2"/>
  <c r="F21" i="9"/>
  <c r="H58" i="2"/>
  <c r="H21" i="9"/>
  <c r="H25" i="9"/>
  <c r="H6" i="9"/>
  <c r="F46" i="2"/>
  <c r="F45" i="2"/>
  <c r="H61" i="2"/>
  <c r="H46" i="2"/>
  <c r="H45" i="2"/>
  <c r="J30" i="4"/>
  <c r="J7" i="4"/>
  <c r="K28" i="4"/>
  <c r="K29" i="4"/>
  <c r="H158" i="4"/>
  <c r="F41" i="9"/>
  <c r="G51" i="9" s="1"/>
  <c r="AJ8" i="7"/>
  <c r="H41" i="9"/>
  <c r="H43" i="9"/>
  <c r="H8" i="9"/>
  <c r="G41" i="9"/>
  <c r="I58" i="2"/>
  <c r="I21" i="9"/>
  <c r="I25" i="9"/>
  <c r="I6" i="9"/>
  <c r="I61" i="2"/>
  <c r="I46" i="2"/>
  <c r="I45" i="2"/>
  <c r="K30" i="4"/>
  <c r="K7" i="4"/>
  <c r="M28" i="4"/>
  <c r="M29" i="4"/>
  <c r="L29" i="4"/>
  <c r="L28" i="4"/>
  <c r="I158" i="4"/>
  <c r="I63" i="4"/>
  <c r="I49" i="4"/>
  <c r="I50" i="4"/>
  <c r="I64" i="4"/>
  <c r="I47" i="4"/>
  <c r="I57" i="4"/>
  <c r="I76" i="4"/>
  <c r="I56" i="4"/>
  <c r="I77" i="4"/>
  <c r="I43" i="4"/>
  <c r="I44" i="4"/>
  <c r="I68" i="4"/>
  <c r="I48" i="4"/>
  <c r="I65" i="4"/>
  <c r="I51" i="4"/>
  <c r="I70" i="4"/>
  <c r="I54" i="4"/>
  <c r="I60" i="4"/>
  <c r="I46" i="4"/>
  <c r="I61" i="4"/>
  <c r="I72" i="4"/>
  <c r="I69" i="4"/>
  <c r="I67" i="4"/>
  <c r="I55" i="4"/>
  <c r="I66" i="4"/>
  <c r="I52" i="4"/>
  <c r="I45" i="4"/>
  <c r="I75" i="4"/>
  <c r="I59" i="4"/>
  <c r="I58" i="4"/>
  <c r="I74" i="4"/>
  <c r="I73" i="4"/>
  <c r="I53" i="4"/>
  <c r="I71" i="4"/>
  <c r="I62" i="4"/>
  <c r="I114" i="4"/>
  <c r="I87" i="4"/>
  <c r="I117" i="4"/>
  <c r="I97" i="4"/>
  <c r="I91" i="4"/>
  <c r="I84" i="4"/>
  <c r="I109" i="4"/>
  <c r="I113" i="4"/>
  <c r="I88" i="4"/>
  <c r="I94" i="4"/>
  <c r="I105" i="4"/>
  <c r="I101" i="4"/>
  <c r="I106" i="4"/>
  <c r="I95" i="4"/>
  <c r="I104" i="4"/>
  <c r="I89" i="4"/>
  <c r="I86" i="4"/>
  <c r="I118" i="4"/>
  <c r="I108" i="4"/>
  <c r="I85" i="4"/>
  <c r="I98" i="4"/>
  <c r="I93" i="4"/>
  <c r="I111" i="4"/>
  <c r="I100" i="4"/>
  <c r="I99" i="4"/>
  <c r="I103" i="4"/>
  <c r="I90" i="4"/>
  <c r="I112" i="4"/>
  <c r="I115" i="4"/>
  <c r="I102" i="4"/>
  <c r="I116" i="4"/>
  <c r="I107" i="4"/>
  <c r="I92" i="4"/>
  <c r="I110" i="4"/>
  <c r="I96" i="4"/>
  <c r="G43" i="9"/>
  <c r="G8" i="9"/>
  <c r="F32" i="9"/>
  <c r="F43" i="9"/>
  <c r="F8" i="9"/>
  <c r="J46" i="2"/>
  <c r="J45" i="2"/>
  <c r="J21" i="9"/>
  <c r="J41" i="9"/>
  <c r="J43" i="9"/>
  <c r="J8" i="9"/>
  <c r="I41" i="9"/>
  <c r="I43" i="9"/>
  <c r="I8" i="9"/>
  <c r="J61" i="2"/>
  <c r="J58" i="2"/>
  <c r="M30" i="4"/>
  <c r="M7" i="4"/>
  <c r="L21" i="9"/>
  <c r="L25" i="9"/>
  <c r="L6" i="9"/>
  <c r="L30" i="4"/>
  <c r="L7" i="4"/>
  <c r="K21" i="9"/>
  <c r="K25" i="9"/>
  <c r="K6" i="9"/>
  <c r="N28" i="4"/>
  <c r="N29" i="4"/>
  <c r="J158" i="4"/>
  <c r="K100" i="4"/>
  <c r="K114" i="4"/>
  <c r="K111" i="4"/>
  <c r="K112" i="4"/>
  <c r="K90" i="4"/>
  <c r="K91" i="4"/>
  <c r="K88" i="4"/>
  <c r="K85" i="4"/>
  <c r="K93" i="4"/>
  <c r="K95" i="4"/>
  <c r="K94" i="4"/>
  <c r="K117" i="4"/>
  <c r="K107" i="4"/>
  <c r="K102" i="4"/>
  <c r="K113" i="4"/>
  <c r="K92" i="4"/>
  <c r="K105" i="4"/>
  <c r="K110" i="4"/>
  <c r="K104" i="4"/>
  <c r="K109" i="4"/>
  <c r="K84" i="4"/>
  <c r="K116" i="4"/>
  <c r="K99" i="4"/>
  <c r="K87" i="4"/>
  <c r="K89" i="4"/>
  <c r="K115" i="4"/>
  <c r="K96" i="4"/>
  <c r="K106" i="4"/>
  <c r="K103" i="4"/>
  <c r="K108" i="4"/>
  <c r="K86" i="4"/>
  <c r="K97" i="4"/>
  <c r="K98" i="4"/>
  <c r="K101" i="4"/>
  <c r="K118" i="4"/>
  <c r="K68" i="4"/>
  <c r="K75" i="4"/>
  <c r="K77" i="4"/>
  <c r="K50" i="4"/>
  <c r="K47" i="4"/>
  <c r="K46" i="4"/>
  <c r="K62" i="4"/>
  <c r="K51" i="4"/>
  <c r="K72" i="4"/>
  <c r="K53" i="4"/>
  <c r="K61" i="4"/>
  <c r="K63" i="4"/>
  <c r="K56" i="4"/>
  <c r="K76" i="4"/>
  <c r="K43" i="4"/>
  <c r="K66" i="4"/>
  <c r="K73" i="4"/>
  <c r="K58" i="4"/>
  <c r="K54" i="4"/>
  <c r="K45" i="4"/>
  <c r="K67" i="4"/>
  <c r="K74" i="4"/>
  <c r="K69" i="4"/>
  <c r="K49" i="4"/>
  <c r="K60" i="4"/>
  <c r="K64" i="4"/>
  <c r="K59" i="4"/>
  <c r="K65" i="4"/>
  <c r="K57" i="4"/>
  <c r="K70" i="4"/>
  <c r="K48" i="4"/>
  <c r="K52" i="4"/>
  <c r="K55" i="4"/>
  <c r="K44" i="4"/>
  <c r="K71" i="4"/>
  <c r="J86" i="4"/>
  <c r="J84" i="4"/>
  <c r="J108" i="4"/>
  <c r="J85" i="4"/>
  <c r="J99" i="4"/>
  <c r="J87" i="4"/>
  <c r="J115" i="4"/>
  <c r="J101" i="4"/>
  <c r="J106" i="4"/>
  <c r="J88" i="4"/>
  <c r="J117" i="4"/>
  <c r="J96" i="4"/>
  <c r="J93" i="4"/>
  <c r="J109" i="4"/>
  <c r="J89" i="4"/>
  <c r="J95" i="4"/>
  <c r="J94" i="4"/>
  <c r="J110" i="4"/>
  <c r="J102" i="4"/>
  <c r="J116" i="4"/>
  <c r="J113" i="4"/>
  <c r="J114" i="4"/>
  <c r="J92" i="4"/>
  <c r="J104" i="4"/>
  <c r="J118" i="4"/>
  <c r="J97" i="4"/>
  <c r="J91" i="4"/>
  <c r="J103" i="4"/>
  <c r="J100" i="4"/>
  <c r="J107" i="4"/>
  <c r="J90" i="4"/>
  <c r="J111" i="4"/>
  <c r="J98" i="4"/>
  <c r="J105" i="4"/>
  <c r="J112" i="4"/>
  <c r="J57" i="4"/>
  <c r="J64" i="4"/>
  <c r="J62" i="4"/>
  <c r="J45" i="4"/>
  <c r="J72" i="4"/>
  <c r="J66" i="4"/>
  <c r="J69" i="4"/>
  <c r="J47" i="4"/>
  <c r="J53" i="4"/>
  <c r="J77" i="4"/>
  <c r="J61" i="4"/>
  <c r="J70" i="4"/>
  <c r="J67" i="4"/>
  <c r="J63" i="4"/>
  <c r="J68" i="4"/>
  <c r="J48" i="4"/>
  <c r="J71" i="4"/>
  <c r="J51" i="4"/>
  <c r="J54" i="4"/>
  <c r="J60" i="4"/>
  <c r="J50" i="4"/>
  <c r="J44" i="4"/>
  <c r="J65" i="4"/>
  <c r="J55" i="4"/>
  <c r="J43" i="4"/>
  <c r="J58" i="4"/>
  <c r="J73" i="4"/>
  <c r="J46" i="4"/>
  <c r="J74" i="4"/>
  <c r="J75" i="4"/>
  <c r="J52" i="4"/>
  <c r="J56" i="4"/>
  <c r="J76" i="4"/>
  <c r="J49" i="4"/>
  <c r="J59" i="4"/>
  <c r="L41" i="9"/>
  <c r="L43" i="9"/>
  <c r="L8" i="9"/>
  <c r="J25" i="9"/>
  <c r="J6" i="9"/>
  <c r="K41" i="9"/>
  <c r="K43" i="9"/>
  <c r="K8" i="9"/>
  <c r="K61" i="2"/>
  <c r="L61" i="2"/>
  <c r="L46" i="2"/>
  <c r="L45" i="2"/>
  <c r="L58" i="2"/>
  <c r="K58" i="2"/>
  <c r="K46" i="2"/>
  <c r="K45" i="2"/>
  <c r="O28" i="4"/>
  <c r="O29" i="4"/>
  <c r="N30" i="4"/>
  <c r="N7" i="4"/>
  <c r="M21" i="9"/>
  <c r="K158" i="4"/>
  <c r="L52" i="4"/>
  <c r="L49" i="4"/>
  <c r="L47" i="4"/>
  <c r="L55" i="4"/>
  <c r="L53" i="4"/>
  <c r="L63" i="4"/>
  <c r="L77" i="4"/>
  <c r="L69" i="4"/>
  <c r="L67" i="4"/>
  <c r="L64" i="4"/>
  <c r="L58" i="4"/>
  <c r="L70" i="4"/>
  <c r="L71" i="4"/>
  <c r="L46" i="4"/>
  <c r="L57" i="4"/>
  <c r="L65" i="4"/>
  <c r="L73" i="4"/>
  <c r="L68" i="4"/>
  <c r="L61" i="4"/>
  <c r="L44" i="4"/>
  <c r="L59" i="4"/>
  <c r="L54" i="4"/>
  <c r="L51" i="4"/>
  <c r="L72" i="4"/>
  <c r="L74" i="4"/>
  <c r="L43" i="4"/>
  <c r="L56" i="4"/>
  <c r="L48" i="4"/>
  <c r="L50" i="4"/>
  <c r="L66" i="4"/>
  <c r="L45" i="4"/>
  <c r="L60" i="4"/>
  <c r="L76" i="4"/>
  <c r="L75" i="4"/>
  <c r="L62" i="4"/>
  <c r="L117" i="4"/>
  <c r="L108" i="4"/>
  <c r="L107" i="4"/>
  <c r="L100" i="4"/>
  <c r="L115" i="4"/>
  <c r="L87" i="4"/>
  <c r="L88" i="4"/>
  <c r="L102" i="4"/>
  <c r="L111" i="4"/>
  <c r="L114" i="4"/>
  <c r="L116" i="4"/>
  <c r="L96" i="4"/>
  <c r="L112" i="4"/>
  <c r="L86" i="4"/>
  <c r="L84" i="4"/>
  <c r="L97" i="4"/>
  <c r="L94" i="4"/>
  <c r="L109" i="4"/>
  <c r="L99" i="4"/>
  <c r="L98" i="4"/>
  <c r="L106" i="4"/>
  <c r="L104" i="4"/>
  <c r="L105" i="4"/>
  <c r="L89" i="4"/>
  <c r="L92" i="4"/>
  <c r="L103" i="4"/>
  <c r="L101" i="4"/>
  <c r="L95" i="4"/>
  <c r="L118" i="4"/>
  <c r="L113" i="4"/>
  <c r="L85" i="4"/>
  <c r="L91" i="4"/>
  <c r="L110" i="4"/>
  <c r="L93" i="4"/>
  <c r="L90" i="4"/>
  <c r="M25" i="9"/>
  <c r="M6" i="9"/>
  <c r="M41" i="9"/>
  <c r="M43" i="9"/>
  <c r="M8" i="9"/>
  <c r="M61" i="2"/>
  <c r="O30" i="4"/>
  <c r="O7" i="4"/>
  <c r="M46" i="2"/>
  <c r="M45" i="2"/>
  <c r="M58" i="2"/>
  <c r="Q29" i="4"/>
  <c r="Q28" i="4"/>
  <c r="P29" i="4"/>
  <c r="P28" i="4"/>
  <c r="L158" i="4"/>
  <c r="M67" i="4"/>
  <c r="M52" i="4"/>
  <c r="M51" i="4"/>
  <c r="M77" i="4"/>
  <c r="M59" i="4"/>
  <c r="M55" i="4"/>
  <c r="M70" i="4"/>
  <c r="M45" i="4"/>
  <c r="M61" i="4"/>
  <c r="M76" i="4"/>
  <c r="M72" i="4"/>
  <c r="M58" i="4"/>
  <c r="M50" i="4"/>
  <c r="M75" i="4"/>
  <c r="M66" i="4"/>
  <c r="M49" i="4"/>
  <c r="M48" i="4"/>
  <c r="M69" i="4"/>
  <c r="M65" i="4"/>
  <c r="M62" i="4"/>
  <c r="M43" i="4"/>
  <c r="M57" i="4"/>
  <c r="M68" i="4"/>
  <c r="M71" i="4"/>
  <c r="M53" i="4"/>
  <c r="M54" i="4"/>
  <c r="M56" i="4"/>
  <c r="M73" i="4"/>
  <c r="M60" i="4"/>
  <c r="M63" i="4"/>
  <c r="M44" i="4"/>
  <c r="M46" i="4"/>
  <c r="M64" i="4"/>
  <c r="M74" i="4"/>
  <c r="M47" i="4"/>
  <c r="M106" i="4"/>
  <c r="M114" i="4"/>
  <c r="M97" i="4"/>
  <c r="M118" i="4"/>
  <c r="M85" i="4"/>
  <c r="M88" i="4"/>
  <c r="M98" i="4"/>
  <c r="M89" i="4"/>
  <c r="M104" i="4"/>
  <c r="M93" i="4"/>
  <c r="M95" i="4"/>
  <c r="M99" i="4"/>
  <c r="M110" i="4"/>
  <c r="M92" i="4"/>
  <c r="M113" i="4"/>
  <c r="M105" i="4"/>
  <c r="M111" i="4"/>
  <c r="M91" i="4"/>
  <c r="M90" i="4"/>
  <c r="M112" i="4"/>
  <c r="M94" i="4"/>
  <c r="M102" i="4"/>
  <c r="M115" i="4"/>
  <c r="M84" i="4"/>
  <c r="M100" i="4"/>
  <c r="M107" i="4"/>
  <c r="M87" i="4"/>
  <c r="M109" i="4"/>
  <c r="M101" i="4"/>
  <c r="M96" i="4"/>
  <c r="M108" i="4"/>
  <c r="M117" i="4"/>
  <c r="M86" i="4"/>
  <c r="M103" i="4"/>
  <c r="M116" i="4"/>
  <c r="N58" i="2"/>
  <c r="N21" i="9"/>
  <c r="N61" i="2"/>
  <c r="N46" i="2"/>
  <c r="N45" i="2"/>
  <c r="Q30" i="4"/>
  <c r="Q7" i="4"/>
  <c r="P21" i="9"/>
  <c r="P25" i="9"/>
  <c r="P6" i="9"/>
  <c r="P30" i="4"/>
  <c r="P7" i="4"/>
  <c r="O21" i="9"/>
  <c r="O25" i="9"/>
  <c r="O6" i="9"/>
  <c r="R28" i="4"/>
  <c r="R29" i="4"/>
  <c r="M158" i="4"/>
  <c r="N116" i="4"/>
  <c r="N94" i="4"/>
  <c r="N85" i="4"/>
  <c r="N97" i="4"/>
  <c r="N110" i="4"/>
  <c r="N106" i="4"/>
  <c r="N98" i="4"/>
  <c r="N96" i="4"/>
  <c r="N100" i="4"/>
  <c r="N114" i="4"/>
  <c r="N95" i="4"/>
  <c r="N89" i="4"/>
  <c r="N112" i="4"/>
  <c r="N88" i="4"/>
  <c r="N93" i="4"/>
  <c r="N113" i="4"/>
  <c r="N109" i="4"/>
  <c r="N91" i="4"/>
  <c r="N111" i="4"/>
  <c r="N105" i="4"/>
  <c r="N118" i="4"/>
  <c r="N86" i="4"/>
  <c r="N92" i="4"/>
  <c r="N104" i="4"/>
  <c r="N103" i="4"/>
  <c r="N99" i="4"/>
  <c r="N90" i="4"/>
  <c r="N115" i="4"/>
  <c r="N102" i="4"/>
  <c r="N101" i="4"/>
  <c r="N84" i="4"/>
  <c r="N117" i="4"/>
  <c r="N108" i="4"/>
  <c r="N87" i="4"/>
  <c r="N107" i="4"/>
  <c r="N76" i="4"/>
  <c r="N51" i="4"/>
  <c r="N75" i="4"/>
  <c r="N64" i="4"/>
  <c r="N65" i="4"/>
  <c r="N46" i="4"/>
  <c r="N66" i="4"/>
  <c r="N56" i="4"/>
  <c r="N43" i="4"/>
  <c r="N59" i="4"/>
  <c r="N48" i="4"/>
  <c r="N77" i="4"/>
  <c r="N60" i="4"/>
  <c r="N72" i="4"/>
  <c r="N74" i="4"/>
  <c r="N50" i="4"/>
  <c r="N70" i="4"/>
  <c r="N58" i="4"/>
  <c r="N69" i="4"/>
  <c r="N71" i="4"/>
  <c r="N67" i="4"/>
  <c r="N62" i="4"/>
  <c r="N49" i="4"/>
  <c r="N54" i="4"/>
  <c r="N53" i="4"/>
  <c r="N57" i="4"/>
  <c r="N63" i="4"/>
  <c r="N47" i="4"/>
  <c r="N61" i="4"/>
  <c r="N52" i="4"/>
  <c r="N68" i="4"/>
  <c r="N45" i="4"/>
  <c r="N73" i="4"/>
  <c r="N44" i="4"/>
  <c r="N55" i="4"/>
  <c r="O59" i="4"/>
  <c r="O72" i="4"/>
  <c r="O74" i="4"/>
  <c r="O63" i="4"/>
  <c r="O44" i="4"/>
  <c r="O61" i="4"/>
  <c r="O46" i="4"/>
  <c r="O54" i="4"/>
  <c r="O57" i="4"/>
  <c r="O69" i="4"/>
  <c r="O71" i="4"/>
  <c r="O52" i="4"/>
  <c r="O53" i="4"/>
  <c r="O67" i="4"/>
  <c r="O70" i="4"/>
  <c r="O68" i="4"/>
  <c r="O50" i="4"/>
  <c r="O76" i="4"/>
  <c r="O65" i="4"/>
  <c r="O43" i="4"/>
  <c r="O47" i="4"/>
  <c r="O51" i="4"/>
  <c r="O66" i="4"/>
  <c r="O56" i="4"/>
  <c r="O75" i="4"/>
  <c r="O55" i="4"/>
  <c r="O48" i="4"/>
  <c r="O49" i="4"/>
  <c r="O60" i="4"/>
  <c r="O77" i="4"/>
  <c r="O62" i="4"/>
  <c r="O64" i="4"/>
  <c r="O73" i="4"/>
  <c r="O58" i="4"/>
  <c r="O45" i="4"/>
  <c r="P52" i="4"/>
  <c r="P61" i="4"/>
  <c r="P77" i="4"/>
  <c r="P63" i="4"/>
  <c r="P56" i="4"/>
  <c r="P72" i="4"/>
  <c r="P74" i="4"/>
  <c r="P65" i="4"/>
  <c r="P73" i="4"/>
  <c r="P67" i="4"/>
  <c r="P59" i="4"/>
  <c r="P75" i="4"/>
  <c r="P66" i="4"/>
  <c r="P64" i="4"/>
  <c r="P55" i="4"/>
  <c r="P76" i="4"/>
  <c r="P46" i="4"/>
  <c r="P43" i="4"/>
  <c r="P48" i="4"/>
  <c r="P71" i="4"/>
  <c r="P58" i="4"/>
  <c r="P53" i="4"/>
  <c r="P45" i="4"/>
  <c r="P47" i="4"/>
  <c r="P50" i="4"/>
  <c r="P68" i="4"/>
  <c r="P60" i="4"/>
  <c r="P54" i="4"/>
  <c r="P70" i="4"/>
  <c r="P51" i="4"/>
  <c r="P62" i="4"/>
  <c r="P44" i="4"/>
  <c r="P49" i="4"/>
  <c r="P69" i="4"/>
  <c r="P57" i="4"/>
  <c r="P97" i="4"/>
  <c r="P104" i="4"/>
  <c r="P114" i="4"/>
  <c r="P112" i="4"/>
  <c r="P96" i="4"/>
  <c r="P88" i="4"/>
  <c r="P108" i="4"/>
  <c r="P87" i="4"/>
  <c r="P111" i="4"/>
  <c r="P93" i="4"/>
  <c r="P113" i="4"/>
  <c r="P109" i="4"/>
  <c r="P105" i="4"/>
  <c r="P84" i="4"/>
  <c r="P107" i="4"/>
  <c r="P117" i="4"/>
  <c r="P116" i="4"/>
  <c r="P90" i="4"/>
  <c r="P106" i="4"/>
  <c r="P118" i="4"/>
  <c r="P99" i="4"/>
  <c r="P86" i="4"/>
  <c r="P85" i="4"/>
  <c r="P92" i="4"/>
  <c r="P98" i="4"/>
  <c r="P100" i="4"/>
  <c r="P103" i="4"/>
  <c r="P110" i="4"/>
  <c r="P101" i="4"/>
  <c r="P91" i="4"/>
  <c r="P94" i="4"/>
  <c r="P95" i="4"/>
  <c r="P89" i="4"/>
  <c r="P102" i="4"/>
  <c r="P115" i="4"/>
  <c r="O95" i="4"/>
  <c r="O94" i="4"/>
  <c r="O116" i="4"/>
  <c r="O96" i="4"/>
  <c r="O107" i="4"/>
  <c r="O93" i="4"/>
  <c r="O114" i="4"/>
  <c r="O98" i="4"/>
  <c r="O100" i="4"/>
  <c r="O113" i="4"/>
  <c r="O102" i="4"/>
  <c r="O88" i="4"/>
  <c r="O110" i="4"/>
  <c r="O101" i="4"/>
  <c r="O92" i="4"/>
  <c r="O91" i="4"/>
  <c r="O103" i="4"/>
  <c r="O117" i="4"/>
  <c r="O97" i="4"/>
  <c r="O115" i="4"/>
  <c r="O99" i="4"/>
  <c r="O105" i="4"/>
  <c r="O89" i="4"/>
  <c r="O111" i="4"/>
  <c r="O106" i="4"/>
  <c r="O84" i="4"/>
  <c r="O112" i="4"/>
  <c r="O104" i="4"/>
  <c r="O108" i="4"/>
  <c r="O109" i="4"/>
  <c r="O86" i="4"/>
  <c r="O87" i="4"/>
  <c r="O85" i="4"/>
  <c r="O118" i="4"/>
  <c r="O90" i="4"/>
  <c r="N25" i="9"/>
  <c r="N6" i="9"/>
  <c r="N41" i="9"/>
  <c r="N43" i="9"/>
  <c r="N8" i="9"/>
  <c r="O41" i="9"/>
  <c r="O43" i="9"/>
  <c r="O8" i="9"/>
  <c r="P41" i="9"/>
  <c r="P43" i="9"/>
  <c r="P8" i="9"/>
  <c r="P58" i="2"/>
  <c r="O61" i="2"/>
  <c r="G116" i="2"/>
  <c r="P46" i="2"/>
  <c r="P45" i="2"/>
  <c r="O46" i="2"/>
  <c r="O45" i="2"/>
  <c r="O58" i="2"/>
  <c r="G113" i="2"/>
  <c r="R30" i="4"/>
  <c r="R7" i="4"/>
  <c r="Q21" i="9"/>
  <c r="Q25" i="9"/>
  <c r="Q6" i="9"/>
  <c r="S29" i="4"/>
  <c r="S28" i="4"/>
  <c r="N158" i="4"/>
  <c r="Q41" i="9"/>
  <c r="Q43" i="9"/>
  <c r="Q8" i="9"/>
  <c r="P61" i="2"/>
  <c r="Q61" i="2"/>
  <c r="Q46" i="2"/>
  <c r="Q45" i="2"/>
  <c r="Q58" i="2"/>
  <c r="S30" i="4"/>
  <c r="S7" i="4"/>
  <c r="R21" i="9"/>
  <c r="T28" i="4"/>
  <c r="T29" i="4"/>
  <c r="O158" i="4"/>
  <c r="Q110" i="4"/>
  <c r="Q91" i="4"/>
  <c r="Q88" i="4"/>
  <c r="Q95" i="4"/>
  <c r="Q107" i="4"/>
  <c r="Q114" i="4"/>
  <c r="Q87" i="4"/>
  <c r="Q104" i="4"/>
  <c r="Q103" i="4"/>
  <c r="Q106" i="4"/>
  <c r="Q100" i="4"/>
  <c r="Q96" i="4"/>
  <c r="Q98" i="4"/>
  <c r="Q112" i="4"/>
  <c r="Q99" i="4"/>
  <c r="Q111" i="4"/>
  <c r="Q93" i="4"/>
  <c r="Q101" i="4"/>
  <c r="Q118" i="4"/>
  <c r="Q113" i="4"/>
  <c r="Q90" i="4"/>
  <c r="Q86" i="4"/>
  <c r="Q102" i="4"/>
  <c r="Q105" i="4"/>
  <c r="Q115" i="4"/>
  <c r="Q85" i="4"/>
  <c r="Q117" i="4"/>
  <c r="Q84" i="4"/>
  <c r="Q108" i="4"/>
  <c r="Q89" i="4"/>
  <c r="Q116" i="4"/>
  <c r="Q92" i="4"/>
  <c r="Q97" i="4"/>
  <c r="Q94" i="4"/>
  <c r="Q109" i="4"/>
  <c r="Q64" i="4"/>
  <c r="Q58" i="4"/>
  <c r="Q48" i="4"/>
  <c r="Q44" i="4"/>
  <c r="Q76" i="4"/>
  <c r="Q55" i="4"/>
  <c r="Q46" i="4"/>
  <c r="Q47" i="4"/>
  <c r="Q73" i="4"/>
  <c r="Q75" i="4"/>
  <c r="Q72" i="4"/>
  <c r="Q56" i="4"/>
  <c r="Q45" i="4"/>
  <c r="Q70" i="4"/>
  <c r="Q71" i="4"/>
  <c r="Q69" i="4"/>
  <c r="Q68" i="4"/>
  <c r="Q65" i="4"/>
  <c r="Q53" i="4"/>
  <c r="Q57" i="4"/>
  <c r="Q74" i="4"/>
  <c r="Q51" i="4"/>
  <c r="Q59" i="4"/>
  <c r="Q43" i="4"/>
  <c r="Q63" i="4"/>
  <c r="Q50" i="4"/>
  <c r="Q52" i="4"/>
  <c r="Q54" i="4"/>
  <c r="Q62" i="4"/>
  <c r="Q67" i="4"/>
  <c r="Q61" i="4"/>
  <c r="Q77" i="4"/>
  <c r="Q66" i="4"/>
  <c r="Q60" i="4"/>
  <c r="Q49" i="4"/>
  <c r="R25" i="9"/>
  <c r="R6" i="9"/>
  <c r="R41" i="9"/>
  <c r="R43" i="9"/>
  <c r="R8" i="9"/>
  <c r="R61" i="2"/>
  <c r="R58" i="2"/>
  <c r="R46" i="2"/>
  <c r="R45" i="2"/>
  <c r="U29" i="4"/>
  <c r="U28" i="4"/>
  <c r="T30" i="4"/>
  <c r="T7" i="4"/>
  <c r="S21" i="9"/>
  <c r="P158" i="4"/>
  <c r="R61" i="4"/>
  <c r="R55" i="4"/>
  <c r="R63" i="4"/>
  <c r="R43" i="4"/>
  <c r="R62" i="4"/>
  <c r="R52" i="4"/>
  <c r="R46" i="4"/>
  <c r="R68" i="4"/>
  <c r="R57" i="4"/>
  <c r="R73" i="4"/>
  <c r="R60" i="4"/>
  <c r="R54" i="4"/>
  <c r="R51" i="4"/>
  <c r="R77" i="4"/>
  <c r="R44" i="4"/>
  <c r="R65" i="4"/>
  <c r="R72" i="4"/>
  <c r="R48" i="4"/>
  <c r="R70" i="4"/>
  <c r="R56" i="4"/>
  <c r="R49" i="4"/>
  <c r="R53" i="4"/>
  <c r="R47" i="4"/>
  <c r="R50" i="4"/>
  <c r="R45" i="4"/>
  <c r="R58" i="4"/>
  <c r="R59" i="4"/>
  <c r="R76" i="4"/>
  <c r="R69" i="4"/>
  <c r="R67" i="4"/>
  <c r="R75" i="4"/>
  <c r="R71" i="4"/>
  <c r="R64" i="4"/>
  <c r="R66" i="4"/>
  <c r="R74" i="4"/>
  <c r="R112" i="4"/>
  <c r="R87" i="4"/>
  <c r="R104" i="4"/>
  <c r="R84" i="4"/>
  <c r="R102" i="4"/>
  <c r="R117" i="4"/>
  <c r="R92" i="4"/>
  <c r="R118" i="4"/>
  <c r="R116" i="4"/>
  <c r="R106" i="4"/>
  <c r="R93" i="4"/>
  <c r="R110" i="4"/>
  <c r="R86" i="4"/>
  <c r="R85" i="4"/>
  <c r="R111" i="4"/>
  <c r="R97" i="4"/>
  <c r="R113" i="4"/>
  <c r="R88" i="4"/>
  <c r="R114" i="4"/>
  <c r="R101" i="4"/>
  <c r="R100" i="4"/>
  <c r="R115" i="4"/>
  <c r="R91" i="4"/>
  <c r="R109" i="4"/>
  <c r="R105" i="4"/>
  <c r="R95" i="4"/>
  <c r="R107" i="4"/>
  <c r="R96" i="4"/>
  <c r="R90" i="4"/>
  <c r="R89" i="4"/>
  <c r="R108" i="4"/>
  <c r="R98" i="4"/>
  <c r="R99" i="4"/>
  <c r="R103" i="4"/>
  <c r="R94" i="4"/>
  <c r="S25" i="9"/>
  <c r="S6" i="9"/>
  <c r="S41" i="9"/>
  <c r="S43" i="9"/>
  <c r="S8" i="9"/>
  <c r="S61" i="2"/>
  <c r="U30" i="4"/>
  <c r="U7" i="4"/>
  <c r="T21" i="9"/>
  <c r="S58" i="2"/>
  <c r="S46" i="2"/>
  <c r="S45" i="2"/>
  <c r="V29" i="4"/>
  <c r="V28" i="4"/>
  <c r="Q158" i="4"/>
  <c r="S89" i="4"/>
  <c r="S99" i="4"/>
  <c r="S90" i="4"/>
  <c r="S113" i="4"/>
  <c r="S96" i="4"/>
  <c r="S102" i="4"/>
  <c r="S97" i="4"/>
  <c r="S111" i="4"/>
  <c r="S114" i="4"/>
  <c r="S84" i="4"/>
  <c r="S85" i="4"/>
  <c r="S98" i="4"/>
  <c r="S88" i="4"/>
  <c r="S95" i="4"/>
  <c r="S103" i="4"/>
  <c r="S92" i="4"/>
  <c r="S104" i="4"/>
  <c r="S115" i="4"/>
  <c r="S105" i="4"/>
  <c r="S117" i="4"/>
  <c r="S108" i="4"/>
  <c r="S112" i="4"/>
  <c r="S93" i="4"/>
  <c r="S107" i="4"/>
  <c r="S101" i="4"/>
  <c r="S94" i="4"/>
  <c r="S110" i="4"/>
  <c r="S91" i="4"/>
  <c r="S109" i="4"/>
  <c r="S116" i="4"/>
  <c r="S86" i="4"/>
  <c r="S118" i="4"/>
  <c r="S87" i="4"/>
  <c r="S100" i="4"/>
  <c r="S106" i="4"/>
  <c r="S49" i="4"/>
  <c r="S46" i="4"/>
  <c r="S66" i="4"/>
  <c r="S71" i="4"/>
  <c r="S59" i="4"/>
  <c r="S56" i="4"/>
  <c r="S64" i="4"/>
  <c r="S70" i="4"/>
  <c r="S51" i="4"/>
  <c r="S74" i="4"/>
  <c r="S43" i="4"/>
  <c r="S76" i="4"/>
  <c r="S77" i="4"/>
  <c r="S63" i="4"/>
  <c r="S73" i="4"/>
  <c r="S45" i="4"/>
  <c r="S47" i="4"/>
  <c r="S58" i="4"/>
  <c r="S65" i="4"/>
  <c r="S60" i="4"/>
  <c r="S62" i="4"/>
  <c r="S67" i="4"/>
  <c r="S69" i="4"/>
  <c r="S61" i="4"/>
  <c r="S75" i="4"/>
  <c r="S48" i="4"/>
  <c r="S57" i="4"/>
  <c r="S44" i="4"/>
  <c r="S55" i="4"/>
  <c r="S52" i="4"/>
  <c r="S72" i="4"/>
  <c r="S50" i="4"/>
  <c r="S54" i="4"/>
  <c r="S68" i="4"/>
  <c r="S53" i="4"/>
  <c r="T25" i="9"/>
  <c r="T6" i="9"/>
  <c r="T41" i="9"/>
  <c r="T43" i="9"/>
  <c r="T8" i="9"/>
  <c r="T58" i="2"/>
  <c r="H113" i="2"/>
  <c r="T61" i="2"/>
  <c r="H116" i="2"/>
  <c r="T46" i="2"/>
  <c r="T45" i="2"/>
  <c r="V30" i="4"/>
  <c r="V7" i="4"/>
  <c r="U21" i="9"/>
  <c r="W28" i="4"/>
  <c r="W29" i="4"/>
  <c r="R158" i="4"/>
  <c r="T86" i="4"/>
  <c r="T101" i="4"/>
  <c r="T95" i="4"/>
  <c r="T116" i="4"/>
  <c r="T99" i="4"/>
  <c r="T106" i="4"/>
  <c r="T98" i="4"/>
  <c r="T108" i="4"/>
  <c r="T88" i="4"/>
  <c r="T110" i="4"/>
  <c r="T117" i="4"/>
  <c r="T103" i="4"/>
  <c r="T84" i="4"/>
  <c r="T107" i="4"/>
  <c r="T118" i="4"/>
  <c r="T104" i="4"/>
  <c r="T102" i="4"/>
  <c r="T85" i="4"/>
  <c r="T92" i="4"/>
  <c r="T94" i="4"/>
  <c r="T87" i="4"/>
  <c r="T111" i="4"/>
  <c r="T89" i="4"/>
  <c r="T97" i="4"/>
  <c r="T93" i="4"/>
  <c r="T112" i="4"/>
  <c r="T109" i="4"/>
  <c r="T96" i="4"/>
  <c r="T100" i="4"/>
  <c r="T90" i="4"/>
  <c r="T114" i="4"/>
  <c r="T113" i="4"/>
  <c r="T115" i="4"/>
  <c r="T91" i="4"/>
  <c r="T105" i="4"/>
  <c r="T59" i="4"/>
  <c r="T73" i="4"/>
  <c r="T76" i="4"/>
  <c r="T77" i="4"/>
  <c r="T70" i="4"/>
  <c r="T51" i="4"/>
  <c r="T57" i="4"/>
  <c r="T58" i="4"/>
  <c r="T44" i="4"/>
  <c r="T71" i="4"/>
  <c r="T66" i="4"/>
  <c r="T75" i="4"/>
  <c r="T65" i="4"/>
  <c r="T45" i="4"/>
  <c r="T43" i="4"/>
  <c r="T54" i="4"/>
  <c r="T69" i="4"/>
  <c r="T52" i="4"/>
  <c r="T48" i="4"/>
  <c r="T50" i="4"/>
  <c r="T68" i="4"/>
  <c r="T56" i="4"/>
  <c r="T46" i="4"/>
  <c r="T63" i="4"/>
  <c r="T47" i="4"/>
  <c r="T62" i="4"/>
  <c r="T61" i="4"/>
  <c r="T67" i="4"/>
  <c r="T60" i="4"/>
  <c r="T64" i="4"/>
  <c r="T53" i="4"/>
  <c r="T49" i="4"/>
  <c r="T55" i="4"/>
  <c r="T72" i="4"/>
  <c r="T74" i="4"/>
  <c r="U25" i="9"/>
  <c r="U6" i="9"/>
  <c r="U41" i="9"/>
  <c r="U43" i="9"/>
  <c r="U8" i="9"/>
  <c r="U58" i="2"/>
  <c r="U61" i="2"/>
  <c r="U46" i="2"/>
  <c r="U45" i="2"/>
  <c r="W30" i="4"/>
  <c r="W7" i="4"/>
  <c r="V21" i="9"/>
  <c r="X28" i="4"/>
  <c r="X29" i="4"/>
  <c r="S158" i="4"/>
  <c r="U49" i="4"/>
  <c r="U72" i="4"/>
  <c r="U75" i="4"/>
  <c r="U58" i="4"/>
  <c r="U53" i="4"/>
  <c r="U77" i="4"/>
  <c r="U44" i="4"/>
  <c r="U54" i="4"/>
  <c r="U64" i="4"/>
  <c r="U57" i="4"/>
  <c r="U71" i="4"/>
  <c r="U73" i="4"/>
  <c r="U62" i="4"/>
  <c r="U63" i="4"/>
  <c r="U69" i="4"/>
  <c r="U60" i="4"/>
  <c r="U46" i="4"/>
  <c r="U48" i="4"/>
  <c r="U52" i="4"/>
  <c r="U68" i="4"/>
  <c r="U74" i="4"/>
  <c r="U56" i="4"/>
  <c r="U59" i="4"/>
  <c r="U55" i="4"/>
  <c r="U67" i="4"/>
  <c r="U50" i="4"/>
  <c r="U43" i="4"/>
  <c r="U51" i="4"/>
  <c r="U76" i="4"/>
  <c r="U65" i="4"/>
  <c r="U45" i="4"/>
  <c r="U70" i="4"/>
  <c r="U66" i="4"/>
  <c r="U61" i="4"/>
  <c r="U47" i="4"/>
  <c r="U105" i="4"/>
  <c r="U100" i="4"/>
  <c r="U118" i="4"/>
  <c r="U117" i="4"/>
  <c r="U87" i="4"/>
  <c r="U108" i="4"/>
  <c r="U88" i="4"/>
  <c r="U86" i="4"/>
  <c r="U115" i="4"/>
  <c r="U89" i="4"/>
  <c r="U113" i="4"/>
  <c r="U101" i="4"/>
  <c r="U114" i="4"/>
  <c r="U92" i="4"/>
  <c r="U94" i="4"/>
  <c r="U98" i="4"/>
  <c r="U102" i="4"/>
  <c r="U109" i="4"/>
  <c r="U104" i="4"/>
  <c r="U95" i="4"/>
  <c r="U107" i="4"/>
  <c r="U96" i="4"/>
  <c r="U106" i="4"/>
  <c r="U116" i="4"/>
  <c r="U97" i="4"/>
  <c r="U84" i="4"/>
  <c r="U85" i="4"/>
  <c r="U111" i="4"/>
  <c r="U110" i="4"/>
  <c r="U112" i="4"/>
  <c r="U103" i="4"/>
  <c r="U93" i="4"/>
  <c r="U99" i="4"/>
  <c r="U91" i="4"/>
  <c r="U90" i="4"/>
  <c r="V25" i="9"/>
  <c r="V6" i="9"/>
  <c r="V41" i="9"/>
  <c r="V43" i="9"/>
  <c r="V8" i="9"/>
  <c r="V61" i="2"/>
  <c r="V46" i="2"/>
  <c r="V45" i="2"/>
  <c r="V58" i="2"/>
  <c r="X30" i="4"/>
  <c r="X7" i="4"/>
  <c r="W21" i="9"/>
  <c r="Y29" i="4"/>
  <c r="Y28" i="4"/>
  <c r="T158" i="4"/>
  <c r="V58" i="4"/>
  <c r="V56" i="4"/>
  <c r="V68" i="4"/>
  <c r="V62" i="4"/>
  <c r="V59" i="4"/>
  <c r="V45" i="4"/>
  <c r="V44" i="4"/>
  <c r="V48" i="4"/>
  <c r="V72" i="4"/>
  <c r="V74" i="4"/>
  <c r="V43" i="4"/>
  <c r="V51" i="4"/>
  <c r="V77" i="4"/>
  <c r="V65" i="4"/>
  <c r="V67" i="4"/>
  <c r="V61" i="4"/>
  <c r="V57" i="4"/>
  <c r="V66" i="4"/>
  <c r="V60" i="4"/>
  <c r="V63" i="4"/>
  <c r="V75" i="4"/>
  <c r="V70" i="4"/>
  <c r="V47" i="4"/>
  <c r="V46" i="4"/>
  <c r="V49" i="4"/>
  <c r="V73" i="4"/>
  <c r="V71" i="4"/>
  <c r="V50" i="4"/>
  <c r="V52" i="4"/>
  <c r="V55" i="4"/>
  <c r="V54" i="4"/>
  <c r="V69" i="4"/>
  <c r="V53" i="4"/>
  <c r="V76" i="4"/>
  <c r="V64" i="4"/>
  <c r="V92" i="4"/>
  <c r="V95" i="4"/>
  <c r="V109" i="4"/>
  <c r="V104" i="4"/>
  <c r="V115" i="4"/>
  <c r="V103" i="4"/>
  <c r="V116" i="4"/>
  <c r="V101" i="4"/>
  <c r="V88" i="4"/>
  <c r="V84" i="4"/>
  <c r="V114" i="4"/>
  <c r="V100" i="4"/>
  <c r="V97" i="4"/>
  <c r="V117" i="4"/>
  <c r="V91" i="4"/>
  <c r="V112" i="4"/>
  <c r="V113" i="4"/>
  <c r="V93" i="4"/>
  <c r="V86" i="4"/>
  <c r="V118" i="4"/>
  <c r="V105" i="4"/>
  <c r="V89" i="4"/>
  <c r="V90" i="4"/>
  <c r="V102" i="4"/>
  <c r="V106" i="4"/>
  <c r="V87" i="4"/>
  <c r="V107" i="4"/>
  <c r="V85" i="4"/>
  <c r="V108" i="4"/>
  <c r="V99" i="4"/>
  <c r="V110" i="4"/>
  <c r="V96" i="4"/>
  <c r="V111" i="4"/>
  <c r="V94" i="4"/>
  <c r="V98" i="4"/>
  <c r="W25" i="9"/>
  <c r="W6" i="9"/>
  <c r="W41" i="9"/>
  <c r="W43" i="9"/>
  <c r="W8" i="9"/>
  <c r="W61" i="2"/>
  <c r="W58" i="2"/>
  <c r="W46" i="2"/>
  <c r="W45" i="2"/>
  <c r="Y30" i="4"/>
  <c r="Y7" i="4"/>
  <c r="X21" i="9"/>
  <c r="Z28" i="4"/>
  <c r="Z29" i="4"/>
  <c r="U158" i="4"/>
  <c r="W106" i="4"/>
  <c r="W93" i="4"/>
  <c r="W85" i="4"/>
  <c r="W118" i="4"/>
  <c r="W108" i="4"/>
  <c r="W96" i="4"/>
  <c r="W87" i="4"/>
  <c r="W116" i="4"/>
  <c r="W99" i="4"/>
  <c r="W110" i="4"/>
  <c r="W84" i="4"/>
  <c r="W111" i="4"/>
  <c r="W98" i="4"/>
  <c r="W97" i="4"/>
  <c r="W100" i="4"/>
  <c r="W103" i="4"/>
  <c r="W95" i="4"/>
  <c r="W113" i="4"/>
  <c r="W91" i="4"/>
  <c r="W88" i="4"/>
  <c r="W105" i="4"/>
  <c r="W107" i="4"/>
  <c r="W114" i="4"/>
  <c r="W86" i="4"/>
  <c r="W112" i="4"/>
  <c r="W92" i="4"/>
  <c r="W104" i="4"/>
  <c r="W102" i="4"/>
  <c r="W101" i="4"/>
  <c r="W109" i="4"/>
  <c r="W89" i="4"/>
  <c r="W115" i="4"/>
  <c r="W94" i="4"/>
  <c r="W90" i="4"/>
  <c r="W117" i="4"/>
  <c r="W64" i="4"/>
  <c r="W69" i="4"/>
  <c r="W72" i="4"/>
  <c r="W45" i="4"/>
  <c r="W74" i="4"/>
  <c r="W77" i="4"/>
  <c r="W48" i="4"/>
  <c r="W51" i="4"/>
  <c r="W55" i="4"/>
  <c r="W68" i="4"/>
  <c r="W54" i="4"/>
  <c r="W73" i="4"/>
  <c r="W65" i="4"/>
  <c r="W47" i="4"/>
  <c r="W61" i="4"/>
  <c r="W62" i="4"/>
  <c r="W60" i="4"/>
  <c r="W67" i="4"/>
  <c r="W76" i="4"/>
  <c r="W66" i="4"/>
  <c r="W63" i="4"/>
  <c r="W58" i="4"/>
  <c r="W52" i="4"/>
  <c r="W70" i="4"/>
  <c r="W71" i="4"/>
  <c r="W75" i="4"/>
  <c r="W57" i="4"/>
  <c r="W43" i="4"/>
  <c r="W49" i="4"/>
  <c r="W46" i="4"/>
  <c r="W53" i="4"/>
  <c r="W56" i="4"/>
  <c r="W50" i="4"/>
  <c r="W59" i="4"/>
  <c r="W44" i="4"/>
  <c r="X25" i="9"/>
  <c r="X6" i="9"/>
  <c r="X41" i="9"/>
  <c r="X43" i="9"/>
  <c r="X8" i="9"/>
  <c r="X61" i="2"/>
  <c r="X46" i="2"/>
  <c r="X45" i="2"/>
  <c r="X58" i="2"/>
  <c r="AA28" i="4"/>
  <c r="AA29" i="4"/>
  <c r="Z30" i="4"/>
  <c r="Z7" i="4"/>
  <c r="Y21" i="9"/>
  <c r="V158" i="4"/>
  <c r="X64" i="4"/>
  <c r="X55" i="4"/>
  <c r="X53" i="4"/>
  <c r="X66" i="4"/>
  <c r="X45" i="4"/>
  <c r="X61" i="4"/>
  <c r="X68" i="4"/>
  <c r="X72" i="4"/>
  <c r="X48" i="4"/>
  <c r="X52" i="4"/>
  <c r="X47" i="4"/>
  <c r="X44" i="4"/>
  <c r="X59" i="4"/>
  <c r="X51" i="4"/>
  <c r="X43" i="4"/>
  <c r="X71" i="4"/>
  <c r="X57" i="4"/>
  <c r="X49" i="4"/>
  <c r="X46" i="4"/>
  <c r="X73" i="4"/>
  <c r="X67" i="4"/>
  <c r="X60" i="4"/>
  <c r="X50" i="4"/>
  <c r="X75" i="4"/>
  <c r="X76" i="4"/>
  <c r="X54" i="4"/>
  <c r="X58" i="4"/>
  <c r="X63" i="4"/>
  <c r="X69" i="4"/>
  <c r="X62" i="4"/>
  <c r="X65" i="4"/>
  <c r="X77" i="4"/>
  <c r="X56" i="4"/>
  <c r="X74" i="4"/>
  <c r="X70" i="4"/>
  <c r="X87" i="4"/>
  <c r="X84" i="4"/>
  <c r="X95" i="4"/>
  <c r="X105" i="4"/>
  <c r="X110" i="4"/>
  <c r="X89" i="4"/>
  <c r="X91" i="4"/>
  <c r="X104" i="4"/>
  <c r="X101" i="4"/>
  <c r="X92" i="4"/>
  <c r="X115" i="4"/>
  <c r="X113" i="4"/>
  <c r="X93" i="4"/>
  <c r="X117" i="4"/>
  <c r="X94" i="4"/>
  <c r="X108" i="4"/>
  <c r="X85" i="4"/>
  <c r="X106" i="4"/>
  <c r="X109" i="4"/>
  <c r="X98" i="4"/>
  <c r="X118" i="4"/>
  <c r="X96" i="4"/>
  <c r="X111" i="4"/>
  <c r="X90" i="4"/>
  <c r="X97" i="4"/>
  <c r="X107" i="4"/>
  <c r="X102" i="4"/>
  <c r="X103" i="4"/>
  <c r="X88" i="4"/>
  <c r="X114" i="4"/>
  <c r="X116" i="4"/>
  <c r="X99" i="4"/>
  <c r="X86" i="4"/>
  <c r="X100" i="4"/>
  <c r="X112" i="4"/>
  <c r="Y55" i="4"/>
  <c r="Y65" i="4"/>
  <c r="Y61" i="4"/>
  <c r="Y60" i="4"/>
  <c r="Y73" i="4"/>
  <c r="Y57" i="4"/>
  <c r="Y52" i="4"/>
  <c r="Y59" i="4"/>
  <c r="Y43" i="4"/>
  <c r="Y69" i="4"/>
  <c r="Y67" i="4"/>
  <c r="Y74" i="4"/>
  <c r="Y44" i="4"/>
  <c r="Y66" i="4"/>
  <c r="Y46" i="4"/>
  <c r="Y58" i="4"/>
  <c r="Y71" i="4"/>
  <c r="Y63" i="4"/>
  <c r="Y77" i="4"/>
  <c r="Y45" i="4"/>
  <c r="Y54" i="4"/>
  <c r="Y70" i="4"/>
  <c r="Y53" i="4"/>
  <c r="Y56" i="4"/>
  <c r="Y76" i="4"/>
  <c r="Y75" i="4"/>
  <c r="Y49" i="4"/>
  <c r="Y62" i="4"/>
  <c r="Y64" i="4"/>
  <c r="Y68" i="4"/>
  <c r="Y47" i="4"/>
  <c r="Y72" i="4"/>
  <c r="Y51" i="4"/>
  <c r="Y48" i="4"/>
  <c r="Y50" i="4"/>
  <c r="Y89" i="4"/>
  <c r="Y107" i="4"/>
  <c r="Y90" i="4"/>
  <c r="Y111" i="4"/>
  <c r="Y97" i="4"/>
  <c r="Y95" i="4"/>
  <c r="Y88" i="4"/>
  <c r="Y96" i="4"/>
  <c r="Y101" i="4"/>
  <c r="Y91" i="4"/>
  <c r="Y93" i="4"/>
  <c r="Y118" i="4"/>
  <c r="Y115" i="4"/>
  <c r="Y113" i="4"/>
  <c r="Y92" i="4"/>
  <c r="Y98" i="4"/>
  <c r="Y105" i="4"/>
  <c r="Y106" i="4"/>
  <c r="Y84" i="4"/>
  <c r="Y85" i="4"/>
  <c r="Y112" i="4"/>
  <c r="Y86" i="4"/>
  <c r="Y114" i="4"/>
  <c r="Y109" i="4"/>
  <c r="Y87" i="4"/>
  <c r="Y99" i="4"/>
  <c r="Y100" i="4"/>
  <c r="Y103" i="4"/>
  <c r="Y102" i="4"/>
  <c r="Y116" i="4"/>
  <c r="Y110" i="4"/>
  <c r="Y117" i="4"/>
  <c r="Y108" i="4"/>
  <c r="Y104" i="4"/>
  <c r="Y94" i="4"/>
  <c r="Y25" i="9"/>
  <c r="Y6" i="9"/>
  <c r="Y41" i="9"/>
  <c r="Y43" i="9"/>
  <c r="Y8" i="9"/>
  <c r="Y61" i="2"/>
  <c r="I116" i="2"/>
  <c r="AA30" i="4"/>
  <c r="AA7" i="4"/>
  <c r="Y46" i="2"/>
  <c r="Y45" i="2"/>
  <c r="Y58" i="2"/>
  <c r="AB28" i="4"/>
  <c r="AB29" i="4"/>
  <c r="W158" i="4"/>
  <c r="Z46" i="2"/>
  <c r="Z45" i="2"/>
  <c r="Z21" i="9"/>
  <c r="Z61" i="2"/>
  <c r="Z58" i="2"/>
  <c r="AC28" i="4"/>
  <c r="AC29" i="4"/>
  <c r="AB30" i="4"/>
  <c r="AB7" i="4"/>
  <c r="AA21" i="9"/>
  <c r="X158" i="4"/>
  <c r="Z92" i="4"/>
  <c r="Z95" i="4"/>
  <c r="Z109" i="4"/>
  <c r="Z89" i="4"/>
  <c r="Z115" i="4"/>
  <c r="Z117" i="4"/>
  <c r="Z104" i="4"/>
  <c r="Z110" i="4"/>
  <c r="Z118" i="4"/>
  <c r="Z101" i="4"/>
  <c r="Z94" i="4"/>
  <c r="Z116" i="4"/>
  <c r="Z111" i="4"/>
  <c r="Z88" i="4"/>
  <c r="Z105" i="4"/>
  <c r="Z85" i="4"/>
  <c r="Z98" i="4"/>
  <c r="Z99" i="4"/>
  <c r="Z100" i="4"/>
  <c r="Z97" i="4"/>
  <c r="Z112" i="4"/>
  <c r="Z113" i="4"/>
  <c r="Z106" i="4"/>
  <c r="Z91" i="4"/>
  <c r="Z86" i="4"/>
  <c r="Z93" i="4"/>
  <c r="Z84" i="4"/>
  <c r="Z103" i="4"/>
  <c r="Z87" i="4"/>
  <c r="Z102" i="4"/>
  <c r="Z90" i="4"/>
  <c r="Z96" i="4"/>
  <c r="Z108" i="4"/>
  <c r="Z107" i="4"/>
  <c r="Z114" i="4"/>
  <c r="Z51" i="4"/>
  <c r="Z53" i="4"/>
  <c r="Z70" i="4"/>
  <c r="Z72" i="4"/>
  <c r="Z58" i="4"/>
  <c r="Z54" i="4"/>
  <c r="Z46" i="4"/>
  <c r="Z57" i="4"/>
  <c r="Z66" i="4"/>
  <c r="Z48" i="4"/>
  <c r="Z49" i="4"/>
  <c r="Z44" i="4"/>
  <c r="Z56" i="4"/>
  <c r="Z59" i="4"/>
  <c r="Z71" i="4"/>
  <c r="Z50" i="4"/>
  <c r="Z64" i="4"/>
  <c r="Z73" i="4"/>
  <c r="Z75" i="4"/>
  <c r="Z77" i="4"/>
  <c r="Z65" i="4"/>
  <c r="Z63" i="4"/>
  <c r="Z69" i="4"/>
  <c r="Z68" i="4"/>
  <c r="Z45" i="4"/>
  <c r="Z52" i="4"/>
  <c r="Z62" i="4"/>
  <c r="Z47" i="4"/>
  <c r="Z43" i="4"/>
  <c r="Z76" i="4"/>
  <c r="Z74" i="4"/>
  <c r="Z67" i="4"/>
  <c r="Z61" i="4"/>
  <c r="Z55" i="4"/>
  <c r="Z60" i="4"/>
  <c r="AA25" i="9"/>
  <c r="AA6" i="9"/>
  <c r="AA41" i="9"/>
  <c r="AA43" i="9"/>
  <c r="AA8" i="9"/>
  <c r="Z25" i="9"/>
  <c r="Z6" i="9"/>
  <c r="Z41" i="9"/>
  <c r="Z43" i="9"/>
  <c r="Z8" i="9"/>
  <c r="AA61" i="2"/>
  <c r="AA58" i="2"/>
  <c r="AA46" i="2"/>
  <c r="AA45" i="2"/>
  <c r="AD28" i="4"/>
  <c r="AD29" i="4"/>
  <c r="AC30" i="4"/>
  <c r="AC7" i="4"/>
  <c r="AB21" i="9"/>
  <c r="Y158" i="4"/>
  <c r="AA52" i="4"/>
  <c r="AA50" i="4"/>
  <c r="AA68" i="4"/>
  <c r="AA49" i="4"/>
  <c r="AA74" i="4"/>
  <c r="AA53" i="4"/>
  <c r="AA43" i="4"/>
  <c r="AA75" i="4"/>
  <c r="AA71" i="4"/>
  <c r="AA47" i="4"/>
  <c r="AA69" i="4"/>
  <c r="AA56" i="4"/>
  <c r="AA77" i="4"/>
  <c r="AA65" i="4"/>
  <c r="AA64" i="4"/>
  <c r="AA51" i="4"/>
  <c r="AA44" i="4"/>
  <c r="AA55" i="4"/>
  <c r="AA63" i="4"/>
  <c r="AA67" i="4"/>
  <c r="AA54" i="4"/>
  <c r="AA59" i="4"/>
  <c r="AA72" i="4"/>
  <c r="AA45" i="4"/>
  <c r="AA58" i="4"/>
  <c r="AA76" i="4"/>
  <c r="AA62" i="4"/>
  <c r="AA46" i="4"/>
  <c r="AA73" i="4"/>
  <c r="AA70" i="4"/>
  <c r="AA57" i="4"/>
  <c r="AA60" i="4"/>
  <c r="AA66" i="4"/>
  <c r="AA61" i="4"/>
  <c r="AA48" i="4"/>
  <c r="AA91" i="4"/>
  <c r="AA89" i="4"/>
  <c r="AA112" i="4"/>
  <c r="AA114" i="4"/>
  <c r="AA94" i="4"/>
  <c r="AA107" i="4"/>
  <c r="AA102" i="4"/>
  <c r="AA117" i="4"/>
  <c r="AA103" i="4"/>
  <c r="AA90" i="4"/>
  <c r="AA101" i="4"/>
  <c r="AA87" i="4"/>
  <c r="AA111" i="4"/>
  <c r="AA104" i="4"/>
  <c r="AA115" i="4"/>
  <c r="AA105" i="4"/>
  <c r="AA96" i="4"/>
  <c r="AA106" i="4"/>
  <c r="AA109" i="4"/>
  <c r="AA100" i="4"/>
  <c r="AA113" i="4"/>
  <c r="AA99" i="4"/>
  <c r="AA93" i="4"/>
  <c r="AA97" i="4"/>
  <c r="AA95" i="4"/>
  <c r="AA92" i="4"/>
  <c r="AA84" i="4"/>
  <c r="AA108" i="4"/>
  <c r="AA86" i="4"/>
  <c r="AA116" i="4"/>
  <c r="AA118" i="4"/>
  <c r="AA85" i="4"/>
  <c r="AA98" i="4"/>
  <c r="AA88" i="4"/>
  <c r="AA110" i="4"/>
  <c r="AB25" i="9"/>
  <c r="AB6" i="9"/>
  <c r="AB41" i="9"/>
  <c r="AB43" i="9"/>
  <c r="AB8" i="9"/>
  <c r="AB61" i="2"/>
  <c r="AB46" i="2"/>
  <c r="AB45" i="2"/>
  <c r="AB58" i="2"/>
  <c r="AE28" i="4"/>
  <c r="AE29" i="4"/>
  <c r="AD30" i="4"/>
  <c r="AD7" i="4"/>
  <c r="AC21" i="9"/>
  <c r="Z158" i="4"/>
  <c r="AB99" i="4"/>
  <c r="AB103" i="4"/>
  <c r="AB96" i="4"/>
  <c r="AB95" i="4"/>
  <c r="AB106" i="4"/>
  <c r="AB114" i="4"/>
  <c r="AB92" i="4"/>
  <c r="AB107" i="4"/>
  <c r="AB112" i="4"/>
  <c r="AB90" i="4"/>
  <c r="AB111" i="4"/>
  <c r="AB115" i="4"/>
  <c r="AB91" i="4"/>
  <c r="AB102" i="4"/>
  <c r="AB113" i="4"/>
  <c r="AB86" i="4"/>
  <c r="AB97" i="4"/>
  <c r="AB93" i="4"/>
  <c r="AB85" i="4"/>
  <c r="AB87" i="4"/>
  <c r="AB101" i="4"/>
  <c r="AB98" i="4"/>
  <c r="AB89" i="4"/>
  <c r="AB105" i="4"/>
  <c r="AB100" i="4"/>
  <c r="AB104" i="4"/>
  <c r="AB110" i="4"/>
  <c r="AB84" i="4"/>
  <c r="AB117" i="4"/>
  <c r="AB109" i="4"/>
  <c r="AB116" i="4"/>
  <c r="AB108" i="4"/>
  <c r="AB88" i="4"/>
  <c r="AB118" i="4"/>
  <c r="AB94" i="4"/>
  <c r="AB69" i="4"/>
  <c r="AB63" i="4"/>
  <c r="AB76" i="4"/>
  <c r="AB71" i="4"/>
  <c r="AB64" i="4"/>
  <c r="AB53" i="4"/>
  <c r="AB65" i="4"/>
  <c r="AB73" i="4"/>
  <c r="AB72" i="4"/>
  <c r="AB45" i="4"/>
  <c r="AB68" i="4"/>
  <c r="AB74" i="4"/>
  <c r="AB43" i="4"/>
  <c r="AB44" i="4"/>
  <c r="AB51" i="4"/>
  <c r="AB55" i="4"/>
  <c r="AB56" i="4"/>
  <c r="AB54" i="4"/>
  <c r="AB62" i="4"/>
  <c r="AB48" i="4"/>
  <c r="AB58" i="4"/>
  <c r="AB77" i="4"/>
  <c r="AB57" i="4"/>
  <c r="AB61" i="4"/>
  <c r="AB52" i="4"/>
  <c r="AB66" i="4"/>
  <c r="AB67" i="4"/>
  <c r="AB47" i="4"/>
  <c r="AB46" i="4"/>
  <c r="AB70" i="4"/>
  <c r="AB60" i="4"/>
  <c r="AB50" i="4"/>
  <c r="AB75" i="4"/>
  <c r="AB59" i="4"/>
  <c r="AB49" i="4"/>
  <c r="AC112" i="4"/>
  <c r="AC102" i="4"/>
  <c r="AC106" i="4"/>
  <c r="AC109" i="4"/>
  <c r="AC101" i="4"/>
  <c r="AC93" i="4"/>
  <c r="AC103" i="4"/>
  <c r="AC115" i="4"/>
  <c r="AC117" i="4"/>
  <c r="AC96" i="4"/>
  <c r="AC107" i="4"/>
  <c r="AC110" i="4"/>
  <c r="AC85" i="4"/>
  <c r="AC90" i="4"/>
  <c r="AC87" i="4"/>
  <c r="AC105" i="4"/>
  <c r="AC104" i="4"/>
  <c r="AC99" i="4"/>
  <c r="AC111" i="4"/>
  <c r="AC92" i="4"/>
  <c r="AC108" i="4"/>
  <c r="AC118" i="4"/>
  <c r="AC94" i="4"/>
  <c r="AC100" i="4"/>
  <c r="AC89" i="4"/>
  <c r="AC113" i="4"/>
  <c r="AC97" i="4"/>
  <c r="AC86" i="4"/>
  <c r="AC114" i="4"/>
  <c r="AC98" i="4"/>
  <c r="AC84" i="4"/>
  <c r="AC116" i="4"/>
  <c r="AC91" i="4"/>
  <c r="AC95" i="4"/>
  <c r="AC88" i="4"/>
  <c r="AC53" i="4"/>
  <c r="AC77" i="4"/>
  <c r="AC61" i="4"/>
  <c r="AC72" i="4"/>
  <c r="AC63" i="4"/>
  <c r="AC44" i="4"/>
  <c r="AC51" i="4"/>
  <c r="AC76" i="4"/>
  <c r="AC59" i="4"/>
  <c r="AC54" i="4"/>
  <c r="AC66" i="4"/>
  <c r="AC47" i="4"/>
  <c r="AC62" i="4"/>
  <c r="AC52" i="4"/>
  <c r="AC74" i="4"/>
  <c r="AC71" i="4"/>
  <c r="AC58" i="4"/>
  <c r="AC73" i="4"/>
  <c r="AC67" i="4"/>
  <c r="AC43" i="4"/>
  <c r="AC48" i="4"/>
  <c r="AC60" i="4"/>
  <c r="AC64" i="4"/>
  <c r="AC69" i="4"/>
  <c r="AC46" i="4"/>
  <c r="AC45" i="4"/>
  <c r="AC65" i="4"/>
  <c r="AC56" i="4"/>
  <c r="AC49" i="4"/>
  <c r="AC57" i="4"/>
  <c r="AC75" i="4"/>
  <c r="AC68" i="4"/>
  <c r="AC70" i="4"/>
  <c r="AC55" i="4"/>
  <c r="AC50" i="4"/>
  <c r="AC25" i="9"/>
  <c r="AC6" i="9"/>
  <c r="AC41" i="9"/>
  <c r="AC43" i="9"/>
  <c r="AC8" i="9"/>
  <c r="AC61" i="2"/>
  <c r="AC46" i="2"/>
  <c r="AC45" i="2"/>
  <c r="AC58" i="2"/>
  <c r="AF28" i="4"/>
  <c r="AF29" i="4"/>
  <c r="AE30" i="4"/>
  <c r="AE7" i="4"/>
  <c r="AD21" i="9"/>
  <c r="AA158" i="4"/>
  <c r="AD25" i="9"/>
  <c r="AD6" i="9"/>
  <c r="AD41" i="9"/>
  <c r="AD43" i="9"/>
  <c r="AD8" i="9"/>
  <c r="AD61" i="2"/>
  <c r="J116" i="2"/>
  <c r="AD58" i="2"/>
  <c r="J113" i="2"/>
  <c r="AD46" i="2"/>
  <c r="AD45" i="2"/>
  <c r="AG28" i="4"/>
  <c r="AG29" i="4"/>
  <c r="AF30" i="4"/>
  <c r="AF7" i="4"/>
  <c r="AE21" i="9"/>
  <c r="AB158" i="4"/>
  <c r="AD55" i="4"/>
  <c r="AD70" i="4"/>
  <c r="AD69" i="4"/>
  <c r="AD76" i="4"/>
  <c r="AD53" i="4"/>
  <c r="AD62" i="4"/>
  <c r="AD71" i="4"/>
  <c r="AD54" i="4"/>
  <c r="AD57" i="4"/>
  <c r="AD77" i="4"/>
  <c r="AD51" i="4"/>
  <c r="AD58" i="4"/>
  <c r="AD48" i="4"/>
  <c r="AD66" i="4"/>
  <c r="AD43" i="4"/>
  <c r="AD75" i="4"/>
  <c r="AD61" i="4"/>
  <c r="AD49" i="4"/>
  <c r="AD44" i="4"/>
  <c r="AD52" i="4"/>
  <c r="AD56" i="4"/>
  <c r="AD60" i="4"/>
  <c r="AD47" i="4"/>
  <c r="AD73" i="4"/>
  <c r="AD50" i="4"/>
  <c r="AD59" i="4"/>
  <c r="AD65" i="4"/>
  <c r="AD45" i="4"/>
  <c r="AD63" i="4"/>
  <c r="AD72" i="4"/>
  <c r="AD67" i="4"/>
  <c r="AD46" i="4"/>
  <c r="AD68" i="4"/>
  <c r="AD64" i="4"/>
  <c r="AD74" i="4"/>
  <c r="AD113" i="4"/>
  <c r="AD106" i="4"/>
  <c r="AD105" i="4"/>
  <c r="AD87" i="4"/>
  <c r="AD112" i="4"/>
  <c r="AD101" i="4"/>
  <c r="AD99" i="4"/>
  <c r="AD98" i="4"/>
  <c r="AD111" i="4"/>
  <c r="AD100" i="4"/>
  <c r="AD96" i="4"/>
  <c r="AD114" i="4"/>
  <c r="AD116" i="4"/>
  <c r="AD94" i="4"/>
  <c r="AD92" i="4"/>
  <c r="AD115" i="4"/>
  <c r="AD89" i="4"/>
  <c r="AD117" i="4"/>
  <c r="AD109" i="4"/>
  <c r="AD97" i="4"/>
  <c r="AD108" i="4"/>
  <c r="AD95" i="4"/>
  <c r="AD85" i="4"/>
  <c r="AD93" i="4"/>
  <c r="AD107" i="4"/>
  <c r="AD86" i="4"/>
  <c r="AD104" i="4"/>
  <c r="AD102" i="4"/>
  <c r="AD84" i="4"/>
  <c r="AD88" i="4"/>
  <c r="AD118" i="4"/>
  <c r="AD103" i="4"/>
  <c r="AD90" i="4"/>
  <c r="AD91" i="4"/>
  <c r="AD110" i="4"/>
  <c r="AE25" i="9"/>
  <c r="AE6" i="9"/>
  <c r="AE41" i="9"/>
  <c r="AE43" i="9"/>
  <c r="AE8" i="9"/>
  <c r="AE61" i="2"/>
  <c r="AE58" i="2"/>
  <c r="AE46" i="2"/>
  <c r="AE45" i="2"/>
  <c r="AH29" i="4"/>
  <c r="AH28" i="4"/>
  <c r="AG30" i="4"/>
  <c r="AG7" i="4"/>
  <c r="AF21" i="9"/>
  <c r="AC158" i="4"/>
  <c r="AE49" i="4"/>
  <c r="AE50" i="4"/>
  <c r="AE58" i="4"/>
  <c r="AE51" i="4"/>
  <c r="AE52" i="4"/>
  <c r="AE53" i="4"/>
  <c r="AE59" i="4"/>
  <c r="AE69" i="4"/>
  <c r="AE54" i="4"/>
  <c r="AE67" i="4"/>
  <c r="AE57" i="4"/>
  <c r="AE63" i="4"/>
  <c r="AE48" i="4"/>
  <c r="AE68" i="4"/>
  <c r="AE66" i="4"/>
  <c r="AE76" i="4"/>
  <c r="AE73" i="4"/>
  <c r="AE47" i="4"/>
  <c r="AE61" i="4"/>
  <c r="AE72" i="4"/>
  <c r="AE77" i="4"/>
  <c r="AE75" i="4"/>
  <c r="AE56" i="4"/>
  <c r="AE74" i="4"/>
  <c r="AE43" i="4"/>
  <c r="AE46" i="4"/>
  <c r="AE64" i="4"/>
  <c r="AE65" i="4"/>
  <c r="AE55" i="4"/>
  <c r="AE62" i="4"/>
  <c r="AE44" i="4"/>
  <c r="AE60" i="4"/>
  <c r="AE70" i="4"/>
  <c r="AE71" i="4"/>
  <c r="AE45" i="4"/>
  <c r="AE101" i="4"/>
  <c r="AE114" i="4"/>
  <c r="AE104" i="4"/>
  <c r="AE98" i="4"/>
  <c r="AE94" i="4"/>
  <c r="AE109" i="4"/>
  <c r="AE107" i="4"/>
  <c r="AE92" i="4"/>
  <c r="AE115" i="4"/>
  <c r="AE117" i="4"/>
  <c r="AE89" i="4"/>
  <c r="AE113" i="4"/>
  <c r="AE100" i="4"/>
  <c r="AE86" i="4"/>
  <c r="AE84" i="4"/>
  <c r="AE102" i="4"/>
  <c r="AE112" i="4"/>
  <c r="AE87" i="4"/>
  <c r="AE116" i="4"/>
  <c r="AE97" i="4"/>
  <c r="AE88" i="4"/>
  <c r="AE111" i="4"/>
  <c r="AE106" i="4"/>
  <c r="AE118" i="4"/>
  <c r="AE96" i="4"/>
  <c r="AE93" i="4"/>
  <c r="AE99" i="4"/>
  <c r="AE108" i="4"/>
  <c r="AE91" i="4"/>
  <c r="AE105" i="4"/>
  <c r="AE110" i="4"/>
  <c r="AE85" i="4"/>
  <c r="AE95" i="4"/>
  <c r="AE90" i="4"/>
  <c r="AE103" i="4"/>
  <c r="AF25" i="9"/>
  <c r="AF6" i="9"/>
  <c r="AF41" i="9"/>
  <c r="AF43" i="9"/>
  <c r="AF8" i="9"/>
  <c r="AF61" i="2"/>
  <c r="AH30" i="4"/>
  <c r="AH7" i="4"/>
  <c r="AF58" i="2"/>
  <c r="AF46" i="2"/>
  <c r="AF45" i="2"/>
  <c r="AL28" i="4"/>
  <c r="AL29" i="4"/>
  <c r="AK28" i="4"/>
  <c r="AK29" i="4"/>
  <c r="AJ93" i="4"/>
  <c r="AJ28" i="4"/>
  <c r="AJ29" i="4"/>
  <c r="AI97" i="4"/>
  <c r="AI29" i="4"/>
  <c r="AH109" i="4"/>
  <c r="AI28" i="4"/>
  <c r="AD158" i="4"/>
  <c r="AF43" i="4"/>
  <c r="AF45" i="4"/>
  <c r="AF54" i="4"/>
  <c r="AF46" i="4"/>
  <c r="AF72" i="4"/>
  <c r="AF73" i="4"/>
  <c r="AF57" i="4"/>
  <c r="AF51" i="4"/>
  <c r="AF48" i="4"/>
  <c r="AF55" i="4"/>
  <c r="AF50" i="4"/>
  <c r="AF47" i="4"/>
  <c r="AF53" i="4"/>
  <c r="AF69" i="4"/>
  <c r="AF68" i="4"/>
  <c r="AF66" i="4"/>
  <c r="AF64" i="4"/>
  <c r="AF65" i="4"/>
  <c r="AF70" i="4"/>
  <c r="AF76" i="4"/>
  <c r="AF75" i="4"/>
  <c r="AF56" i="4"/>
  <c r="AF49" i="4"/>
  <c r="AF62" i="4"/>
  <c r="AF58" i="4"/>
  <c r="AF71" i="4"/>
  <c r="AF77" i="4"/>
  <c r="AF61" i="4"/>
  <c r="AF60" i="4"/>
  <c r="AF59" i="4"/>
  <c r="AF74" i="4"/>
  <c r="AF67" i="4"/>
  <c r="AF63" i="4"/>
  <c r="AF44" i="4"/>
  <c r="AF52" i="4"/>
  <c r="AF102" i="4"/>
  <c r="AF86" i="4"/>
  <c r="AF91" i="4"/>
  <c r="AF108" i="4"/>
  <c r="AF94" i="4"/>
  <c r="AF99" i="4"/>
  <c r="AF114" i="4"/>
  <c r="AF110" i="4"/>
  <c r="AF105" i="4"/>
  <c r="AF93" i="4"/>
  <c r="AF118" i="4"/>
  <c r="AF111" i="4"/>
  <c r="AF101" i="4"/>
  <c r="AF95" i="4"/>
  <c r="AF112" i="4"/>
  <c r="AF117" i="4"/>
  <c r="AF109" i="4"/>
  <c r="AF115" i="4"/>
  <c r="AF98" i="4"/>
  <c r="AF88" i="4"/>
  <c r="AF87" i="4"/>
  <c r="AF106" i="4"/>
  <c r="AF107" i="4"/>
  <c r="AF104" i="4"/>
  <c r="AF103" i="4"/>
  <c r="AF85" i="4"/>
  <c r="AF84" i="4"/>
  <c r="AF92" i="4"/>
  <c r="AF89" i="4"/>
  <c r="AF90" i="4"/>
  <c r="AF100" i="4"/>
  <c r="AF97" i="4"/>
  <c r="AF96" i="4"/>
  <c r="AF116" i="4"/>
  <c r="AF113" i="4"/>
  <c r="AG46" i="2"/>
  <c r="AG45" i="2"/>
  <c r="AG21" i="9"/>
  <c r="AG61" i="2"/>
  <c r="AJ50" i="4"/>
  <c r="AI46" i="4"/>
  <c r="AG58" i="2"/>
  <c r="AJ57" i="4"/>
  <c r="AJ52" i="4"/>
  <c r="AJ73" i="4"/>
  <c r="AI30" i="4"/>
  <c r="AI7" i="4"/>
  <c r="AH21" i="9"/>
  <c r="AJ60" i="4"/>
  <c r="AJ49" i="4"/>
  <c r="AJ59" i="4"/>
  <c r="AJ64" i="4"/>
  <c r="AJ45" i="4"/>
  <c r="AJ71" i="4"/>
  <c r="AJ58" i="4"/>
  <c r="AJ62" i="4"/>
  <c r="AJ63" i="4"/>
  <c r="AJ102" i="4"/>
  <c r="AJ65" i="4"/>
  <c r="AJ70" i="4"/>
  <c r="AJ43" i="4"/>
  <c r="AJ95" i="4"/>
  <c r="AJ51" i="4"/>
  <c r="AJ66" i="4"/>
  <c r="AJ118" i="4"/>
  <c r="AJ77" i="4"/>
  <c r="AJ105" i="4"/>
  <c r="AJ69" i="4"/>
  <c r="AJ75" i="4"/>
  <c r="AJ74" i="4"/>
  <c r="AJ108" i="4"/>
  <c r="AJ46" i="4"/>
  <c r="AJ86" i="4"/>
  <c r="AJ47" i="4"/>
  <c r="AJ87" i="4"/>
  <c r="AJ112" i="4"/>
  <c r="AJ68" i="4"/>
  <c r="AJ67" i="4"/>
  <c r="AJ55" i="4"/>
  <c r="AJ44" i="4"/>
  <c r="AJ76" i="4"/>
  <c r="AI61" i="4"/>
  <c r="AI66" i="4"/>
  <c r="AJ97" i="4"/>
  <c r="AI54" i="4"/>
  <c r="AJ89" i="4"/>
  <c r="AJ48" i="4"/>
  <c r="AJ92" i="4"/>
  <c r="AI62" i="4"/>
  <c r="AJ54" i="4"/>
  <c r="AJ61" i="4"/>
  <c r="AJ72" i="4"/>
  <c r="AJ99" i="4"/>
  <c r="AI56" i="4"/>
  <c r="AJ113" i="4"/>
  <c r="AJ100" i="4"/>
  <c r="AI45" i="4"/>
  <c r="AI77" i="4"/>
  <c r="AJ91" i="4"/>
  <c r="AI67" i="4"/>
  <c r="AJ115" i="4"/>
  <c r="AI49" i="4"/>
  <c r="AJ104" i="4"/>
  <c r="AJ53" i="4"/>
  <c r="AJ56" i="4"/>
  <c r="AI55" i="4"/>
  <c r="AJ103" i="4"/>
  <c r="AH110" i="4"/>
  <c r="AI75" i="4"/>
  <c r="AI65" i="4"/>
  <c r="AJ109" i="4"/>
  <c r="AJ107" i="4"/>
  <c r="AH100" i="4"/>
  <c r="AH102" i="4"/>
  <c r="AI63" i="4"/>
  <c r="AJ110" i="4"/>
  <c r="AJ106" i="4"/>
  <c r="AI69" i="4"/>
  <c r="AI60" i="4"/>
  <c r="AJ98" i="4"/>
  <c r="AJ101" i="4"/>
  <c r="AI98" i="4"/>
  <c r="AH97" i="4"/>
  <c r="AI113" i="4"/>
  <c r="AH95" i="4"/>
  <c r="AI84" i="4"/>
  <c r="AH107" i="4"/>
  <c r="AI93" i="4"/>
  <c r="AI68" i="4"/>
  <c r="AH98" i="4"/>
  <c r="AH49" i="4"/>
  <c r="AH50" i="4"/>
  <c r="AH115" i="4"/>
  <c r="AH44" i="4"/>
  <c r="AI53" i="4"/>
  <c r="AI48" i="4"/>
  <c r="AJ84" i="4"/>
  <c r="AJ116" i="4"/>
  <c r="AJ96" i="4"/>
  <c r="AH111" i="4"/>
  <c r="AH65" i="4"/>
  <c r="AI64" i="4"/>
  <c r="AI59" i="4"/>
  <c r="AJ114" i="4"/>
  <c r="AJ94" i="4"/>
  <c r="AJ88" i="4"/>
  <c r="AH118" i="4"/>
  <c r="AH46" i="4"/>
  <c r="AI105" i="4"/>
  <c r="AH117" i="4"/>
  <c r="AH43" i="4"/>
  <c r="AH56" i="4"/>
  <c r="AI107" i="4"/>
  <c r="AH67" i="4"/>
  <c r="AH77" i="4"/>
  <c r="AI108" i="4"/>
  <c r="AI101" i="4"/>
  <c r="AH93" i="4"/>
  <c r="AH70" i="4"/>
  <c r="AH61" i="4"/>
  <c r="AI85" i="4"/>
  <c r="AI86" i="4"/>
  <c r="AH112" i="4"/>
  <c r="AH66" i="4"/>
  <c r="AI99" i="4"/>
  <c r="AI43" i="4"/>
  <c r="AI51" i="4"/>
  <c r="AH87" i="4"/>
  <c r="AH94" i="4"/>
  <c r="AH71" i="4"/>
  <c r="AI102" i="4"/>
  <c r="AH99" i="4"/>
  <c r="AI52" i="4"/>
  <c r="AI73" i="4"/>
  <c r="AI72" i="4"/>
  <c r="AJ117" i="4"/>
  <c r="AJ85" i="4"/>
  <c r="AH103" i="4"/>
  <c r="AH116" i="4"/>
  <c r="AH59" i="4"/>
  <c r="AI116" i="4"/>
  <c r="AI71" i="4"/>
  <c r="AI58" i="4"/>
  <c r="AJ90" i="4"/>
  <c r="AJ111" i="4"/>
  <c r="AH91" i="4"/>
  <c r="AH105" i="4"/>
  <c r="AH68" i="4"/>
  <c r="AI100" i="4"/>
  <c r="AM29" i="4"/>
  <c r="AL111" i="4"/>
  <c r="AM28" i="4"/>
  <c r="AN29" i="4"/>
  <c r="AN28" i="4"/>
  <c r="AI109" i="4"/>
  <c r="AJ30" i="4"/>
  <c r="AJ7" i="4"/>
  <c r="AI21" i="9"/>
  <c r="AH60" i="4"/>
  <c r="AH57" i="4"/>
  <c r="AH47" i="4"/>
  <c r="AI89" i="4"/>
  <c r="AI118" i="4"/>
  <c r="AI110" i="4"/>
  <c r="AH54" i="4"/>
  <c r="AH72" i="4"/>
  <c r="AH74" i="4"/>
  <c r="AI88" i="4"/>
  <c r="AI114" i="4"/>
  <c r="AI90" i="4"/>
  <c r="AH85" i="4"/>
  <c r="AH113" i="4"/>
  <c r="AH92" i="4"/>
  <c r="AH45" i="4"/>
  <c r="AH69" i="4"/>
  <c r="AH64" i="4"/>
  <c r="AI111" i="4"/>
  <c r="AI103" i="4"/>
  <c r="AI91" i="4"/>
  <c r="AK30" i="4"/>
  <c r="AK7" i="4"/>
  <c r="AJ21" i="9"/>
  <c r="AH101" i="4"/>
  <c r="AH88" i="4"/>
  <c r="AH84" i="4"/>
  <c r="AH75" i="4"/>
  <c r="AH52" i="4"/>
  <c r="AH73" i="4"/>
  <c r="AI95" i="4"/>
  <c r="AI112" i="4"/>
  <c r="AI57" i="4"/>
  <c r="AH86" i="4"/>
  <c r="AH114" i="4"/>
  <c r="AH106" i="4"/>
  <c r="AH51" i="4"/>
  <c r="AH48" i="4"/>
  <c r="AH53" i="4"/>
  <c r="AI104" i="4"/>
  <c r="AI94" i="4"/>
  <c r="AI96" i="4"/>
  <c r="AI47" i="4"/>
  <c r="AI50" i="4"/>
  <c r="AI74" i="4"/>
  <c r="AH108" i="4"/>
  <c r="AH90" i="4"/>
  <c r="AH89" i="4"/>
  <c r="AH76" i="4"/>
  <c r="AH55" i="4"/>
  <c r="AH58" i="4"/>
  <c r="AI87" i="4"/>
  <c r="AI92" i="4"/>
  <c r="AI106" i="4"/>
  <c r="AL30" i="4"/>
  <c r="AL7" i="4"/>
  <c r="AK21" i="9"/>
  <c r="AI76" i="4"/>
  <c r="AI70" i="4"/>
  <c r="AI44" i="4"/>
  <c r="AH104" i="4"/>
  <c r="AH96" i="4"/>
  <c r="AH63" i="4"/>
  <c r="AH62" i="4"/>
  <c r="AI117" i="4"/>
  <c r="AI115" i="4"/>
  <c r="AE158" i="4"/>
  <c r="AG56" i="4"/>
  <c r="AG76" i="4"/>
  <c r="AG47" i="4"/>
  <c r="AG77" i="4"/>
  <c r="AG66" i="4"/>
  <c r="AG59" i="4"/>
  <c r="AG51" i="4"/>
  <c r="AG46" i="4"/>
  <c r="AG58" i="4"/>
  <c r="AG44" i="4"/>
  <c r="AG67" i="4"/>
  <c r="AG50" i="4"/>
  <c r="AG74" i="4"/>
  <c r="AG62" i="4"/>
  <c r="AG73" i="4"/>
  <c r="AG61" i="4"/>
  <c r="AG63" i="4"/>
  <c r="AG45" i="4"/>
  <c r="AG52" i="4"/>
  <c r="AG75" i="4"/>
  <c r="AG68" i="4"/>
  <c r="AG72" i="4"/>
  <c r="AG64" i="4"/>
  <c r="AG71" i="4"/>
  <c r="AG49" i="4"/>
  <c r="AG65" i="4"/>
  <c r="AG54" i="4"/>
  <c r="AG57" i="4"/>
  <c r="AG53" i="4"/>
  <c r="AG60" i="4"/>
  <c r="AG43" i="4"/>
  <c r="AG70" i="4"/>
  <c r="AG48" i="4"/>
  <c r="AG55" i="4"/>
  <c r="AG69" i="4"/>
  <c r="AK64" i="4"/>
  <c r="AK74" i="4"/>
  <c r="AK57" i="4"/>
  <c r="AK77" i="4"/>
  <c r="AK60" i="4"/>
  <c r="AK47" i="4"/>
  <c r="AK52" i="4"/>
  <c r="AK71" i="4"/>
  <c r="AK59" i="4"/>
  <c r="AK69" i="4"/>
  <c r="AK68" i="4"/>
  <c r="AK65" i="4"/>
  <c r="AK61" i="4"/>
  <c r="AK76" i="4"/>
  <c r="AK72" i="4"/>
  <c r="AK44" i="4"/>
  <c r="AK75" i="4"/>
  <c r="AK51" i="4"/>
  <c r="AK43" i="4"/>
  <c r="AK46" i="4"/>
  <c r="AK66" i="4"/>
  <c r="AK67" i="4"/>
  <c r="AK53" i="4"/>
  <c r="AK49" i="4"/>
  <c r="AK55" i="4"/>
  <c r="AK58" i="4"/>
  <c r="AK50" i="4"/>
  <c r="AK73" i="4"/>
  <c r="AK48" i="4"/>
  <c r="AK62" i="4"/>
  <c r="AK45" i="4"/>
  <c r="AK63" i="4"/>
  <c r="AK70" i="4"/>
  <c r="AK54" i="4"/>
  <c r="AK56" i="4"/>
  <c r="AK108" i="4"/>
  <c r="AK97" i="4"/>
  <c r="AK115" i="4"/>
  <c r="AK105" i="4"/>
  <c r="AK104" i="4"/>
  <c r="AK101" i="4"/>
  <c r="AK114" i="4"/>
  <c r="AK106" i="4"/>
  <c r="AK116" i="4"/>
  <c r="AK117" i="4"/>
  <c r="AK111" i="4"/>
  <c r="AK86" i="4"/>
  <c r="AK94" i="4"/>
  <c r="AK89" i="4"/>
  <c r="AK91" i="4"/>
  <c r="AK109" i="4"/>
  <c r="AK92" i="4"/>
  <c r="AK118" i="4"/>
  <c r="AK100" i="4"/>
  <c r="AK84" i="4"/>
  <c r="AK103" i="4"/>
  <c r="AK87" i="4"/>
  <c r="AK98" i="4"/>
  <c r="AK99" i="4"/>
  <c r="AK95" i="4"/>
  <c r="AK88" i="4"/>
  <c r="AK107" i="4"/>
  <c r="AK102" i="4"/>
  <c r="AK85" i="4"/>
  <c r="AK93" i="4"/>
  <c r="AK90" i="4"/>
  <c r="AK110" i="4"/>
  <c r="AK113" i="4"/>
  <c r="AK96" i="4"/>
  <c r="AK112" i="4"/>
  <c r="AG112" i="4"/>
  <c r="AG99" i="4"/>
  <c r="AG86" i="4"/>
  <c r="AG118" i="4"/>
  <c r="AG110" i="4"/>
  <c r="AG102" i="4"/>
  <c r="AG116" i="4"/>
  <c r="AG93" i="4"/>
  <c r="AG94" i="4"/>
  <c r="AG95" i="4"/>
  <c r="AG84" i="4"/>
  <c r="AG104" i="4"/>
  <c r="AG107" i="4"/>
  <c r="AG108" i="4"/>
  <c r="AG97" i="4"/>
  <c r="AG98" i="4"/>
  <c r="AG90" i="4"/>
  <c r="AG85" i="4"/>
  <c r="AG115" i="4"/>
  <c r="AG113" i="4"/>
  <c r="AG87" i="4"/>
  <c r="AG96" i="4"/>
  <c r="AG109" i="4"/>
  <c r="AG114" i="4"/>
  <c r="AG89" i="4"/>
  <c r="AG117" i="4"/>
  <c r="AG105" i="4"/>
  <c r="AG91" i="4"/>
  <c r="AG111" i="4"/>
  <c r="AG103" i="4"/>
  <c r="AG100" i="4"/>
  <c r="AG88" i="4"/>
  <c r="AG101" i="4"/>
  <c r="AG106" i="4"/>
  <c r="AG92" i="4"/>
  <c r="AJ25" i="9"/>
  <c r="AJ6" i="9"/>
  <c r="AJ41" i="9"/>
  <c r="AJ43" i="9"/>
  <c r="AJ8" i="9"/>
  <c r="AK25" i="9"/>
  <c r="AK6" i="9"/>
  <c r="AK41" i="9"/>
  <c r="AK43" i="9"/>
  <c r="AK8" i="9"/>
  <c r="AH25" i="9"/>
  <c r="AH6" i="9"/>
  <c r="AH41" i="9"/>
  <c r="AH43" i="9"/>
  <c r="AH8" i="9"/>
  <c r="AG25" i="9"/>
  <c r="AG6" i="9"/>
  <c r="AG41" i="9"/>
  <c r="AG43" i="9"/>
  <c r="AG8" i="9"/>
  <c r="AI25" i="9"/>
  <c r="AI6" i="9"/>
  <c r="AI41" i="9"/>
  <c r="AI43" i="9"/>
  <c r="AI8" i="9"/>
  <c r="AH61" i="2"/>
  <c r="AI61" i="2"/>
  <c r="K116" i="2"/>
  <c r="AL65" i="4"/>
  <c r="AI58" i="2"/>
  <c r="K113" i="2"/>
  <c r="AI46" i="2"/>
  <c r="AI45" i="2"/>
  <c r="AJ46" i="2"/>
  <c r="AJ45" i="2"/>
  <c r="AJ58" i="2"/>
  <c r="AH58" i="2"/>
  <c r="AH46" i="2"/>
  <c r="AH45" i="2"/>
  <c r="AK46" i="2"/>
  <c r="AK45" i="2"/>
  <c r="AK58" i="2"/>
  <c r="AL74" i="4"/>
  <c r="AL43" i="4"/>
  <c r="AL64" i="4"/>
  <c r="AL91" i="4"/>
  <c r="AL51" i="4"/>
  <c r="AL93" i="4"/>
  <c r="AL96" i="4"/>
  <c r="AL105" i="4"/>
  <c r="AL66" i="4"/>
  <c r="AL68" i="4"/>
  <c r="AL59" i="4"/>
  <c r="AL46" i="4"/>
  <c r="AL110" i="4"/>
  <c r="AL106" i="4"/>
  <c r="AL107" i="4"/>
  <c r="AL103" i="4"/>
  <c r="AL86" i="4"/>
  <c r="AL116" i="4"/>
  <c r="AL117" i="4"/>
  <c r="AL89" i="4"/>
  <c r="AL63" i="4"/>
  <c r="AL95" i="4"/>
  <c r="AL101" i="4"/>
  <c r="AL54" i="4"/>
  <c r="AL99" i="4"/>
  <c r="AL77" i="4"/>
  <c r="AL61" i="4"/>
  <c r="AL114" i="4"/>
  <c r="AL113" i="4"/>
  <c r="AL75" i="4"/>
  <c r="AL45" i="4"/>
  <c r="AL112" i="4"/>
  <c r="AL115" i="4"/>
  <c r="AL53" i="4"/>
  <c r="AL62" i="4"/>
  <c r="AL84" i="4"/>
  <c r="AL58" i="4"/>
  <c r="AL57" i="4"/>
  <c r="AL102" i="4"/>
  <c r="AL87" i="4"/>
  <c r="AL90" i="4"/>
  <c r="AL67" i="4"/>
  <c r="AL60" i="4"/>
  <c r="AN30" i="4"/>
  <c r="AN7" i="4"/>
  <c r="AM21" i="9"/>
  <c r="AL71" i="4"/>
  <c r="AL55" i="4"/>
  <c r="AL56" i="4"/>
  <c r="AL92" i="4"/>
  <c r="AL118" i="4"/>
  <c r="AL94" i="4"/>
  <c r="AL52" i="4"/>
  <c r="AL48" i="4"/>
  <c r="AL69" i="4"/>
  <c r="AL88" i="4"/>
  <c r="AL97" i="4"/>
  <c r="AL100" i="4"/>
  <c r="AL72" i="4"/>
  <c r="AL76" i="4"/>
  <c r="AL70" i="4"/>
  <c r="AL108" i="4"/>
  <c r="AL98" i="4"/>
  <c r="AL109" i="4"/>
  <c r="AL49" i="4"/>
  <c r="AL73" i="4"/>
  <c r="AL47" i="4"/>
  <c r="AL85" i="4"/>
  <c r="AL104" i="4"/>
  <c r="AL44" i="4"/>
  <c r="AL50" i="4"/>
  <c r="AO29" i="4"/>
  <c r="E29" i="4"/>
  <c r="AO28" i="4"/>
  <c r="AM30" i="4"/>
  <c r="AM7" i="4"/>
  <c r="AL21" i="9"/>
  <c r="AF158" i="4"/>
  <c r="AM111" i="4"/>
  <c r="AM96" i="4"/>
  <c r="AM95" i="4"/>
  <c r="AM108" i="4"/>
  <c r="AM100" i="4"/>
  <c r="AM117" i="4"/>
  <c r="AM104" i="4"/>
  <c r="AM102" i="4"/>
  <c r="AM116" i="4"/>
  <c r="AM115" i="4"/>
  <c r="AM85" i="4"/>
  <c r="AM88" i="4"/>
  <c r="AM110" i="4"/>
  <c r="AM103" i="4"/>
  <c r="AM94" i="4"/>
  <c r="AM91" i="4"/>
  <c r="AM112" i="4"/>
  <c r="AM107" i="4"/>
  <c r="AM90" i="4"/>
  <c r="AM114" i="4"/>
  <c r="AM97" i="4"/>
  <c r="AM106" i="4"/>
  <c r="AM101" i="4"/>
  <c r="AM109" i="4"/>
  <c r="AM86" i="4"/>
  <c r="AM98" i="4"/>
  <c r="AM113" i="4"/>
  <c r="AM87" i="4"/>
  <c r="AM89" i="4"/>
  <c r="AM92" i="4"/>
  <c r="AM99" i="4"/>
  <c r="AM93" i="4"/>
  <c r="AM105" i="4"/>
  <c r="AM118" i="4"/>
  <c r="AM84" i="4"/>
  <c r="AM51" i="4"/>
  <c r="AM57" i="4"/>
  <c r="AM70" i="4"/>
  <c r="AM55" i="4"/>
  <c r="AM63" i="4"/>
  <c r="AM46" i="4"/>
  <c r="AM49" i="4"/>
  <c r="AM64" i="4"/>
  <c r="AM71" i="4"/>
  <c r="AM73" i="4"/>
  <c r="AM59" i="4"/>
  <c r="AM75" i="4"/>
  <c r="AM61" i="4"/>
  <c r="AM50" i="4"/>
  <c r="AM54" i="4"/>
  <c r="AM72" i="4"/>
  <c r="AM58" i="4"/>
  <c r="AM67" i="4"/>
  <c r="AM44" i="4"/>
  <c r="AM56" i="4"/>
  <c r="AM77" i="4"/>
  <c r="AM60" i="4"/>
  <c r="AM53" i="4"/>
  <c r="AM69" i="4"/>
  <c r="AM65" i="4"/>
  <c r="AM43" i="4"/>
  <c r="AM45" i="4"/>
  <c r="AM66" i="4"/>
  <c r="AM68" i="4"/>
  <c r="AM52" i="4"/>
  <c r="AM62" i="4"/>
  <c r="AM48" i="4"/>
  <c r="AM47" i="4"/>
  <c r="AM76" i="4"/>
  <c r="AM74" i="4"/>
  <c r="AL25" i="9"/>
  <c r="AL6" i="9"/>
  <c r="AL41" i="9"/>
  <c r="AL43" i="9"/>
  <c r="AL8" i="9"/>
  <c r="AM25" i="9"/>
  <c r="AM6" i="9"/>
  <c r="AM41" i="9"/>
  <c r="AM43" i="9"/>
  <c r="AM8" i="9"/>
  <c r="AJ61" i="2"/>
  <c r="AK61" i="2"/>
  <c r="E28" i="4"/>
  <c r="E30" i="4"/>
  <c r="AL58" i="2"/>
  <c r="AL46" i="2"/>
  <c r="AL45" i="2"/>
  <c r="AM58" i="2"/>
  <c r="AM46" i="2"/>
  <c r="AM45" i="2"/>
  <c r="AO30" i="4"/>
  <c r="AO7" i="4"/>
  <c r="AN21" i="9"/>
  <c r="AG158" i="4"/>
  <c r="AN97" i="4"/>
  <c r="AN116" i="4"/>
  <c r="AN109" i="4"/>
  <c r="AN117" i="4"/>
  <c r="AN110" i="4"/>
  <c r="AN94" i="4"/>
  <c r="AN100" i="4"/>
  <c r="AN98" i="4"/>
  <c r="AN105" i="4"/>
  <c r="AN89" i="4"/>
  <c r="AN93" i="4"/>
  <c r="AN102" i="4"/>
  <c r="AN84" i="4"/>
  <c r="AN86" i="4"/>
  <c r="AN103" i="4"/>
  <c r="AN108" i="4"/>
  <c r="AN85" i="4"/>
  <c r="AN101" i="4"/>
  <c r="AN91" i="4"/>
  <c r="AN95" i="4"/>
  <c r="AN104" i="4"/>
  <c r="AN99" i="4"/>
  <c r="AN112" i="4"/>
  <c r="AN107" i="4"/>
  <c r="AN88" i="4"/>
  <c r="AN115" i="4"/>
  <c r="AN96" i="4"/>
  <c r="AN92" i="4"/>
  <c r="AN106" i="4"/>
  <c r="AN111" i="4"/>
  <c r="AN87" i="4"/>
  <c r="AN90" i="4"/>
  <c r="AN114" i="4"/>
  <c r="AN118" i="4"/>
  <c r="AN113" i="4"/>
  <c r="AN58" i="4"/>
  <c r="AN47" i="4"/>
  <c r="AN61" i="4"/>
  <c r="AN73" i="4"/>
  <c r="AN64" i="4"/>
  <c r="AN43" i="4"/>
  <c r="AN60" i="4"/>
  <c r="AN65" i="4"/>
  <c r="AN75" i="4"/>
  <c r="AN50" i="4"/>
  <c r="AN45" i="4"/>
  <c r="AN62" i="4"/>
  <c r="AN67" i="4"/>
  <c r="AN69" i="4"/>
  <c r="AN53" i="4"/>
  <c r="AN72" i="4"/>
  <c r="AN63" i="4"/>
  <c r="AN70" i="4"/>
  <c r="AN54" i="4"/>
  <c r="AN66" i="4"/>
  <c r="AN57" i="4"/>
  <c r="AN49" i="4"/>
  <c r="AN44" i="4"/>
  <c r="AN59" i="4"/>
  <c r="AN71" i="4"/>
  <c r="AN52" i="4"/>
  <c r="AN56" i="4"/>
  <c r="AN46" i="4"/>
  <c r="AN68" i="4"/>
  <c r="AN76" i="4"/>
  <c r="AN48" i="4"/>
  <c r="AN74" i="4"/>
  <c r="AN55" i="4"/>
  <c r="AN51" i="4"/>
  <c r="AN77" i="4"/>
  <c r="AN25" i="9"/>
  <c r="AN6" i="9"/>
  <c r="AN41" i="9"/>
  <c r="AN43" i="9"/>
  <c r="AN8" i="9"/>
  <c r="AL61" i="2"/>
  <c r="AM61" i="2"/>
  <c r="AN61" i="2"/>
  <c r="AN58" i="2"/>
  <c r="AN46" i="2"/>
  <c r="AN45" i="2"/>
  <c r="AH158" i="4"/>
  <c r="AI158" i="4"/>
  <c r="AP5" i="7" a="1"/>
  <c r="AJ158" i="4"/>
  <c r="AQ8" i="7"/>
  <c r="AS36" i="7"/>
  <c r="AS33" i="7"/>
  <c r="AS14" i="7"/>
  <c r="AS27" i="7"/>
  <c r="AQ33" i="7"/>
  <c r="AQ18" i="7"/>
  <c r="AQ35" i="7"/>
  <c r="AS20" i="7"/>
  <c r="AR34" i="7"/>
  <c r="AQ39" i="7"/>
  <c r="AQ7" i="7"/>
  <c r="AS37" i="7"/>
  <c r="AQ38" i="7"/>
  <c r="AR9" i="7"/>
  <c r="AQ24" i="7"/>
  <c r="AQ12" i="7"/>
  <c r="AS16" i="7"/>
  <c r="AR17" i="7"/>
  <c r="AS32" i="7"/>
  <c r="AS39" i="7"/>
  <c r="AR8" i="7"/>
  <c r="AR10" i="7"/>
  <c r="AS6" i="7"/>
  <c r="AS38" i="7"/>
  <c r="AS5" i="7"/>
  <c r="AS8" i="7"/>
  <c r="AS30" i="7"/>
  <c r="AS15" i="7"/>
  <c r="AQ16" i="7"/>
  <c r="AQ28" i="7"/>
  <c r="AR21" i="7"/>
  <c r="AS31" i="7"/>
  <c r="AR13" i="7"/>
  <c r="AR26" i="7"/>
  <c r="AQ14" i="7"/>
  <c r="AQ20" i="7"/>
  <c r="AS23" i="7"/>
  <c r="AS12" i="7"/>
  <c r="AS28" i="7"/>
  <c r="AR27" i="7"/>
  <c r="AQ27" i="7"/>
  <c r="AR29" i="7"/>
  <c r="AQ29" i="7"/>
  <c r="AR30" i="7"/>
  <c r="AQ22" i="7"/>
  <c r="AQ21" i="7"/>
  <c r="AR20" i="7"/>
  <c r="AR11" i="7"/>
  <c r="AR19" i="7"/>
  <c r="AR33" i="7"/>
  <c r="AR39" i="7"/>
  <c r="AR25" i="7"/>
  <c r="AS19" i="7"/>
  <c r="AS26" i="7"/>
  <c r="AR31" i="7"/>
  <c r="AR38" i="7"/>
  <c r="AQ34" i="7"/>
  <c r="AQ36" i="7"/>
  <c r="AR7" i="7"/>
  <c r="AR28" i="7"/>
  <c r="AQ30" i="7"/>
  <c r="AQ11" i="7"/>
  <c r="AS25" i="7"/>
  <c r="AS13" i="7"/>
  <c r="AQ19" i="7"/>
  <c r="AS18" i="7"/>
  <c r="AQ6" i="7"/>
  <c r="AS11" i="7"/>
  <c r="AR22" i="7"/>
  <c r="AR16" i="7"/>
  <c r="AQ10" i="7"/>
  <c r="AR36" i="7"/>
  <c r="AR35" i="7"/>
  <c r="AR18" i="7"/>
  <c r="AS35" i="7"/>
  <c r="AR24" i="7"/>
  <c r="AR12" i="7"/>
  <c r="AR32" i="7"/>
  <c r="AQ31" i="7"/>
  <c r="AR37" i="7"/>
  <c r="AS9" i="7"/>
  <c r="AQ13" i="7"/>
  <c r="AQ37" i="7"/>
  <c r="AS7" i="7"/>
  <c r="AQ17" i="7"/>
  <c r="AS22" i="7"/>
  <c r="AS17" i="7"/>
  <c r="AQ26" i="7"/>
  <c r="AS29" i="7"/>
  <c r="AR14" i="7"/>
  <c r="AQ23" i="7"/>
  <c r="AS24" i="7"/>
  <c r="AS21" i="7"/>
  <c r="AQ9" i="7"/>
  <c r="AS34" i="7"/>
  <c r="AQ32" i="7"/>
  <c r="AQ25" i="7"/>
  <c r="AS10" i="7"/>
  <c r="AR23" i="7"/>
  <c r="AQ15" i="7"/>
  <c r="AR15" i="7"/>
  <c r="AK158" i="4"/>
  <c r="AL158" i="4"/>
  <c r="AM158" i="4"/>
  <c r="F147" i="4"/>
  <c r="G147" i="4"/>
  <c r="F161" i="4"/>
  <c r="G161" i="4"/>
  <c r="S161" i="4"/>
  <c r="AE161" i="4"/>
  <c r="H161" i="4"/>
  <c r="H160" i="4"/>
  <c r="T161" i="4"/>
  <c r="T160" i="4"/>
  <c r="AF161" i="4"/>
  <c r="I161" i="4"/>
  <c r="U161" i="4"/>
  <c r="AG161" i="4"/>
  <c r="R161" i="4"/>
  <c r="AD161" i="4"/>
  <c r="J161" i="4"/>
  <c r="J160" i="4"/>
  <c r="V161" i="4"/>
  <c r="V160" i="4"/>
  <c r="AH161" i="4"/>
  <c r="K161" i="4"/>
  <c r="W161" i="4"/>
  <c r="W160" i="4"/>
  <c r="AI161" i="4"/>
  <c r="P161" i="4"/>
  <c r="AB161" i="4"/>
  <c r="L161" i="4"/>
  <c r="L160" i="4"/>
  <c r="X161" i="4"/>
  <c r="X160" i="4"/>
  <c r="AJ161" i="4"/>
  <c r="M161" i="4"/>
  <c r="M160" i="4"/>
  <c r="Y161" i="4"/>
  <c r="Y160" i="4"/>
  <c r="AK161" i="4"/>
  <c r="N161" i="4"/>
  <c r="Z161" i="4"/>
  <c r="AL161" i="4"/>
  <c r="AL160" i="4"/>
  <c r="O161" i="4"/>
  <c r="O160" i="4"/>
  <c r="AA161" i="4"/>
  <c r="AM161" i="4"/>
  <c r="E161" i="4"/>
  <c r="Q161" i="4"/>
  <c r="AC161" i="4"/>
  <c r="Z160" i="4"/>
  <c r="AD160" i="4"/>
  <c r="AC160" i="4"/>
  <c r="N160" i="4"/>
  <c r="P160" i="4"/>
  <c r="R160" i="4"/>
  <c r="AB160" i="4"/>
  <c r="Q160" i="4"/>
  <c r="AK160" i="4"/>
  <c r="AI160" i="4"/>
  <c r="K160" i="4"/>
  <c r="I160" i="4"/>
  <c r="AA160" i="4"/>
  <c r="AJ160" i="4"/>
  <c r="AH160" i="4"/>
  <c r="AE160" i="4"/>
  <c r="S160" i="4"/>
  <c r="AG160" i="4"/>
  <c r="U160" i="4"/>
  <c r="AF160" i="4"/>
  <c r="AM160" i="4"/>
  <c r="AK128" i="4"/>
  <c r="AL10" i="4"/>
  <c r="N128" i="4"/>
  <c r="O10" i="4"/>
  <c r="H128" i="4"/>
  <c r="I10" i="4"/>
  <c r="AM128" i="4"/>
  <c r="AN10" i="4"/>
  <c r="M128" i="4"/>
  <c r="N10" i="4"/>
  <c r="W128" i="4"/>
  <c r="X10" i="4"/>
  <c r="AB128" i="4"/>
  <c r="AC10" i="4"/>
  <c r="AL128" i="4"/>
  <c r="AM10" i="4"/>
  <c r="P128" i="4"/>
  <c r="Q10" i="4"/>
  <c r="F128" i="4"/>
  <c r="G10" i="4"/>
  <c r="R128" i="4"/>
  <c r="S10" i="4"/>
  <c r="G128" i="4"/>
  <c r="H10" i="4"/>
  <c r="AA128" i="4"/>
  <c r="AB10" i="4"/>
  <c r="AJ128" i="4"/>
  <c r="AK10" i="4"/>
  <c r="J128" i="4"/>
  <c r="K10" i="4"/>
  <c r="Q128" i="4"/>
  <c r="R10" i="4"/>
  <c r="AN128" i="4"/>
  <c r="AO10" i="4"/>
  <c r="Z128" i="4"/>
  <c r="AA10" i="4"/>
  <c r="AG128" i="4"/>
  <c r="AH10" i="4"/>
  <c r="AF128" i="4"/>
  <c r="AG10" i="4"/>
  <c r="AC128" i="4"/>
  <c r="AD10" i="4"/>
  <c r="AE128" i="4"/>
  <c r="AF10" i="4"/>
  <c r="I128" i="4"/>
  <c r="J10" i="4"/>
  <c r="AH128" i="4"/>
  <c r="AI10" i="4"/>
  <c r="X128" i="4"/>
  <c r="Y10" i="4"/>
  <c r="L128" i="4"/>
  <c r="M10" i="4"/>
  <c r="V128" i="4"/>
  <c r="W10" i="4"/>
  <c r="K128" i="4"/>
  <c r="L10" i="4"/>
  <c r="S128" i="4"/>
  <c r="T10" i="4"/>
  <c r="U128" i="4"/>
  <c r="V10" i="4"/>
  <c r="T128" i="4"/>
  <c r="U10" i="4"/>
  <c r="AD128" i="4"/>
  <c r="AE10" i="4"/>
  <c r="BL207" i="4"/>
  <c r="BX207" i="4"/>
  <c r="AT207" i="4"/>
  <c r="BB207" i="4"/>
  <c r="BZ207" i="4"/>
  <c r="BN207" i="4"/>
  <c r="AZ207" i="4"/>
  <c r="BC207" i="4"/>
  <c r="BW207" i="4"/>
  <c r="BI207" i="4"/>
  <c r="AV207" i="4"/>
  <c r="BV207" i="4"/>
  <c r="AU207" i="4"/>
  <c r="BM207" i="4"/>
  <c r="BQ207" i="4"/>
  <c r="AS207" i="4"/>
  <c r="AY207" i="4"/>
  <c r="BS207" i="4"/>
  <c r="BO207" i="4"/>
  <c r="BD207" i="4"/>
  <c r="BR207" i="4"/>
  <c r="AR207" i="4"/>
  <c r="BY207" i="4"/>
  <c r="BT207" i="4"/>
  <c r="BT229" i="4"/>
  <c r="AH230" i="4"/>
  <c r="AX207" i="4"/>
  <c r="AX211" i="4"/>
  <c r="L212" i="4"/>
  <c r="BJ207" i="4"/>
  <c r="BJ213" i="4"/>
  <c r="X214" i="4"/>
  <c r="BE207" i="4"/>
  <c r="BE223" i="4"/>
  <c r="S224" i="4"/>
  <c r="BG207" i="4"/>
  <c r="BG214" i="4"/>
  <c r="U215" i="4"/>
  <c r="BH207" i="4"/>
  <c r="BH220" i="4"/>
  <c r="V221" i="4"/>
  <c r="AW207" i="4"/>
  <c r="AW212" i="4"/>
  <c r="K213" i="4"/>
  <c r="BP207" i="4"/>
  <c r="BP214" i="4"/>
  <c r="AD215" i="4"/>
  <c r="BF207" i="4"/>
  <c r="BF221" i="4"/>
  <c r="T222" i="4"/>
  <c r="BD212" i="4"/>
  <c r="R213" i="4"/>
  <c r="BD224" i="4"/>
  <c r="R225" i="4"/>
  <c r="BD219" i="4"/>
  <c r="R220" i="4"/>
  <c r="BD231" i="4"/>
  <c r="R232" i="4"/>
  <c r="BD214" i="4"/>
  <c r="R215" i="4"/>
  <c r="BD226" i="4"/>
  <c r="R227" i="4"/>
  <c r="BD221" i="4"/>
  <c r="R222" i="4"/>
  <c r="BD233" i="4"/>
  <c r="R234" i="4"/>
  <c r="BD216" i="4"/>
  <c r="R217" i="4"/>
  <c r="BD228" i="4"/>
  <c r="R229" i="4"/>
  <c r="BD211" i="4"/>
  <c r="R212" i="4"/>
  <c r="BD223" i="4"/>
  <c r="R224" i="4"/>
  <c r="BD218" i="4"/>
  <c r="R219" i="4"/>
  <c r="BD230" i="4"/>
  <c r="R231" i="4"/>
  <c r="BD213" i="4"/>
  <c r="R214" i="4"/>
  <c r="BD225" i="4"/>
  <c r="R226" i="4"/>
  <c r="BD220" i="4"/>
  <c r="R221" i="4"/>
  <c r="BD232" i="4"/>
  <c r="R233" i="4"/>
  <c r="BD215" i="4"/>
  <c r="R216" i="4"/>
  <c r="BD227" i="4"/>
  <c r="R228" i="4"/>
  <c r="BD210" i="4"/>
  <c r="R211" i="4"/>
  <c r="BD222" i="4"/>
  <c r="R223" i="4"/>
  <c r="BD234" i="4"/>
  <c r="R235" i="4"/>
  <c r="BD240" i="4"/>
  <c r="R241" i="4"/>
  <c r="BD235" i="4"/>
  <c r="R236" i="4"/>
  <c r="BD242" i="4"/>
  <c r="R243" i="4"/>
  <c r="BD217" i="4"/>
  <c r="R218" i="4"/>
  <c r="BD237" i="4"/>
  <c r="R238" i="4"/>
  <c r="BD244" i="4"/>
  <c r="R245" i="4"/>
  <c r="BD239" i="4"/>
  <c r="R240" i="4"/>
  <c r="BD241" i="4"/>
  <c r="R242" i="4"/>
  <c r="BD236" i="4"/>
  <c r="R237" i="4"/>
  <c r="BD243" i="4"/>
  <c r="R244" i="4"/>
  <c r="BD238" i="4"/>
  <c r="R239" i="4"/>
  <c r="BD229" i="4"/>
  <c r="R230" i="4"/>
  <c r="AV213" i="4"/>
  <c r="J214" i="4"/>
  <c r="AV210" i="4"/>
  <c r="J211" i="4"/>
  <c r="AV212" i="4"/>
  <c r="J213" i="4"/>
  <c r="AV214" i="4"/>
  <c r="J215" i="4"/>
  <c r="AV211" i="4"/>
  <c r="J212" i="4"/>
  <c r="BY211" i="4"/>
  <c r="AM212" i="4"/>
  <c r="BY223" i="4"/>
  <c r="AM224" i="4"/>
  <c r="BY218" i="4"/>
  <c r="AM219" i="4"/>
  <c r="BY230" i="4"/>
  <c r="AM231" i="4"/>
  <c r="BY213" i="4"/>
  <c r="AM214" i="4"/>
  <c r="BY225" i="4"/>
  <c r="AM226" i="4"/>
  <c r="BY220" i="4"/>
  <c r="AM221" i="4"/>
  <c r="BY232" i="4"/>
  <c r="AM233" i="4"/>
  <c r="BY215" i="4"/>
  <c r="AM216" i="4"/>
  <c r="BY227" i="4"/>
  <c r="AM228" i="4"/>
  <c r="BY210" i="4"/>
  <c r="AM211" i="4"/>
  <c r="BY222" i="4"/>
  <c r="AM223" i="4"/>
  <c r="BY217" i="4"/>
  <c r="AM218" i="4"/>
  <c r="BY229" i="4"/>
  <c r="AM230" i="4"/>
  <c r="BY212" i="4"/>
  <c r="AM213" i="4"/>
  <c r="BY224" i="4"/>
  <c r="AM225" i="4"/>
  <c r="BY219" i="4"/>
  <c r="AM220" i="4"/>
  <c r="BY231" i="4"/>
  <c r="AM232" i="4"/>
  <c r="BY214" i="4"/>
  <c r="AM215" i="4"/>
  <c r="BY226" i="4"/>
  <c r="AM227" i="4"/>
  <c r="BY221" i="4"/>
  <c r="AM222" i="4"/>
  <c r="BY233" i="4"/>
  <c r="AM234" i="4"/>
  <c r="BY244" i="4"/>
  <c r="AM245" i="4"/>
  <c r="BY239" i="4"/>
  <c r="AM240" i="4"/>
  <c r="BY234" i="4"/>
  <c r="AM235" i="4"/>
  <c r="BY216" i="4"/>
  <c r="AM217" i="4"/>
  <c r="BY241" i="4"/>
  <c r="AM242" i="4"/>
  <c r="BY236" i="4"/>
  <c r="AM237" i="4"/>
  <c r="BY243" i="4"/>
  <c r="AM244" i="4"/>
  <c r="BY238" i="4"/>
  <c r="AM239" i="4"/>
  <c r="BY240" i="4"/>
  <c r="AM241" i="4"/>
  <c r="BY235" i="4"/>
  <c r="AM236" i="4"/>
  <c r="BY228" i="4"/>
  <c r="AM229" i="4"/>
  <c r="BY242" i="4"/>
  <c r="AM243" i="4"/>
  <c r="BY237" i="4"/>
  <c r="AM238" i="4"/>
  <c r="AR221" i="4"/>
  <c r="F222" i="4"/>
  <c r="AR233" i="4"/>
  <c r="F234" i="4"/>
  <c r="AR210" i="4"/>
  <c r="F211" i="4"/>
  <c r="AR222" i="4"/>
  <c r="F223" i="4"/>
  <c r="AR234" i="4"/>
  <c r="F235" i="4"/>
  <c r="AR211" i="4"/>
  <c r="F212" i="4"/>
  <c r="AR223" i="4"/>
  <c r="F224" i="4"/>
  <c r="AR235" i="4"/>
  <c r="F236" i="4"/>
  <c r="AR212" i="4"/>
  <c r="F213" i="4"/>
  <c r="AR224" i="4"/>
  <c r="F225" i="4"/>
  <c r="AR236" i="4"/>
  <c r="F237" i="4"/>
  <c r="AR213" i="4"/>
  <c r="F214" i="4"/>
  <c r="AR225" i="4"/>
  <c r="F226" i="4"/>
  <c r="AR237" i="4"/>
  <c r="F238" i="4"/>
  <c r="AR214" i="4"/>
  <c r="F215" i="4"/>
  <c r="AR226" i="4"/>
  <c r="F227" i="4"/>
  <c r="AR238" i="4"/>
  <c r="F239" i="4"/>
  <c r="AR215" i="4"/>
  <c r="F216" i="4"/>
  <c r="AR227" i="4"/>
  <c r="F228" i="4"/>
  <c r="AR239" i="4"/>
  <c r="F240" i="4"/>
  <c r="AR216" i="4"/>
  <c r="F217" i="4"/>
  <c r="AR228" i="4"/>
  <c r="F229" i="4"/>
  <c r="AR240" i="4"/>
  <c r="F241" i="4"/>
  <c r="AR217" i="4"/>
  <c r="F218" i="4"/>
  <c r="AR229" i="4"/>
  <c r="F230" i="4"/>
  <c r="AR241" i="4"/>
  <c r="F242" i="4"/>
  <c r="AR218" i="4"/>
  <c r="F219" i="4"/>
  <c r="AR230" i="4"/>
  <c r="F231" i="4"/>
  <c r="AR242" i="4"/>
  <c r="F243" i="4"/>
  <c r="AR219" i="4"/>
  <c r="F220" i="4"/>
  <c r="AR231" i="4"/>
  <c r="F232" i="4"/>
  <c r="AR243" i="4"/>
  <c r="F244" i="4"/>
  <c r="AR244" i="4"/>
  <c r="F245" i="4"/>
  <c r="AR232" i="4"/>
  <c r="F233" i="4"/>
  <c r="AR220" i="4"/>
  <c r="F221" i="4"/>
  <c r="BR217" i="4"/>
  <c r="AF218" i="4"/>
  <c r="BR229" i="4"/>
  <c r="AF230" i="4"/>
  <c r="BR212" i="4"/>
  <c r="AF213" i="4"/>
  <c r="BR224" i="4"/>
  <c r="AF225" i="4"/>
  <c r="BR219" i="4"/>
  <c r="AF220" i="4"/>
  <c r="BR231" i="4"/>
  <c r="AF232" i="4"/>
  <c r="BR214" i="4"/>
  <c r="AF215" i="4"/>
  <c r="BR226" i="4"/>
  <c r="AF227" i="4"/>
  <c r="BR221" i="4"/>
  <c r="AF222" i="4"/>
  <c r="BR233" i="4"/>
  <c r="AF234" i="4"/>
  <c r="BR216" i="4"/>
  <c r="AF217" i="4"/>
  <c r="BR228" i="4"/>
  <c r="AF229" i="4"/>
  <c r="BR211" i="4"/>
  <c r="AF212" i="4"/>
  <c r="BR223" i="4"/>
  <c r="AF224" i="4"/>
  <c r="BR218" i="4"/>
  <c r="AF219" i="4"/>
  <c r="BR230" i="4"/>
  <c r="AF231" i="4"/>
  <c r="BR213" i="4"/>
  <c r="AF214" i="4"/>
  <c r="BR225" i="4"/>
  <c r="AF226" i="4"/>
  <c r="BR220" i="4"/>
  <c r="AF221" i="4"/>
  <c r="BR232" i="4"/>
  <c r="AF233" i="4"/>
  <c r="BR215" i="4"/>
  <c r="AF216" i="4"/>
  <c r="BR227" i="4"/>
  <c r="AF228" i="4"/>
  <c r="BR235" i="4"/>
  <c r="AF236" i="4"/>
  <c r="BR222" i="4"/>
  <c r="AF223" i="4"/>
  <c r="BR234" i="4"/>
  <c r="AF235" i="4"/>
  <c r="BR236" i="4"/>
  <c r="AF237" i="4"/>
  <c r="BR210" i="4"/>
  <c r="AF211" i="4"/>
  <c r="BO214" i="4"/>
  <c r="AC215" i="4"/>
  <c r="BO226" i="4"/>
  <c r="AC227" i="4"/>
  <c r="BO221" i="4"/>
  <c r="AC222" i="4"/>
  <c r="BO233" i="4"/>
  <c r="AC234" i="4"/>
  <c r="BO216" i="4"/>
  <c r="AC217" i="4"/>
  <c r="BO228" i="4"/>
  <c r="AC229" i="4"/>
  <c r="BO211" i="4"/>
  <c r="AC212" i="4"/>
  <c r="BO223" i="4"/>
  <c r="AC224" i="4"/>
  <c r="BO218" i="4"/>
  <c r="AC219" i="4"/>
  <c r="BO230" i="4"/>
  <c r="AC231" i="4"/>
  <c r="BO213" i="4"/>
  <c r="AC214" i="4"/>
  <c r="BO225" i="4"/>
  <c r="AC226" i="4"/>
  <c r="BO220" i="4"/>
  <c r="AC221" i="4"/>
  <c r="BO232" i="4"/>
  <c r="AC233" i="4"/>
  <c r="BO215" i="4"/>
  <c r="AC216" i="4"/>
  <c r="BO227" i="4"/>
  <c r="AC228" i="4"/>
  <c r="BO210" i="4"/>
  <c r="AC211" i="4"/>
  <c r="BO222" i="4"/>
  <c r="AC223" i="4"/>
  <c r="BO217" i="4"/>
  <c r="AC218" i="4"/>
  <c r="BO229" i="4"/>
  <c r="AC230" i="4"/>
  <c r="BO212" i="4"/>
  <c r="AC213" i="4"/>
  <c r="BO224" i="4"/>
  <c r="AC225" i="4"/>
  <c r="BO231" i="4"/>
  <c r="AC232" i="4"/>
  <c r="BO219" i="4"/>
  <c r="AC220" i="4"/>
  <c r="BS210" i="4"/>
  <c r="AG211" i="4"/>
  <c r="BS222" i="4"/>
  <c r="AG223" i="4"/>
  <c r="BS217" i="4"/>
  <c r="AG218" i="4"/>
  <c r="BS229" i="4"/>
  <c r="AG230" i="4"/>
  <c r="BS212" i="4"/>
  <c r="AG213" i="4"/>
  <c r="BS224" i="4"/>
  <c r="AG225" i="4"/>
  <c r="BS219" i="4"/>
  <c r="AG220" i="4"/>
  <c r="BS231" i="4"/>
  <c r="AG232" i="4"/>
  <c r="BS214" i="4"/>
  <c r="AG215" i="4"/>
  <c r="BS226" i="4"/>
  <c r="AG227" i="4"/>
  <c r="BS221" i="4"/>
  <c r="AG222" i="4"/>
  <c r="BS233" i="4"/>
  <c r="AG234" i="4"/>
  <c r="BS216" i="4"/>
  <c r="AG217" i="4"/>
  <c r="BS228" i="4"/>
  <c r="AG229" i="4"/>
  <c r="BS211" i="4"/>
  <c r="AG212" i="4"/>
  <c r="BS223" i="4"/>
  <c r="AG224" i="4"/>
  <c r="BS218" i="4"/>
  <c r="AG219" i="4"/>
  <c r="BS230" i="4"/>
  <c r="AG231" i="4"/>
  <c r="BS213" i="4"/>
  <c r="AG214" i="4"/>
  <c r="BS225" i="4"/>
  <c r="AG226" i="4"/>
  <c r="BS220" i="4"/>
  <c r="AG221" i="4"/>
  <c r="BS232" i="4"/>
  <c r="AG233" i="4"/>
  <c r="BS215" i="4"/>
  <c r="AG216" i="4"/>
  <c r="BS243" i="4"/>
  <c r="AG244" i="4"/>
  <c r="BS238" i="4"/>
  <c r="AG239" i="4"/>
  <c r="BS240" i="4"/>
  <c r="AG241" i="4"/>
  <c r="BS235" i="4"/>
  <c r="AG236" i="4"/>
  <c r="BS242" i="4"/>
  <c r="AG243" i="4"/>
  <c r="BS237" i="4"/>
  <c r="AG238" i="4"/>
  <c r="BS227" i="4"/>
  <c r="AG228" i="4"/>
  <c r="BS244" i="4"/>
  <c r="AG245" i="4"/>
  <c r="BS239" i="4"/>
  <c r="AG240" i="4"/>
  <c r="BS234" i="4"/>
  <c r="AG235" i="4"/>
  <c r="BS241" i="4"/>
  <c r="AG242" i="4"/>
  <c r="BS236" i="4"/>
  <c r="AG237" i="4"/>
  <c r="AY216" i="4"/>
  <c r="M217" i="4"/>
  <c r="AY228" i="4"/>
  <c r="M229" i="4"/>
  <c r="AY211" i="4"/>
  <c r="M212" i="4"/>
  <c r="AY223" i="4"/>
  <c r="M224" i="4"/>
  <c r="AY218" i="4"/>
  <c r="M219" i="4"/>
  <c r="AY230" i="4"/>
  <c r="M231" i="4"/>
  <c r="AY213" i="4"/>
  <c r="M214" i="4"/>
  <c r="AY225" i="4"/>
  <c r="M226" i="4"/>
  <c r="AY220" i="4"/>
  <c r="M221" i="4"/>
  <c r="AY232" i="4"/>
  <c r="M233" i="4"/>
  <c r="AY215" i="4"/>
  <c r="M216" i="4"/>
  <c r="AY227" i="4"/>
  <c r="M228" i="4"/>
  <c r="AY210" i="4"/>
  <c r="M211" i="4"/>
  <c r="AY222" i="4"/>
  <c r="M223" i="4"/>
  <c r="AY234" i="4"/>
  <c r="M235" i="4"/>
  <c r="AY217" i="4"/>
  <c r="M218" i="4"/>
  <c r="AY229" i="4"/>
  <c r="M230" i="4"/>
  <c r="AY212" i="4"/>
  <c r="M213" i="4"/>
  <c r="AY224" i="4"/>
  <c r="M225" i="4"/>
  <c r="AY219" i="4"/>
  <c r="M220" i="4"/>
  <c r="AY231" i="4"/>
  <c r="M232" i="4"/>
  <c r="AY214" i="4"/>
  <c r="M215" i="4"/>
  <c r="AY226" i="4"/>
  <c r="M227" i="4"/>
  <c r="AY237" i="4"/>
  <c r="M238" i="4"/>
  <c r="AY244" i="4"/>
  <c r="M245" i="4"/>
  <c r="AY221" i="4"/>
  <c r="M222" i="4"/>
  <c r="AY239" i="4"/>
  <c r="M240" i="4"/>
  <c r="AY241" i="4"/>
  <c r="M242" i="4"/>
  <c r="AY236" i="4"/>
  <c r="M237" i="4"/>
  <c r="AY243" i="4"/>
  <c r="M244" i="4"/>
  <c r="AY238" i="4"/>
  <c r="M239" i="4"/>
  <c r="AY233" i="4"/>
  <c r="M234" i="4"/>
  <c r="AY240" i="4"/>
  <c r="M241" i="4"/>
  <c r="AY235" i="4"/>
  <c r="M236" i="4"/>
  <c r="AY242" i="4"/>
  <c r="M243" i="4"/>
  <c r="AS210" i="4"/>
  <c r="G211" i="4"/>
  <c r="AS222" i="4"/>
  <c r="G223" i="4"/>
  <c r="AS234" i="4"/>
  <c r="G235" i="4"/>
  <c r="AS217" i="4"/>
  <c r="G218" i="4"/>
  <c r="AS229" i="4"/>
  <c r="G230" i="4"/>
  <c r="AS212" i="4"/>
  <c r="G213" i="4"/>
  <c r="AS224" i="4"/>
  <c r="G225" i="4"/>
  <c r="AS219" i="4"/>
  <c r="G220" i="4"/>
  <c r="AS231" i="4"/>
  <c r="G232" i="4"/>
  <c r="AS214" i="4"/>
  <c r="G215" i="4"/>
  <c r="AS226" i="4"/>
  <c r="G227" i="4"/>
  <c r="AS221" i="4"/>
  <c r="G222" i="4"/>
  <c r="AS233" i="4"/>
  <c r="G234" i="4"/>
  <c r="AS216" i="4"/>
  <c r="G217" i="4"/>
  <c r="AS228" i="4"/>
  <c r="G229" i="4"/>
  <c r="AS211" i="4"/>
  <c r="G212" i="4"/>
  <c r="AS223" i="4"/>
  <c r="G224" i="4"/>
  <c r="AS218" i="4"/>
  <c r="G219" i="4"/>
  <c r="AS230" i="4"/>
  <c r="G231" i="4"/>
  <c r="AS213" i="4"/>
  <c r="G214" i="4"/>
  <c r="AS225" i="4"/>
  <c r="G226" i="4"/>
  <c r="AS220" i="4"/>
  <c r="G221" i="4"/>
  <c r="AS232" i="4"/>
  <c r="G233" i="4"/>
  <c r="AS243" i="4"/>
  <c r="G244" i="4"/>
  <c r="AS238" i="4"/>
  <c r="G239" i="4"/>
  <c r="AS240" i="4"/>
  <c r="G241" i="4"/>
  <c r="AS235" i="4"/>
  <c r="G236" i="4"/>
  <c r="AS227" i="4"/>
  <c r="G228" i="4"/>
  <c r="AS242" i="4"/>
  <c r="G243" i="4"/>
  <c r="AS237" i="4"/>
  <c r="G238" i="4"/>
  <c r="AS244" i="4"/>
  <c r="G245" i="4"/>
  <c r="AS239" i="4"/>
  <c r="G240" i="4"/>
  <c r="AS215" i="4"/>
  <c r="G216" i="4"/>
  <c r="AS241" i="4"/>
  <c r="G242" i="4"/>
  <c r="AS236" i="4"/>
  <c r="G237" i="4"/>
  <c r="BQ212" i="4"/>
  <c r="AE213" i="4"/>
  <c r="BQ224" i="4"/>
  <c r="AE225" i="4"/>
  <c r="BQ219" i="4"/>
  <c r="AE220" i="4"/>
  <c r="BQ231" i="4"/>
  <c r="AE232" i="4"/>
  <c r="BQ214" i="4"/>
  <c r="AE215" i="4"/>
  <c r="BQ226" i="4"/>
  <c r="AE227" i="4"/>
  <c r="BQ221" i="4"/>
  <c r="AE222" i="4"/>
  <c r="BQ233" i="4"/>
  <c r="AE234" i="4"/>
  <c r="BQ216" i="4"/>
  <c r="AE217" i="4"/>
  <c r="BQ228" i="4"/>
  <c r="AE229" i="4"/>
  <c r="BQ211" i="4"/>
  <c r="AE212" i="4"/>
  <c r="BQ223" i="4"/>
  <c r="AE224" i="4"/>
  <c r="BQ218" i="4"/>
  <c r="AE219" i="4"/>
  <c r="BQ230" i="4"/>
  <c r="AE231" i="4"/>
  <c r="BQ213" i="4"/>
  <c r="AE214" i="4"/>
  <c r="BQ225" i="4"/>
  <c r="AE226" i="4"/>
  <c r="BQ220" i="4"/>
  <c r="AE221" i="4"/>
  <c r="BQ232" i="4"/>
  <c r="AE233" i="4"/>
  <c r="BQ215" i="4"/>
  <c r="AE216" i="4"/>
  <c r="BQ227" i="4"/>
  <c r="AE228" i="4"/>
  <c r="BQ210" i="4"/>
  <c r="AE211" i="4"/>
  <c r="BQ222" i="4"/>
  <c r="AE223" i="4"/>
  <c r="BQ229" i="4"/>
  <c r="AE230" i="4"/>
  <c r="BQ235" i="4"/>
  <c r="AE236" i="4"/>
  <c r="BQ217" i="4"/>
  <c r="AE218" i="4"/>
  <c r="BQ234" i="4"/>
  <c r="AE235" i="4"/>
  <c r="AZ216" i="4"/>
  <c r="N217" i="4"/>
  <c r="AZ211" i="4"/>
  <c r="N212" i="4"/>
  <c r="AZ218" i="4"/>
  <c r="N219" i="4"/>
  <c r="AZ213" i="4"/>
  <c r="N214" i="4"/>
  <c r="AZ215" i="4"/>
  <c r="N216" i="4"/>
  <c r="AZ210" i="4"/>
  <c r="N211" i="4"/>
  <c r="AZ217" i="4"/>
  <c r="N218" i="4"/>
  <c r="AZ212" i="4"/>
  <c r="N213" i="4"/>
  <c r="AZ219" i="4"/>
  <c r="N220" i="4"/>
  <c r="AZ214" i="4"/>
  <c r="N215" i="4"/>
  <c r="BN221" i="4"/>
  <c r="AB222" i="4"/>
  <c r="BN233" i="4"/>
  <c r="AB234" i="4"/>
  <c r="BN216" i="4"/>
  <c r="AB217" i="4"/>
  <c r="BN228" i="4"/>
  <c r="AB229" i="4"/>
  <c r="BN211" i="4"/>
  <c r="AB212" i="4"/>
  <c r="BN223" i="4"/>
  <c r="AB224" i="4"/>
  <c r="BN218" i="4"/>
  <c r="AB219" i="4"/>
  <c r="BN230" i="4"/>
  <c r="AB231" i="4"/>
  <c r="BN213" i="4"/>
  <c r="AB214" i="4"/>
  <c r="BN225" i="4"/>
  <c r="AB226" i="4"/>
  <c r="BN220" i="4"/>
  <c r="AB221" i="4"/>
  <c r="BN232" i="4"/>
  <c r="AB233" i="4"/>
  <c r="BN215" i="4"/>
  <c r="AB216" i="4"/>
  <c r="BN227" i="4"/>
  <c r="AB228" i="4"/>
  <c r="BN210" i="4"/>
  <c r="AB211" i="4"/>
  <c r="BN222" i="4"/>
  <c r="AB223" i="4"/>
  <c r="BN217" i="4"/>
  <c r="AB218" i="4"/>
  <c r="BN229" i="4"/>
  <c r="AB230" i="4"/>
  <c r="BN212" i="4"/>
  <c r="AB213" i="4"/>
  <c r="BN224" i="4"/>
  <c r="AB225" i="4"/>
  <c r="BN219" i="4"/>
  <c r="AB220" i="4"/>
  <c r="BN231" i="4"/>
  <c r="AB232" i="4"/>
  <c r="BN242" i="4"/>
  <c r="AB243" i="4"/>
  <c r="BN237" i="4"/>
  <c r="AB238" i="4"/>
  <c r="BN244" i="4"/>
  <c r="AB245" i="4"/>
  <c r="BN239" i="4"/>
  <c r="AB240" i="4"/>
  <c r="BN226" i="4"/>
  <c r="AB227" i="4"/>
  <c r="BN234" i="4"/>
  <c r="AB235" i="4"/>
  <c r="BN241" i="4"/>
  <c r="AB242" i="4"/>
  <c r="BN236" i="4"/>
  <c r="AB237" i="4"/>
  <c r="BN243" i="4"/>
  <c r="AB244" i="4"/>
  <c r="BN238" i="4"/>
  <c r="AB239" i="4"/>
  <c r="BN214" i="4"/>
  <c r="AB215" i="4"/>
  <c r="BN240" i="4"/>
  <c r="AB241" i="4"/>
  <c r="BN235" i="4"/>
  <c r="AB236" i="4"/>
  <c r="BZ216" i="4"/>
  <c r="AN217" i="4"/>
  <c r="BZ228" i="4"/>
  <c r="AN229" i="4"/>
  <c r="BZ211" i="4"/>
  <c r="AN212" i="4"/>
  <c r="BZ223" i="4"/>
  <c r="AN224" i="4"/>
  <c r="BZ218" i="4"/>
  <c r="AN219" i="4"/>
  <c r="BZ230" i="4"/>
  <c r="AN231" i="4"/>
  <c r="BZ213" i="4"/>
  <c r="AN214" i="4"/>
  <c r="BZ225" i="4"/>
  <c r="AN226" i="4"/>
  <c r="BZ220" i="4"/>
  <c r="AN221" i="4"/>
  <c r="BZ232" i="4"/>
  <c r="AN233" i="4"/>
  <c r="BZ215" i="4"/>
  <c r="AN216" i="4"/>
  <c r="BZ227" i="4"/>
  <c r="AN228" i="4"/>
  <c r="BZ210" i="4"/>
  <c r="AN211" i="4"/>
  <c r="BZ222" i="4"/>
  <c r="AN223" i="4"/>
  <c r="BZ217" i="4"/>
  <c r="AN218" i="4"/>
  <c r="BZ229" i="4"/>
  <c r="AN230" i="4"/>
  <c r="BZ212" i="4"/>
  <c r="AN213" i="4"/>
  <c r="BZ224" i="4"/>
  <c r="AN225" i="4"/>
  <c r="BZ219" i="4"/>
  <c r="AN220" i="4"/>
  <c r="BZ231" i="4"/>
  <c r="AN232" i="4"/>
  <c r="BZ214" i="4"/>
  <c r="AN215" i="4"/>
  <c r="BZ226" i="4"/>
  <c r="AN227" i="4"/>
  <c r="BZ237" i="4"/>
  <c r="AN238" i="4"/>
  <c r="BZ244" i="4"/>
  <c r="AN245" i="4"/>
  <c r="BZ239" i="4"/>
  <c r="AN240" i="4"/>
  <c r="BZ234" i="4"/>
  <c r="AN235" i="4"/>
  <c r="BZ221" i="4"/>
  <c r="AN222" i="4"/>
  <c r="BZ241" i="4"/>
  <c r="AN242" i="4"/>
  <c r="BZ236" i="4"/>
  <c r="AN237" i="4"/>
  <c r="BZ243" i="4"/>
  <c r="AN244" i="4"/>
  <c r="BZ238" i="4"/>
  <c r="AN239" i="4"/>
  <c r="BZ240" i="4"/>
  <c r="AN241" i="4"/>
  <c r="BZ235" i="4"/>
  <c r="AN236" i="4"/>
  <c r="BZ242" i="4"/>
  <c r="AN243" i="4"/>
  <c r="BZ233" i="4"/>
  <c r="AN234" i="4"/>
  <c r="BB214" i="4"/>
  <c r="P215" i="4"/>
  <c r="BB226" i="4"/>
  <c r="P227" i="4"/>
  <c r="BB221" i="4"/>
  <c r="P222" i="4"/>
  <c r="BB233" i="4"/>
  <c r="P234" i="4"/>
  <c r="BB216" i="4"/>
  <c r="P217" i="4"/>
  <c r="BB228" i="4"/>
  <c r="P229" i="4"/>
  <c r="BB211" i="4"/>
  <c r="P212" i="4"/>
  <c r="BB223" i="4"/>
  <c r="P224" i="4"/>
  <c r="BB218" i="4"/>
  <c r="P219" i="4"/>
  <c r="BB230" i="4"/>
  <c r="P231" i="4"/>
  <c r="BB213" i="4"/>
  <c r="P214" i="4"/>
  <c r="BB225" i="4"/>
  <c r="P226" i="4"/>
  <c r="BB220" i="4"/>
  <c r="P221" i="4"/>
  <c r="BB232" i="4"/>
  <c r="P233" i="4"/>
  <c r="BB215" i="4"/>
  <c r="P216" i="4"/>
  <c r="BB227" i="4"/>
  <c r="P228" i="4"/>
  <c r="BB210" i="4"/>
  <c r="P211" i="4"/>
  <c r="BB222" i="4"/>
  <c r="P223" i="4"/>
  <c r="BB234" i="4"/>
  <c r="P235" i="4"/>
  <c r="BB217" i="4"/>
  <c r="P218" i="4"/>
  <c r="BB229" i="4"/>
  <c r="P230" i="4"/>
  <c r="BB212" i="4"/>
  <c r="P213" i="4"/>
  <c r="BB224" i="4"/>
  <c r="P225" i="4"/>
  <c r="BB235" i="4"/>
  <c r="P236" i="4"/>
  <c r="BB242" i="4"/>
  <c r="P243" i="4"/>
  <c r="BB237" i="4"/>
  <c r="P238" i="4"/>
  <c r="BB244" i="4"/>
  <c r="P245" i="4"/>
  <c r="BB231" i="4"/>
  <c r="P232" i="4"/>
  <c r="BB239" i="4"/>
  <c r="P240" i="4"/>
  <c r="BB241" i="4"/>
  <c r="P242" i="4"/>
  <c r="BB236" i="4"/>
  <c r="P237" i="4"/>
  <c r="BB243" i="4"/>
  <c r="P244" i="4"/>
  <c r="BB219" i="4"/>
  <c r="P220" i="4"/>
  <c r="BB238" i="4"/>
  <c r="P239" i="4"/>
  <c r="BB240" i="4"/>
  <c r="P241" i="4"/>
  <c r="AT215" i="4"/>
  <c r="H216" i="4"/>
  <c r="AT227" i="4"/>
  <c r="H228" i="4"/>
  <c r="AT210" i="4"/>
  <c r="H211" i="4"/>
  <c r="AT222" i="4"/>
  <c r="H223" i="4"/>
  <c r="AT234" i="4"/>
  <c r="H235" i="4"/>
  <c r="AT217" i="4"/>
  <c r="H218" i="4"/>
  <c r="AT229" i="4"/>
  <c r="H230" i="4"/>
  <c r="AT212" i="4"/>
  <c r="H213" i="4"/>
  <c r="AT224" i="4"/>
  <c r="H225" i="4"/>
  <c r="AT219" i="4"/>
  <c r="H220" i="4"/>
  <c r="AT231" i="4"/>
  <c r="H232" i="4"/>
  <c r="AT214" i="4"/>
  <c r="H215" i="4"/>
  <c r="AT226" i="4"/>
  <c r="H227" i="4"/>
  <c r="AT221" i="4"/>
  <c r="H222" i="4"/>
  <c r="AT233" i="4"/>
  <c r="H234" i="4"/>
  <c r="AT216" i="4"/>
  <c r="H217" i="4"/>
  <c r="AT228" i="4"/>
  <c r="H229" i="4"/>
  <c r="AT211" i="4"/>
  <c r="H212" i="4"/>
  <c r="AT223" i="4"/>
  <c r="H224" i="4"/>
  <c r="AT218" i="4"/>
  <c r="H219" i="4"/>
  <c r="AT230" i="4"/>
  <c r="H231" i="4"/>
  <c r="AT213" i="4"/>
  <c r="H214" i="4"/>
  <c r="AT225" i="4"/>
  <c r="H226" i="4"/>
  <c r="AT236" i="4"/>
  <c r="H237" i="4"/>
  <c r="AT243" i="4"/>
  <c r="H244" i="4"/>
  <c r="AT238" i="4"/>
  <c r="H239" i="4"/>
  <c r="AT240" i="4"/>
  <c r="H241" i="4"/>
  <c r="AT235" i="4"/>
  <c r="H236" i="4"/>
  <c r="AT232" i="4"/>
  <c r="H233" i="4"/>
  <c r="AT242" i="4"/>
  <c r="H243" i="4"/>
  <c r="AT237" i="4"/>
  <c r="H238" i="4"/>
  <c r="AT244" i="4"/>
  <c r="H245" i="4"/>
  <c r="AT239" i="4"/>
  <c r="H240" i="4"/>
  <c r="AT220" i="4"/>
  <c r="H221" i="4"/>
  <c r="AT241" i="4"/>
  <c r="H242" i="4"/>
  <c r="BX218" i="4"/>
  <c r="AL219" i="4"/>
  <c r="BX230" i="4"/>
  <c r="AL231" i="4"/>
  <c r="BX213" i="4"/>
  <c r="AL214" i="4"/>
  <c r="BX225" i="4"/>
  <c r="AL226" i="4"/>
  <c r="BX220" i="4"/>
  <c r="AL221" i="4"/>
  <c r="BX232" i="4"/>
  <c r="AL233" i="4"/>
  <c r="BX215" i="4"/>
  <c r="AL216" i="4"/>
  <c r="BX227" i="4"/>
  <c r="AL228" i="4"/>
  <c r="BX210" i="4"/>
  <c r="AL211" i="4"/>
  <c r="BX222" i="4"/>
  <c r="AL223" i="4"/>
  <c r="BX217" i="4"/>
  <c r="AL218" i="4"/>
  <c r="BX229" i="4"/>
  <c r="AL230" i="4"/>
  <c r="BX212" i="4"/>
  <c r="AL213" i="4"/>
  <c r="BX224" i="4"/>
  <c r="AL225" i="4"/>
  <c r="BX219" i="4"/>
  <c r="AL220" i="4"/>
  <c r="BX231" i="4"/>
  <c r="AL232" i="4"/>
  <c r="BX214" i="4"/>
  <c r="AL215" i="4"/>
  <c r="BX226" i="4"/>
  <c r="AL227" i="4"/>
  <c r="BX221" i="4"/>
  <c r="AL222" i="4"/>
  <c r="BX233" i="4"/>
  <c r="AL234" i="4"/>
  <c r="BX216" i="4"/>
  <c r="AL217" i="4"/>
  <c r="BX228" i="4"/>
  <c r="AL229" i="4"/>
  <c r="BX239" i="4"/>
  <c r="AL240" i="4"/>
  <c r="BX234" i="4"/>
  <c r="AL235" i="4"/>
  <c r="BX211" i="4"/>
  <c r="AL212" i="4"/>
  <c r="BX241" i="4"/>
  <c r="AL242" i="4"/>
  <c r="BX236" i="4"/>
  <c r="AL237" i="4"/>
  <c r="BX243" i="4"/>
  <c r="AL244" i="4"/>
  <c r="BX238" i="4"/>
  <c r="AL239" i="4"/>
  <c r="BX240" i="4"/>
  <c r="AL241" i="4"/>
  <c r="BX235" i="4"/>
  <c r="AL236" i="4"/>
  <c r="BX223" i="4"/>
  <c r="AL224" i="4"/>
  <c r="BX242" i="4"/>
  <c r="AL243" i="4"/>
  <c r="BX237" i="4"/>
  <c r="AL238" i="4"/>
  <c r="BX244" i="4"/>
  <c r="AL245" i="4"/>
  <c r="BL211" i="4"/>
  <c r="Z212" i="4"/>
  <c r="BL223" i="4"/>
  <c r="Z224" i="4"/>
  <c r="BL218" i="4"/>
  <c r="Z219" i="4"/>
  <c r="BL230" i="4"/>
  <c r="Z231" i="4"/>
  <c r="BL213" i="4"/>
  <c r="Z214" i="4"/>
  <c r="BL225" i="4"/>
  <c r="Z226" i="4"/>
  <c r="BL220" i="4"/>
  <c r="Z221" i="4"/>
  <c r="BL232" i="4"/>
  <c r="Z233" i="4"/>
  <c r="BL215" i="4"/>
  <c r="Z216" i="4"/>
  <c r="BL227" i="4"/>
  <c r="Z228" i="4"/>
  <c r="BL210" i="4"/>
  <c r="Z211" i="4"/>
  <c r="BL222" i="4"/>
  <c r="Z223" i="4"/>
  <c r="BL217" i="4"/>
  <c r="Z218" i="4"/>
  <c r="BL229" i="4"/>
  <c r="Z230" i="4"/>
  <c r="BL212" i="4"/>
  <c r="Z213" i="4"/>
  <c r="BL224" i="4"/>
  <c r="Z225" i="4"/>
  <c r="BL219" i="4"/>
  <c r="Z220" i="4"/>
  <c r="BL231" i="4"/>
  <c r="Z232" i="4"/>
  <c r="BL214" i="4"/>
  <c r="Z215" i="4"/>
  <c r="BL226" i="4"/>
  <c r="Z227" i="4"/>
  <c r="BL221" i="4"/>
  <c r="Z222" i="4"/>
  <c r="BL233" i="4"/>
  <c r="Z234" i="4"/>
  <c r="BL244" i="4"/>
  <c r="Z245" i="4"/>
  <c r="BL239" i="4"/>
  <c r="Z240" i="4"/>
  <c r="BL216" i="4"/>
  <c r="Z217" i="4"/>
  <c r="BL234" i="4"/>
  <c r="Z235" i="4"/>
  <c r="BL241" i="4"/>
  <c r="Z242" i="4"/>
  <c r="BL236" i="4"/>
  <c r="Z237" i="4"/>
  <c r="BL243" i="4"/>
  <c r="Z244" i="4"/>
  <c r="BL238" i="4"/>
  <c r="Z239" i="4"/>
  <c r="BL240" i="4"/>
  <c r="Z241" i="4"/>
  <c r="BL228" i="4"/>
  <c r="Z229" i="4"/>
  <c r="BL235" i="4"/>
  <c r="Z236" i="4"/>
  <c r="BL242" i="4"/>
  <c r="Z243" i="4"/>
  <c r="BL237" i="4"/>
  <c r="Z238" i="4"/>
  <c r="BI213" i="4"/>
  <c r="W214" i="4"/>
  <c r="BI225" i="4"/>
  <c r="W226" i="4"/>
  <c r="BI220" i="4"/>
  <c r="W221" i="4"/>
  <c r="BI232" i="4"/>
  <c r="W233" i="4"/>
  <c r="BI215" i="4"/>
  <c r="W216" i="4"/>
  <c r="BI227" i="4"/>
  <c r="W228" i="4"/>
  <c r="BI210" i="4"/>
  <c r="W211" i="4"/>
  <c r="BI222" i="4"/>
  <c r="W223" i="4"/>
  <c r="BI234" i="4"/>
  <c r="W235" i="4"/>
  <c r="BI217" i="4"/>
  <c r="W218" i="4"/>
  <c r="BI229" i="4"/>
  <c r="W230" i="4"/>
  <c r="BI212" i="4"/>
  <c r="W213" i="4"/>
  <c r="BI224" i="4"/>
  <c r="W225" i="4"/>
  <c r="BI219" i="4"/>
  <c r="W220" i="4"/>
  <c r="BI231" i="4"/>
  <c r="W232" i="4"/>
  <c r="BI214" i="4"/>
  <c r="W215" i="4"/>
  <c r="BI226" i="4"/>
  <c r="W227" i="4"/>
  <c r="BI221" i="4"/>
  <c r="W222" i="4"/>
  <c r="BI233" i="4"/>
  <c r="W234" i="4"/>
  <c r="BI216" i="4"/>
  <c r="W217" i="4"/>
  <c r="BI228" i="4"/>
  <c r="W229" i="4"/>
  <c r="BI211" i="4"/>
  <c r="W212" i="4"/>
  <c r="BI223" i="4"/>
  <c r="W224" i="4"/>
  <c r="BI241" i="4"/>
  <c r="W242" i="4"/>
  <c r="BI230" i="4"/>
  <c r="W231" i="4"/>
  <c r="BI236" i="4"/>
  <c r="W237" i="4"/>
  <c r="BI243" i="4"/>
  <c r="W244" i="4"/>
  <c r="BI238" i="4"/>
  <c r="W239" i="4"/>
  <c r="BI240" i="4"/>
  <c r="W241" i="4"/>
  <c r="BI218" i="4"/>
  <c r="W219" i="4"/>
  <c r="BI235" i="4"/>
  <c r="W236" i="4"/>
  <c r="BI242" i="4"/>
  <c r="W243" i="4"/>
  <c r="BI237" i="4"/>
  <c r="W238" i="4"/>
  <c r="BI244" i="4"/>
  <c r="W245" i="4"/>
  <c r="BI239" i="4"/>
  <c r="W240" i="4"/>
  <c r="BW213" i="4"/>
  <c r="AK214" i="4"/>
  <c r="BW225" i="4"/>
  <c r="AK226" i="4"/>
  <c r="BW220" i="4"/>
  <c r="AK221" i="4"/>
  <c r="BW232" i="4"/>
  <c r="AK233" i="4"/>
  <c r="BW215" i="4"/>
  <c r="AK216" i="4"/>
  <c r="BW227" i="4"/>
  <c r="AK228" i="4"/>
  <c r="BW210" i="4"/>
  <c r="AK211" i="4"/>
  <c r="BW222" i="4"/>
  <c r="AK223" i="4"/>
  <c r="BW217" i="4"/>
  <c r="AK218" i="4"/>
  <c r="BW229" i="4"/>
  <c r="AK230" i="4"/>
  <c r="BW212" i="4"/>
  <c r="AK213" i="4"/>
  <c r="BW224" i="4"/>
  <c r="AK225" i="4"/>
  <c r="BW219" i="4"/>
  <c r="AK220" i="4"/>
  <c r="BW231" i="4"/>
  <c r="AK232" i="4"/>
  <c r="BW214" i="4"/>
  <c r="AK215" i="4"/>
  <c r="BW226" i="4"/>
  <c r="AK227" i="4"/>
  <c r="BW221" i="4"/>
  <c r="AK222" i="4"/>
  <c r="BW233" i="4"/>
  <c r="AK234" i="4"/>
  <c r="BW216" i="4"/>
  <c r="AK217" i="4"/>
  <c r="BW228" i="4"/>
  <c r="AK229" i="4"/>
  <c r="BW211" i="4"/>
  <c r="AK212" i="4"/>
  <c r="BW223" i="4"/>
  <c r="AK224" i="4"/>
  <c r="BW234" i="4"/>
  <c r="AK235" i="4"/>
  <c r="BW241" i="4"/>
  <c r="AK242" i="4"/>
  <c r="BW236" i="4"/>
  <c r="AK237" i="4"/>
  <c r="BW230" i="4"/>
  <c r="AK231" i="4"/>
  <c r="BW243" i="4"/>
  <c r="AK244" i="4"/>
  <c r="BW238" i="4"/>
  <c r="AK239" i="4"/>
  <c r="BW240" i="4"/>
  <c r="AK241" i="4"/>
  <c r="BW235" i="4"/>
  <c r="AK236" i="4"/>
  <c r="BW218" i="4"/>
  <c r="AK219" i="4"/>
  <c r="BW242" i="4"/>
  <c r="AK243" i="4"/>
  <c r="BW237" i="4"/>
  <c r="AK238" i="4"/>
  <c r="BW244" i="4"/>
  <c r="AK245" i="4"/>
  <c r="BW239" i="4"/>
  <c r="AK240" i="4"/>
  <c r="BT226" i="4"/>
  <c r="AH227" i="4"/>
  <c r="BT221" i="4"/>
  <c r="AH222" i="4"/>
  <c r="BC219" i="4"/>
  <c r="Q220" i="4"/>
  <c r="BC231" i="4"/>
  <c r="Q232" i="4"/>
  <c r="BC214" i="4"/>
  <c r="Q215" i="4"/>
  <c r="BC226" i="4"/>
  <c r="Q227" i="4"/>
  <c r="BC221" i="4"/>
  <c r="Q222" i="4"/>
  <c r="BC233" i="4"/>
  <c r="Q234" i="4"/>
  <c r="BC216" i="4"/>
  <c r="Q217" i="4"/>
  <c r="BC228" i="4"/>
  <c r="Q229" i="4"/>
  <c r="BC211" i="4"/>
  <c r="Q212" i="4"/>
  <c r="BC223" i="4"/>
  <c r="Q224" i="4"/>
  <c r="BC218" i="4"/>
  <c r="Q219" i="4"/>
  <c r="BC230" i="4"/>
  <c r="Q231" i="4"/>
  <c r="BC213" i="4"/>
  <c r="Q214" i="4"/>
  <c r="BC225" i="4"/>
  <c r="Q226" i="4"/>
  <c r="BC220" i="4"/>
  <c r="Q221" i="4"/>
  <c r="BC232" i="4"/>
  <c r="Q233" i="4"/>
  <c r="BC215" i="4"/>
  <c r="Q216" i="4"/>
  <c r="BC227" i="4"/>
  <c r="Q228" i="4"/>
  <c r="BC210" i="4"/>
  <c r="Q211" i="4"/>
  <c r="BC222" i="4"/>
  <c r="Q223" i="4"/>
  <c r="BC234" i="4"/>
  <c r="Q235" i="4"/>
  <c r="BC217" i="4"/>
  <c r="Q218" i="4"/>
  <c r="BC229" i="4"/>
  <c r="Q230" i="4"/>
  <c r="BC240" i="4"/>
  <c r="Q241" i="4"/>
  <c r="BC235" i="4"/>
  <c r="Q236" i="4"/>
  <c r="BC242" i="4"/>
  <c r="Q243" i="4"/>
  <c r="BC212" i="4"/>
  <c r="Q213" i="4"/>
  <c r="BC237" i="4"/>
  <c r="Q238" i="4"/>
  <c r="BC244" i="4"/>
  <c r="Q245" i="4"/>
  <c r="BC239" i="4"/>
  <c r="Q240" i="4"/>
  <c r="BC241" i="4"/>
  <c r="Q242" i="4"/>
  <c r="BC236" i="4"/>
  <c r="Q237" i="4"/>
  <c r="BC243" i="4"/>
  <c r="Q244" i="4"/>
  <c r="BC224" i="4"/>
  <c r="Q225" i="4"/>
  <c r="BC238" i="4"/>
  <c r="Q239" i="4"/>
  <c r="BM216" i="4"/>
  <c r="AA217" i="4"/>
  <c r="BM228" i="4"/>
  <c r="AA229" i="4"/>
  <c r="BM211" i="4"/>
  <c r="AA212" i="4"/>
  <c r="BM223" i="4"/>
  <c r="AA224" i="4"/>
  <c r="BM218" i="4"/>
  <c r="AA219" i="4"/>
  <c r="BM230" i="4"/>
  <c r="AA231" i="4"/>
  <c r="BM213" i="4"/>
  <c r="AA214" i="4"/>
  <c r="BM225" i="4"/>
  <c r="AA226" i="4"/>
  <c r="BM220" i="4"/>
  <c r="AA221" i="4"/>
  <c r="BM232" i="4"/>
  <c r="AA233" i="4"/>
  <c r="BM215" i="4"/>
  <c r="AA216" i="4"/>
  <c r="BM227" i="4"/>
  <c r="AA228" i="4"/>
  <c r="BM210" i="4"/>
  <c r="AA211" i="4"/>
  <c r="BM222" i="4"/>
  <c r="AA223" i="4"/>
  <c r="BM217" i="4"/>
  <c r="AA218" i="4"/>
  <c r="BM229" i="4"/>
  <c r="AA230" i="4"/>
  <c r="BM212" i="4"/>
  <c r="AA213" i="4"/>
  <c r="BM224" i="4"/>
  <c r="AA225" i="4"/>
  <c r="BM219" i="4"/>
  <c r="AA220" i="4"/>
  <c r="BM231" i="4"/>
  <c r="AA232" i="4"/>
  <c r="BM214" i="4"/>
  <c r="AA215" i="4"/>
  <c r="BM226" i="4"/>
  <c r="AA227" i="4"/>
  <c r="BM237" i="4"/>
  <c r="AA238" i="4"/>
  <c r="BM244" i="4"/>
  <c r="AA245" i="4"/>
  <c r="BM239" i="4"/>
  <c r="AA240" i="4"/>
  <c r="BM221" i="4"/>
  <c r="AA222" i="4"/>
  <c r="BM234" i="4"/>
  <c r="AA235" i="4"/>
  <c r="BM241" i="4"/>
  <c r="AA242" i="4"/>
  <c r="BM236" i="4"/>
  <c r="AA237" i="4"/>
  <c r="BM243" i="4"/>
  <c r="AA244" i="4"/>
  <c r="BM238" i="4"/>
  <c r="AA239" i="4"/>
  <c r="BM240" i="4"/>
  <c r="AA241" i="4"/>
  <c r="BM233" i="4"/>
  <c r="AA234" i="4"/>
  <c r="BM235" i="4"/>
  <c r="AA236" i="4"/>
  <c r="BM242" i="4"/>
  <c r="AA243" i="4"/>
  <c r="AU210" i="4"/>
  <c r="I211" i="4"/>
  <c r="AU212" i="4"/>
  <c r="I213" i="4"/>
  <c r="AU211" i="4"/>
  <c r="I212" i="4"/>
  <c r="AU213" i="4"/>
  <c r="I214" i="4"/>
  <c r="BV220" i="4"/>
  <c r="AJ221" i="4"/>
  <c r="BV232" i="4"/>
  <c r="AJ233" i="4"/>
  <c r="BV215" i="4"/>
  <c r="AJ216" i="4"/>
  <c r="BV227" i="4"/>
  <c r="AJ228" i="4"/>
  <c r="BV210" i="4"/>
  <c r="AJ211" i="4"/>
  <c r="BV222" i="4"/>
  <c r="AJ223" i="4"/>
  <c r="BV217" i="4"/>
  <c r="AJ218" i="4"/>
  <c r="BV229" i="4"/>
  <c r="AJ230" i="4"/>
  <c r="BV212" i="4"/>
  <c r="AJ213" i="4"/>
  <c r="BV224" i="4"/>
  <c r="AJ225" i="4"/>
  <c r="BV219" i="4"/>
  <c r="AJ220" i="4"/>
  <c r="BV231" i="4"/>
  <c r="AJ232" i="4"/>
  <c r="BV214" i="4"/>
  <c r="AJ215" i="4"/>
  <c r="BV226" i="4"/>
  <c r="AJ227" i="4"/>
  <c r="BV221" i="4"/>
  <c r="AJ222" i="4"/>
  <c r="BV233" i="4"/>
  <c r="AJ234" i="4"/>
  <c r="BV216" i="4"/>
  <c r="AJ217" i="4"/>
  <c r="BV228" i="4"/>
  <c r="AJ229" i="4"/>
  <c r="BV211" i="4"/>
  <c r="AJ212" i="4"/>
  <c r="BV223" i="4"/>
  <c r="AJ224" i="4"/>
  <c r="BV218" i="4"/>
  <c r="AJ219" i="4"/>
  <c r="BV230" i="4"/>
  <c r="AJ231" i="4"/>
  <c r="BV241" i="4"/>
  <c r="AJ242" i="4"/>
  <c r="BV236" i="4"/>
  <c r="AJ237" i="4"/>
  <c r="BV225" i="4"/>
  <c r="AJ226" i="4"/>
  <c r="BV243" i="4"/>
  <c r="AJ244" i="4"/>
  <c r="BV238" i="4"/>
  <c r="AJ239" i="4"/>
  <c r="BV240" i="4"/>
  <c r="AJ241" i="4"/>
  <c r="BV235" i="4"/>
  <c r="AJ236" i="4"/>
  <c r="BV213" i="4"/>
  <c r="AJ214" i="4"/>
  <c r="BV242" i="4"/>
  <c r="AJ243" i="4"/>
  <c r="BV237" i="4"/>
  <c r="AJ238" i="4"/>
  <c r="BV244" i="4"/>
  <c r="AJ245" i="4"/>
  <c r="BV239" i="4"/>
  <c r="AJ240" i="4"/>
  <c r="BV234" i="4"/>
  <c r="AJ235" i="4"/>
  <c r="BT232" i="4"/>
  <c r="AH233" i="4"/>
  <c r="BT217" i="4"/>
  <c r="AH218" i="4"/>
  <c r="BJ218" i="4"/>
  <c r="X219" i="4"/>
  <c r="BT222" i="4"/>
  <c r="AH223" i="4"/>
  <c r="BT234" i="4"/>
  <c r="AH235" i="4"/>
  <c r="BT213" i="4"/>
  <c r="AH214" i="4"/>
  <c r="BT230" i="4"/>
  <c r="AH231" i="4"/>
  <c r="BJ228" i="4"/>
  <c r="X229" i="4"/>
  <c r="BJ217" i="4"/>
  <c r="X218" i="4"/>
  <c r="BJ226" i="4"/>
  <c r="X227" i="4"/>
  <c r="BJ227" i="4"/>
  <c r="X228" i="4"/>
  <c r="BJ216" i="4"/>
  <c r="X217" i="4"/>
  <c r="BJ222" i="4"/>
  <c r="X223" i="4"/>
  <c r="BJ221" i="4"/>
  <c r="X222" i="4"/>
  <c r="BJ210" i="4"/>
  <c r="X211" i="4"/>
  <c r="BJ214" i="4"/>
  <c r="X215" i="4"/>
  <c r="BJ219" i="4"/>
  <c r="X220" i="4"/>
  <c r="BJ220" i="4"/>
  <c r="X221" i="4"/>
  <c r="BJ215" i="4"/>
  <c r="X216" i="4"/>
  <c r="BJ223" i="4"/>
  <c r="X224" i="4"/>
  <c r="BJ224" i="4"/>
  <c r="X225" i="4"/>
  <c r="BJ225" i="4"/>
  <c r="X226" i="4"/>
  <c r="BJ211" i="4"/>
  <c r="X212" i="4"/>
  <c r="BJ212" i="4"/>
  <c r="X213" i="4"/>
  <c r="BE222" i="4"/>
  <c r="S223" i="4"/>
  <c r="BE215" i="4"/>
  <c r="S216" i="4"/>
  <c r="BE221" i="4"/>
  <c r="S222" i="4"/>
  <c r="BE214" i="4"/>
  <c r="S215" i="4"/>
  <c r="BE211" i="4"/>
  <c r="S212" i="4"/>
  <c r="BE210" i="4"/>
  <c r="S211" i="4"/>
  <c r="BE216" i="4"/>
  <c r="S217" i="4"/>
  <c r="BE220" i="4"/>
  <c r="S221" i="4"/>
  <c r="BE219" i="4"/>
  <c r="S220" i="4"/>
  <c r="BE213" i="4"/>
  <c r="S214" i="4"/>
  <c r="BE212" i="4"/>
  <c r="S213" i="4"/>
  <c r="BE218" i="4"/>
  <c r="S219" i="4"/>
  <c r="BE217" i="4"/>
  <c r="S218" i="4"/>
  <c r="BG213" i="4"/>
  <c r="U214" i="4"/>
  <c r="BH219" i="4"/>
  <c r="V220" i="4"/>
  <c r="BH216" i="4"/>
  <c r="V217" i="4"/>
  <c r="BH221" i="4"/>
  <c r="V222" i="4"/>
  <c r="BG210" i="4"/>
  <c r="U211" i="4"/>
  <c r="BG219" i="4"/>
  <c r="U220" i="4"/>
  <c r="BG224" i="4"/>
  <c r="U225" i="4"/>
  <c r="BG212" i="4"/>
  <c r="U213" i="4"/>
  <c r="BG220" i="4"/>
  <c r="U221" i="4"/>
  <c r="BG217" i="4"/>
  <c r="U218" i="4"/>
  <c r="BG225" i="4"/>
  <c r="U226" i="4"/>
  <c r="BG222" i="4"/>
  <c r="U223" i="4"/>
  <c r="BG218" i="4"/>
  <c r="U219" i="4"/>
  <c r="BG215" i="4"/>
  <c r="U216" i="4"/>
  <c r="BG223" i="4"/>
  <c r="U224" i="4"/>
  <c r="BG211" i="4"/>
  <c r="U212" i="4"/>
  <c r="BG216" i="4"/>
  <c r="U217" i="4"/>
  <c r="BG221" i="4"/>
  <c r="U222" i="4"/>
  <c r="BH218" i="4"/>
  <c r="V219" i="4"/>
  <c r="BH223" i="4"/>
  <c r="V224" i="4"/>
  <c r="BH224" i="4"/>
  <c r="V225" i="4"/>
  <c r="BH212" i="4"/>
  <c r="V213" i="4"/>
  <c r="BH222" i="4"/>
  <c r="V223" i="4"/>
  <c r="BH210" i="4"/>
  <c r="V211" i="4"/>
  <c r="BH225" i="4"/>
  <c r="V226" i="4"/>
  <c r="BT237" i="4"/>
  <c r="AH238" i="4"/>
  <c r="BT218" i="4"/>
  <c r="AH219" i="4"/>
  <c r="BT214" i="4"/>
  <c r="AH215" i="4"/>
  <c r="BT210" i="4"/>
  <c r="AH211" i="4"/>
  <c r="BF214" i="4"/>
  <c r="T215" i="4"/>
  <c r="BT235" i="4"/>
  <c r="AH236" i="4"/>
  <c r="BT223" i="4"/>
  <c r="AH224" i="4"/>
  <c r="BT231" i="4"/>
  <c r="AH232" i="4"/>
  <c r="BT227" i="4"/>
  <c r="AH228" i="4"/>
  <c r="BF212" i="4"/>
  <c r="T213" i="4"/>
  <c r="BT238" i="4"/>
  <c r="AH239" i="4"/>
  <c r="BT211" i="4"/>
  <c r="AH212" i="4"/>
  <c r="BT219" i="4"/>
  <c r="AH220" i="4"/>
  <c r="BT215" i="4"/>
  <c r="AH216" i="4"/>
  <c r="BT220" i="4"/>
  <c r="AH221" i="4"/>
  <c r="BT228" i="4"/>
  <c r="AH229" i="4"/>
  <c r="BT224" i="4"/>
  <c r="AH225" i="4"/>
  <c r="BT236" i="4"/>
  <c r="AH237" i="4"/>
  <c r="BT216" i="4"/>
  <c r="AH217" i="4"/>
  <c r="BT212" i="4"/>
  <c r="AH213" i="4"/>
  <c r="AX215" i="4"/>
  <c r="L216" i="4"/>
  <c r="BT225" i="4"/>
  <c r="AH226" i="4"/>
  <c r="BT233" i="4"/>
  <c r="AH234" i="4"/>
  <c r="AX216" i="4"/>
  <c r="L217" i="4"/>
  <c r="AX214" i="4"/>
  <c r="L215" i="4"/>
  <c r="AX212" i="4"/>
  <c r="L213" i="4"/>
  <c r="AX210" i="4"/>
  <c r="L211" i="4"/>
  <c r="AX213" i="4"/>
  <c r="L214" i="4"/>
  <c r="BP216" i="4"/>
  <c r="AD217" i="4"/>
  <c r="AW213" i="4"/>
  <c r="K214" i="4"/>
  <c r="BP227" i="4"/>
  <c r="AD228" i="4"/>
  <c r="BP212" i="4"/>
  <c r="AD213" i="4"/>
  <c r="BP223" i="4"/>
  <c r="AD224" i="4"/>
  <c r="AW214" i="4"/>
  <c r="K215" i="4"/>
  <c r="AW215" i="4"/>
  <c r="K216" i="4"/>
  <c r="AW210" i="4"/>
  <c r="K211" i="4"/>
  <c r="BH211" i="4"/>
  <c r="V212" i="4"/>
  <c r="BH217" i="4"/>
  <c r="V218" i="4"/>
  <c r="BH226" i="4"/>
  <c r="V227" i="4"/>
  <c r="BH215" i="4"/>
  <c r="V216" i="4"/>
  <c r="BH213" i="4"/>
  <c r="V214" i="4"/>
  <c r="BH214" i="4"/>
  <c r="V215" i="4"/>
  <c r="BP220" i="4"/>
  <c r="AD221" i="4"/>
  <c r="AW211" i="4"/>
  <c r="K212" i="4"/>
  <c r="BP231" i="4"/>
  <c r="AD232" i="4"/>
  <c r="BF215" i="4"/>
  <c r="T216" i="4"/>
  <c r="BF218" i="4"/>
  <c r="T219" i="4"/>
  <c r="BP224" i="4"/>
  <c r="AD225" i="4"/>
  <c r="BP215" i="4"/>
  <c r="AD216" i="4"/>
  <c r="BP211" i="4"/>
  <c r="AD212" i="4"/>
  <c r="BP219" i="4"/>
  <c r="AD220" i="4"/>
  <c r="BF220" i="4"/>
  <c r="T221" i="4"/>
  <c r="BF219" i="4"/>
  <c r="T220" i="4"/>
  <c r="BP234" i="4"/>
  <c r="AD235" i="4"/>
  <c r="BP232" i="4"/>
  <c r="AD233" i="4"/>
  <c r="BP228" i="4"/>
  <c r="AD229" i="4"/>
  <c r="BF213" i="4"/>
  <c r="T214" i="4"/>
  <c r="BF224" i="4"/>
  <c r="T225" i="4"/>
  <c r="BP229" i="4"/>
  <c r="AD230" i="4"/>
  <c r="BP225" i="4"/>
  <c r="AD226" i="4"/>
  <c r="BP233" i="4"/>
  <c r="AD234" i="4"/>
  <c r="BF223" i="4"/>
  <c r="T224" i="4"/>
  <c r="BF217" i="4"/>
  <c r="T218" i="4"/>
  <c r="BP217" i="4"/>
  <c r="AD218" i="4"/>
  <c r="BP213" i="4"/>
  <c r="AD214" i="4"/>
  <c r="BP221" i="4"/>
  <c r="AD222" i="4"/>
  <c r="BF211" i="4"/>
  <c r="T212" i="4"/>
  <c r="BF222" i="4"/>
  <c r="T223" i="4"/>
  <c r="BP222" i="4"/>
  <c r="AD223" i="4"/>
  <c r="BP230" i="4"/>
  <c r="AD231" i="4"/>
  <c r="BP226" i="4"/>
  <c r="AD227" i="4"/>
  <c r="BF216" i="4"/>
  <c r="T217" i="4"/>
  <c r="BF210" i="4"/>
  <c r="T211" i="4"/>
  <c r="BP210" i="4"/>
  <c r="AD211" i="4"/>
  <c r="BP218" i="4"/>
  <c r="AD219" i="4"/>
  <c r="BJ230" i="4"/>
  <c r="X231" i="4"/>
  <c r="BT239" i="4"/>
  <c r="AH240" i="4"/>
  <c r="BJ229" i="4"/>
  <c r="AZ221" i="4"/>
  <c r="N222" i="4"/>
  <c r="AZ220" i="4"/>
  <c r="BH227" i="4"/>
  <c r="AX217" i="4"/>
  <c r="AX218" i="4"/>
  <c r="L219" i="4"/>
  <c r="BQ236" i="4"/>
  <c r="AE237" i="4"/>
  <c r="AW216" i="4"/>
  <c r="BQ237" i="4"/>
  <c r="AE238" i="4"/>
  <c r="BE224" i="4"/>
  <c r="BO234" i="4"/>
  <c r="BO235" i="4"/>
  <c r="AC236" i="4"/>
  <c r="AU214" i="4"/>
  <c r="BG226" i="4"/>
  <c r="BG227" i="4"/>
  <c r="U228" i="4"/>
  <c r="BR237" i="4"/>
  <c r="AF238" i="4"/>
  <c r="BF225" i="4"/>
  <c r="BF226" i="4"/>
  <c r="T227" i="4"/>
  <c r="AV215" i="4"/>
  <c r="BP235" i="4"/>
  <c r="AD236" i="4"/>
  <c r="F14" i="6"/>
  <c r="F13" i="6"/>
  <c r="F12" i="6"/>
  <c r="F11" i="6"/>
  <c r="D11" i="6"/>
  <c r="BP236" i="4"/>
  <c r="AD237" i="4"/>
  <c r="AZ222" i="4"/>
  <c r="N223" i="4"/>
  <c r="N221" i="4"/>
  <c r="X230" i="4"/>
  <c r="AZ223" i="4"/>
  <c r="N224" i="4"/>
  <c r="BT240" i="4"/>
  <c r="BJ231" i="4"/>
  <c r="AX219" i="4"/>
  <c r="AX220" i="4"/>
  <c r="L221" i="4"/>
  <c r="AX221" i="4"/>
  <c r="L222" i="4"/>
  <c r="V228" i="4"/>
  <c r="BH228" i="4"/>
  <c r="L218" i="4"/>
  <c r="AX222" i="4"/>
  <c r="L223" i="4"/>
  <c r="K217" i="4"/>
  <c r="BQ238" i="4"/>
  <c r="AE239" i="4"/>
  <c r="BQ239" i="4"/>
  <c r="AE240" i="4"/>
  <c r="AW217" i="4"/>
  <c r="I215" i="4"/>
  <c r="S225" i="4"/>
  <c r="AC235" i="4"/>
  <c r="AU215" i="4"/>
  <c r="AU216" i="4"/>
  <c r="I217" i="4"/>
  <c r="BE225" i="4"/>
  <c r="BO236" i="4"/>
  <c r="AC237" i="4"/>
  <c r="BG228" i="4"/>
  <c r="U227" i="4"/>
  <c r="BR238" i="4"/>
  <c r="J216" i="4"/>
  <c r="AV216" i="4"/>
  <c r="J217" i="4"/>
  <c r="T226" i="4"/>
  <c r="BF227" i="4"/>
  <c r="T228" i="4"/>
  <c r="AV217" i="4"/>
  <c r="J218" i="4"/>
  <c r="BP237" i="4"/>
  <c r="BO237" i="4"/>
  <c r="X232" i="4"/>
  <c r="AH241" i="4"/>
  <c r="BT241" i="4"/>
  <c r="AH242" i="4"/>
  <c r="BT242" i="4"/>
  <c r="AH243" i="4"/>
  <c r="BJ232" i="4"/>
  <c r="X233" i="4"/>
  <c r="AZ226" i="4"/>
  <c r="N227" i="4"/>
  <c r="BJ233" i="4"/>
  <c r="X234" i="4"/>
  <c r="AZ224" i="4"/>
  <c r="AZ225" i="4"/>
  <c r="N226" i="4"/>
  <c r="V229" i="4"/>
  <c r="BH229" i="4"/>
  <c r="L220" i="4"/>
  <c r="AX223" i="4"/>
  <c r="L224" i="4"/>
  <c r="K218" i="4"/>
  <c r="AW218" i="4"/>
  <c r="BQ240" i="4"/>
  <c r="BQ241" i="4"/>
  <c r="AE242" i="4"/>
  <c r="S226" i="4"/>
  <c r="I216" i="4"/>
  <c r="BE226" i="4"/>
  <c r="AU217" i="4"/>
  <c r="U229" i="4"/>
  <c r="AF239" i="4"/>
  <c r="BR239" i="4"/>
  <c r="AF240" i="4"/>
  <c r="BR240" i="4"/>
  <c r="AF241" i="4"/>
  <c r="BG229" i="4"/>
  <c r="BF228" i="4"/>
  <c r="T229" i="4"/>
  <c r="AV218" i="4"/>
  <c r="AD238" i="4"/>
  <c r="BP238" i="4"/>
  <c r="G4" i="2"/>
  <c r="AC238" i="4"/>
  <c r="BO238" i="4"/>
  <c r="BT243" i="4"/>
  <c r="AH244" i="4"/>
  <c r="BT244" i="4"/>
  <c r="AH245" i="4"/>
  <c r="N225" i="4"/>
  <c r="AZ228" i="4"/>
  <c r="N229" i="4"/>
  <c r="AZ227" i="4"/>
  <c r="BJ234" i="4"/>
  <c r="BR241" i="4"/>
  <c r="AF242" i="4"/>
  <c r="V230" i="4"/>
  <c r="BH230" i="4"/>
  <c r="AX224" i="4"/>
  <c r="BH231" i="4"/>
  <c r="V232" i="4"/>
  <c r="K219" i="4"/>
  <c r="AW220" i="4"/>
  <c r="K221" i="4"/>
  <c r="AW219" i="4"/>
  <c r="AE241" i="4"/>
  <c r="BQ242" i="4"/>
  <c r="AE243" i="4"/>
  <c r="I218" i="4"/>
  <c r="S227" i="4"/>
  <c r="AU218" i="4"/>
  <c r="BE227" i="4"/>
  <c r="U230" i="4"/>
  <c r="BG230" i="4"/>
  <c r="BR242" i="4"/>
  <c r="AF243" i="4"/>
  <c r="BF229" i="4"/>
  <c r="AD239" i="4"/>
  <c r="J219" i="4"/>
  <c r="AV219" i="4"/>
  <c r="BP239" i="4"/>
  <c r="O155" i="1"/>
  <c r="G3" i="9"/>
  <c r="G19" i="9"/>
  <c r="G29" i="9"/>
  <c r="G38" i="9"/>
  <c r="H4" i="2"/>
  <c r="I7" i="6"/>
  <c r="AC239" i="4"/>
  <c r="BO239" i="4"/>
  <c r="X235" i="4"/>
  <c r="BJ235" i="4"/>
  <c r="N228" i="4"/>
  <c r="AZ229" i="4"/>
  <c r="N230" i="4"/>
  <c r="BR243" i="4"/>
  <c r="AF244" i="4"/>
  <c r="V231" i="4"/>
  <c r="BH232" i="4"/>
  <c r="L225" i="4"/>
  <c r="AX225" i="4"/>
  <c r="K220" i="4"/>
  <c r="AW221" i="4"/>
  <c r="BQ243" i="4"/>
  <c r="I219" i="4"/>
  <c r="AU219" i="4"/>
  <c r="S228" i="4"/>
  <c r="BE228" i="4"/>
  <c r="BR244" i="4"/>
  <c r="AF245" i="4"/>
  <c r="U231" i="4"/>
  <c r="BG231" i="4"/>
  <c r="BG232" i="4"/>
  <c r="T230" i="4"/>
  <c r="BF230" i="4"/>
  <c r="AD240" i="4"/>
  <c r="BP240" i="4"/>
  <c r="J220" i="4"/>
  <c r="AV220" i="4"/>
  <c r="AV221" i="4"/>
  <c r="J222" i="4"/>
  <c r="P155" i="1"/>
  <c r="H3" i="9"/>
  <c r="H19" i="9"/>
  <c r="H29" i="9"/>
  <c r="H38" i="9"/>
  <c r="I4" i="2"/>
  <c r="J7" i="6"/>
  <c r="AC240" i="4"/>
  <c r="BO240" i="4"/>
  <c r="X236" i="4"/>
  <c r="AZ230" i="4"/>
  <c r="BJ236" i="4"/>
  <c r="L226" i="4"/>
  <c r="AX226" i="4"/>
  <c r="AX227" i="4"/>
  <c r="L228" i="4"/>
  <c r="V233" i="4"/>
  <c r="BH233" i="4"/>
  <c r="AW222" i="4"/>
  <c r="AE244" i="4"/>
  <c r="BQ244" i="4"/>
  <c r="AE245" i="4"/>
  <c r="K222" i="4"/>
  <c r="I220" i="4"/>
  <c r="AU220" i="4"/>
  <c r="S229" i="4"/>
  <c r="BE229" i="4"/>
  <c r="BE230" i="4"/>
  <c r="S231" i="4"/>
  <c r="U233" i="4"/>
  <c r="BG233" i="4"/>
  <c r="U234" i="4"/>
  <c r="U232" i="4"/>
  <c r="BG234" i="4"/>
  <c r="U235" i="4"/>
  <c r="T231" i="4"/>
  <c r="BF231" i="4"/>
  <c r="AV222" i="4"/>
  <c r="J223" i="4"/>
  <c r="J221" i="4"/>
  <c r="AD241" i="4"/>
  <c r="BP241" i="4"/>
  <c r="Q155" i="1"/>
  <c r="I3" i="9"/>
  <c r="I19" i="9"/>
  <c r="I29" i="9"/>
  <c r="I38" i="9"/>
  <c r="J4" i="2"/>
  <c r="K7" i="6"/>
  <c r="AC241" i="4"/>
  <c r="BO241" i="4"/>
  <c r="N231" i="4"/>
  <c r="AZ231" i="4"/>
  <c r="X237" i="4"/>
  <c r="BJ237" i="4"/>
  <c r="AX228" i="4"/>
  <c r="L229" i="4"/>
  <c r="L227" i="4"/>
  <c r="AX229" i="4"/>
  <c r="V234" i="4"/>
  <c r="BH234" i="4"/>
  <c r="K223" i="4"/>
  <c r="AW223" i="4"/>
  <c r="I221" i="4"/>
  <c r="AU221" i="4"/>
  <c r="S230" i="4"/>
  <c r="BE231" i="4"/>
  <c r="BG235" i="4"/>
  <c r="AV223" i="4"/>
  <c r="T232" i="4"/>
  <c r="BF232" i="4"/>
  <c r="AD242" i="4"/>
  <c r="BP242" i="4"/>
  <c r="R155" i="1"/>
  <c r="J3" i="9"/>
  <c r="J19" i="9"/>
  <c r="J29" i="9"/>
  <c r="J38" i="9"/>
  <c r="K4" i="2"/>
  <c r="L7" i="6"/>
  <c r="AC242" i="4"/>
  <c r="BO242" i="4"/>
  <c r="AC243" i="4"/>
  <c r="X238" i="4"/>
  <c r="BJ238" i="4"/>
  <c r="X239" i="4"/>
  <c r="BJ239" i="4"/>
  <c r="N232" i="4"/>
  <c r="AZ232" i="4"/>
  <c r="V235" i="4"/>
  <c r="BH235" i="4"/>
  <c r="L230" i="4"/>
  <c r="AX230" i="4"/>
  <c r="K224" i="4"/>
  <c r="AW224" i="4"/>
  <c r="I222" i="4"/>
  <c r="AU222" i="4"/>
  <c r="S232" i="4"/>
  <c r="BE232" i="4"/>
  <c r="S233" i="4"/>
  <c r="U236" i="4"/>
  <c r="BG236" i="4"/>
  <c r="T233" i="4"/>
  <c r="BF233" i="4"/>
  <c r="J224" i="4"/>
  <c r="AV224" i="4"/>
  <c r="AD243" i="4"/>
  <c r="BP243" i="4"/>
  <c r="F11" i="2"/>
  <c r="S155" i="1"/>
  <c r="K3" i="9"/>
  <c r="K19" i="9"/>
  <c r="K29" i="9"/>
  <c r="K38" i="9"/>
  <c r="L4" i="2"/>
  <c r="M7" i="6"/>
  <c r="BO243" i="4"/>
  <c r="AC244" i="4"/>
  <c r="BO244" i="4"/>
  <c r="AC245" i="4"/>
  <c r="N233" i="4"/>
  <c r="AZ233" i="4"/>
  <c r="X240" i="4"/>
  <c r="BJ240" i="4"/>
  <c r="L231" i="4"/>
  <c r="AX231" i="4"/>
  <c r="V236" i="4"/>
  <c r="BH236" i="4"/>
  <c r="K225" i="4"/>
  <c r="AW225" i="4"/>
  <c r="I223" i="4"/>
  <c r="AU223" i="4"/>
  <c r="BE233" i="4"/>
  <c r="U237" i="4"/>
  <c r="BG237" i="4"/>
  <c r="J225" i="4"/>
  <c r="AV225" i="4"/>
  <c r="AV226" i="4"/>
  <c r="J227" i="4"/>
  <c r="T234" i="4"/>
  <c r="BF234" i="4"/>
  <c r="BF235" i="4"/>
  <c r="T236" i="4"/>
  <c r="AD244" i="4"/>
  <c r="BP244" i="4"/>
  <c r="AD245" i="4"/>
  <c r="T155" i="1"/>
  <c r="L3" i="9"/>
  <c r="L19" i="9"/>
  <c r="L29" i="9"/>
  <c r="L38" i="9"/>
  <c r="M4" i="2"/>
  <c r="N7" i="6"/>
  <c r="X241" i="4"/>
  <c r="BJ241" i="4"/>
  <c r="N234" i="4"/>
  <c r="AZ234" i="4"/>
  <c r="V237" i="4"/>
  <c r="BH237" i="4"/>
  <c r="L232" i="4"/>
  <c r="AX232" i="4"/>
  <c r="K226" i="4"/>
  <c r="AW226" i="4"/>
  <c r="S234" i="4"/>
  <c r="BE234" i="4"/>
  <c r="I224" i="4"/>
  <c r="AU224" i="4"/>
  <c r="U238" i="4"/>
  <c r="BG238" i="4"/>
  <c r="T235" i="4"/>
  <c r="BF236" i="4"/>
  <c r="J226" i="4"/>
  <c r="AV227" i="4"/>
  <c r="J228" i="4"/>
  <c r="U155" i="1"/>
  <c r="M3" i="9"/>
  <c r="M19" i="9"/>
  <c r="M29" i="9"/>
  <c r="M38" i="9"/>
  <c r="N4" i="2"/>
  <c r="O7" i="6"/>
  <c r="AV228" i="4"/>
  <c r="J229" i="4"/>
  <c r="N235" i="4"/>
  <c r="AZ235" i="4"/>
  <c r="X242" i="4"/>
  <c r="BJ242" i="4"/>
  <c r="L233" i="4"/>
  <c r="AX233" i="4"/>
  <c r="V238" i="4"/>
  <c r="BH238" i="4"/>
  <c r="K227" i="4"/>
  <c r="AW227" i="4"/>
  <c r="I225" i="4"/>
  <c r="AU225" i="4"/>
  <c r="S235" i="4"/>
  <c r="BE235" i="4"/>
  <c r="U239" i="4"/>
  <c r="BG239" i="4"/>
  <c r="AV229" i="4"/>
  <c r="AV230" i="4"/>
  <c r="J231" i="4"/>
  <c r="BF237" i="4"/>
  <c r="T237" i="4"/>
  <c r="V155" i="1"/>
  <c r="N3" i="9"/>
  <c r="N19" i="9"/>
  <c r="N29" i="9"/>
  <c r="N38" i="9"/>
  <c r="O4" i="2"/>
  <c r="P7" i="6"/>
  <c r="X243" i="4"/>
  <c r="BJ243" i="4"/>
  <c r="N236" i="4"/>
  <c r="AZ236" i="4"/>
  <c r="V239" i="4"/>
  <c r="BH239" i="4"/>
  <c r="L234" i="4"/>
  <c r="AX234" i="4"/>
  <c r="K228" i="4"/>
  <c r="AW228" i="4"/>
  <c r="S236" i="4"/>
  <c r="BE236" i="4"/>
  <c r="I226" i="4"/>
  <c r="AU226" i="4"/>
  <c r="U240" i="4"/>
  <c r="BG240" i="4"/>
  <c r="T238" i="4"/>
  <c r="BF238" i="4"/>
  <c r="J230" i="4"/>
  <c r="AV231" i="4"/>
  <c r="W155" i="1"/>
  <c r="O3" i="9"/>
  <c r="O19" i="9"/>
  <c r="O29" i="9"/>
  <c r="O38" i="9"/>
  <c r="P4" i="2"/>
  <c r="Q7" i="6"/>
  <c r="N237" i="4"/>
  <c r="AZ237" i="4"/>
  <c r="X244" i="4"/>
  <c r="BJ244" i="4"/>
  <c r="X245" i="4"/>
  <c r="L235" i="4"/>
  <c r="AX235" i="4"/>
  <c r="V240" i="4"/>
  <c r="BH240" i="4"/>
  <c r="K229" i="4"/>
  <c r="AW229" i="4"/>
  <c r="I227" i="4"/>
  <c r="AU227" i="4"/>
  <c r="S237" i="4"/>
  <c r="BE237" i="4"/>
  <c r="U241" i="4"/>
  <c r="BG241" i="4"/>
  <c r="AV232" i="4"/>
  <c r="J232" i="4"/>
  <c r="BF239" i="4"/>
  <c r="T239" i="4"/>
  <c r="F45" i="4"/>
  <c r="E45" i="4"/>
  <c r="F51" i="4"/>
  <c r="E51" i="4"/>
  <c r="F70" i="4"/>
  <c r="E70" i="4"/>
  <c r="E44" i="4"/>
  <c r="F76" i="4"/>
  <c r="E76" i="4"/>
  <c r="F73" i="4"/>
  <c r="E73" i="4"/>
  <c r="F53" i="4"/>
  <c r="E53" i="4"/>
  <c r="E49" i="4"/>
  <c r="F71" i="4"/>
  <c r="E71" i="4"/>
  <c r="F62" i="4"/>
  <c r="E62" i="4"/>
  <c r="F54" i="4"/>
  <c r="E54" i="4"/>
  <c r="F74" i="4"/>
  <c r="E74" i="4"/>
  <c r="F59" i="4"/>
  <c r="E59" i="4"/>
  <c r="F50" i="4"/>
  <c r="E50" i="4"/>
  <c r="F52" i="4"/>
  <c r="E52" i="4"/>
  <c r="F60" i="4"/>
  <c r="E60" i="4"/>
  <c r="F43" i="4"/>
  <c r="E43" i="4"/>
  <c r="F57" i="4"/>
  <c r="E57" i="4"/>
  <c r="F77" i="4"/>
  <c r="E77" i="4"/>
  <c r="F46" i="4"/>
  <c r="E46" i="4"/>
  <c r="F68" i="4"/>
  <c r="E68" i="4"/>
  <c r="F66" i="4"/>
  <c r="E66" i="4"/>
  <c r="F64" i="4"/>
  <c r="E64" i="4"/>
  <c r="F56" i="4"/>
  <c r="E56" i="4"/>
  <c r="F69" i="4"/>
  <c r="E69" i="4"/>
  <c r="F58" i="4"/>
  <c r="E58" i="4"/>
  <c r="F61" i="4"/>
  <c r="E61" i="4"/>
  <c r="F47" i="4"/>
  <c r="E47" i="4"/>
  <c r="F63" i="4"/>
  <c r="E63" i="4"/>
  <c r="F65" i="4"/>
  <c r="E65" i="4"/>
  <c r="F55" i="4"/>
  <c r="E55" i="4"/>
  <c r="F75" i="4"/>
  <c r="E75" i="4"/>
  <c r="F72" i="4"/>
  <c r="E72" i="4"/>
  <c r="F67" i="4"/>
  <c r="E67" i="4"/>
  <c r="F48" i="4"/>
  <c r="E48" i="4"/>
  <c r="X155" i="1"/>
  <c r="P3" i="9"/>
  <c r="P19" i="9"/>
  <c r="P29" i="9"/>
  <c r="P38" i="9"/>
  <c r="Q4" i="2"/>
  <c r="R7" i="6"/>
  <c r="N238" i="4"/>
  <c r="AZ238" i="4"/>
  <c r="V241" i="4"/>
  <c r="BH241" i="4"/>
  <c r="L236" i="4"/>
  <c r="AX236" i="4"/>
  <c r="K230" i="4"/>
  <c r="AW230" i="4"/>
  <c r="S238" i="4"/>
  <c r="BE238" i="4"/>
  <c r="I228" i="4"/>
  <c r="AU228" i="4"/>
  <c r="U242" i="4"/>
  <c r="BG242" i="4"/>
  <c r="BF240" i="4"/>
  <c r="T240" i="4"/>
  <c r="J233" i="4"/>
  <c r="AV233" i="4"/>
  <c r="F41" i="4" a="1"/>
  <c r="AD41" i="4"/>
  <c r="Y155" i="1"/>
  <c r="Q3" i="9"/>
  <c r="Q19" i="9"/>
  <c r="Q29" i="9"/>
  <c r="Q38" i="9"/>
  <c r="R4" i="2"/>
  <c r="S7" i="6"/>
  <c r="N239" i="4"/>
  <c r="AZ239" i="4"/>
  <c r="L237" i="4"/>
  <c r="AX237" i="4"/>
  <c r="V242" i="4"/>
  <c r="BH242" i="4"/>
  <c r="K231" i="4"/>
  <c r="AW231" i="4"/>
  <c r="I229" i="4"/>
  <c r="AU229" i="4"/>
  <c r="S239" i="4"/>
  <c r="BE239" i="4"/>
  <c r="U243" i="4"/>
  <c r="BG243" i="4"/>
  <c r="J234" i="4"/>
  <c r="AV234" i="4"/>
  <c r="T241" i="4"/>
  <c r="BF241" i="4"/>
  <c r="M41" i="4"/>
  <c r="K41" i="4"/>
  <c r="AI41" i="4"/>
  <c r="AH41" i="4"/>
  <c r="AG41" i="4"/>
  <c r="H41" i="4"/>
  <c r="AL41" i="4"/>
  <c r="X41" i="4"/>
  <c r="W41" i="4"/>
  <c r="Y41" i="4"/>
  <c r="L41" i="4"/>
  <c r="I41" i="4"/>
  <c r="T41" i="4"/>
  <c r="AB41" i="4"/>
  <c r="P41" i="4"/>
  <c r="G41" i="4"/>
  <c r="U41" i="4"/>
  <c r="N41" i="4"/>
  <c r="Q41" i="4"/>
  <c r="AK41" i="4"/>
  <c r="Z41" i="4"/>
  <c r="V41" i="4"/>
  <c r="R41" i="4"/>
  <c r="F41" i="4"/>
  <c r="O41" i="4"/>
  <c r="AE41" i="4"/>
  <c r="AN41" i="4"/>
  <c r="AA41" i="4"/>
  <c r="AM41" i="4"/>
  <c r="AJ41" i="4"/>
  <c r="AF41" i="4"/>
  <c r="S41" i="4"/>
  <c r="AC41" i="4"/>
  <c r="J41" i="4"/>
  <c r="E118" i="4"/>
  <c r="E113" i="4"/>
  <c r="E103" i="4"/>
  <c r="E116" i="4"/>
  <c r="E99" i="4"/>
  <c r="E111" i="4"/>
  <c r="E108" i="4"/>
  <c r="E106" i="4"/>
  <c r="E102" i="4"/>
  <c r="E114" i="4"/>
  <c r="E105" i="4"/>
  <c r="E115" i="4"/>
  <c r="E110" i="4"/>
  <c r="E84" i="4"/>
  <c r="E93" i="4"/>
  <c r="E92" i="4"/>
  <c r="E112" i="4"/>
  <c r="E98" i="4"/>
  <c r="E109" i="4"/>
  <c r="E104" i="4"/>
  <c r="E117" i="4"/>
  <c r="E107" i="4"/>
  <c r="E95" i="4"/>
  <c r="E86" i="4"/>
  <c r="E89" i="4"/>
  <c r="E101" i="4"/>
  <c r="E85" i="4"/>
  <c r="E88" i="4"/>
  <c r="E87" i="4"/>
  <c r="E97" i="4"/>
  <c r="E94" i="4"/>
  <c r="E100" i="4"/>
  <c r="E90" i="4"/>
  <c r="E96" i="4"/>
  <c r="E91" i="4"/>
  <c r="Z155" i="1"/>
  <c r="R3" i="9"/>
  <c r="R19" i="9"/>
  <c r="R29" i="9"/>
  <c r="R38" i="9"/>
  <c r="S4" i="2"/>
  <c r="T7" i="6"/>
  <c r="N240" i="4"/>
  <c r="AZ240" i="4"/>
  <c r="V243" i="4"/>
  <c r="BH243" i="4"/>
  <c r="L238" i="4"/>
  <c r="AX238" i="4"/>
  <c r="K232" i="4"/>
  <c r="AW232" i="4"/>
  <c r="S240" i="4"/>
  <c r="BE240" i="4"/>
  <c r="I230" i="4"/>
  <c r="AU230" i="4"/>
  <c r="U244" i="4"/>
  <c r="BG244" i="4"/>
  <c r="U245" i="4"/>
  <c r="T242" i="4"/>
  <c r="BF242" i="4"/>
  <c r="AV235" i="4"/>
  <c r="J235" i="4"/>
  <c r="F82" i="4" a="1"/>
  <c r="AA155" i="1"/>
  <c r="S3" i="9"/>
  <c r="S19" i="9"/>
  <c r="S29" i="9"/>
  <c r="S38" i="9"/>
  <c r="T4" i="2"/>
  <c r="U7" i="6"/>
  <c r="N241" i="4"/>
  <c r="AZ241" i="4"/>
  <c r="L239" i="4"/>
  <c r="AX239" i="4"/>
  <c r="V244" i="4"/>
  <c r="BH244" i="4"/>
  <c r="V245" i="4"/>
  <c r="K233" i="4"/>
  <c r="AW233" i="4"/>
  <c r="I231" i="4"/>
  <c r="AU231" i="4"/>
  <c r="S241" i="4"/>
  <c r="BE241" i="4"/>
  <c r="J236" i="4"/>
  <c r="AV236" i="4"/>
  <c r="BF243" i="4"/>
  <c r="T243" i="4"/>
  <c r="M82" i="4"/>
  <c r="N31" i="4"/>
  <c r="AB82" i="4"/>
  <c r="AC31" i="4"/>
  <c r="I82" i="4"/>
  <c r="J31" i="4"/>
  <c r="AC82" i="4"/>
  <c r="AD31" i="4"/>
  <c r="N82" i="4"/>
  <c r="O31" i="4"/>
  <c r="F82" i="4"/>
  <c r="G31" i="4"/>
  <c r="E249" i="4"/>
  <c r="AA82" i="4"/>
  <c r="AB31" i="4"/>
  <c r="S82" i="4"/>
  <c r="T31" i="4"/>
  <c r="AI82" i="4"/>
  <c r="AJ31" i="4"/>
  <c r="AD82" i="4"/>
  <c r="AE31" i="4"/>
  <c r="K82" i="4"/>
  <c r="L31" i="4"/>
  <c r="AF82" i="4"/>
  <c r="AG31" i="4"/>
  <c r="Q82" i="4"/>
  <c r="R31" i="4"/>
  <c r="Y82" i="4"/>
  <c r="Z31" i="4"/>
  <c r="P82" i="4"/>
  <c r="Q31" i="4"/>
  <c r="AM82" i="4"/>
  <c r="AN31" i="4"/>
  <c r="R82" i="4"/>
  <c r="S31" i="4"/>
  <c r="AH82" i="4"/>
  <c r="AI31" i="4"/>
  <c r="AE82" i="4"/>
  <c r="AF31" i="4"/>
  <c r="AG82" i="4"/>
  <c r="AH31" i="4"/>
  <c r="T82" i="4"/>
  <c r="U31" i="4"/>
  <c r="AL82" i="4"/>
  <c r="AM31" i="4"/>
  <c r="U82" i="4"/>
  <c r="V31" i="4"/>
  <c r="AN82" i="4"/>
  <c r="AO31" i="4"/>
  <c r="V82" i="4"/>
  <c r="W31" i="4"/>
  <c r="G82" i="4"/>
  <c r="H31" i="4"/>
  <c r="O82" i="4"/>
  <c r="P31" i="4"/>
  <c r="L82" i="4"/>
  <c r="M31" i="4"/>
  <c r="J82" i="4"/>
  <c r="K31" i="4"/>
  <c r="H82" i="4"/>
  <c r="I31" i="4"/>
  <c r="W82" i="4"/>
  <c r="X31" i="4"/>
  <c r="Z82" i="4"/>
  <c r="AA31" i="4"/>
  <c r="AK82" i="4"/>
  <c r="AL31" i="4"/>
  <c r="X82" i="4"/>
  <c r="Y31" i="4"/>
  <c r="AJ82" i="4"/>
  <c r="AK31" i="4"/>
  <c r="AB155" i="1"/>
  <c r="T3" i="9"/>
  <c r="T19" i="9"/>
  <c r="T29" i="9"/>
  <c r="T38" i="9"/>
  <c r="U4" i="2"/>
  <c r="V7" i="6"/>
  <c r="J48" i="2"/>
  <c r="I249" i="4"/>
  <c r="L48" i="2"/>
  <c r="K249" i="4"/>
  <c r="AC48" i="2"/>
  <c r="AB249" i="4"/>
  <c r="T48" i="2"/>
  <c r="S249" i="4"/>
  <c r="AG48" i="2"/>
  <c r="AF249" i="4"/>
  <c r="AF48" i="2"/>
  <c r="AE249" i="4"/>
  <c r="AJ48" i="2"/>
  <c r="AI249" i="4"/>
  <c r="O48" i="2"/>
  <c r="N249" i="4"/>
  <c r="AE48" i="2"/>
  <c r="AD249" i="4"/>
  <c r="K48" i="2"/>
  <c r="J249" i="4"/>
  <c r="I48" i="2"/>
  <c r="H249" i="4"/>
  <c r="X48" i="2"/>
  <c r="W249" i="4"/>
  <c r="AI48" i="2"/>
  <c r="AH249" i="4"/>
  <c r="AH48" i="2"/>
  <c r="AG249" i="4"/>
  <c r="AK48" i="2"/>
  <c r="AJ249" i="4"/>
  <c r="R48" i="2"/>
  <c r="Q249" i="4"/>
  <c r="Z48" i="2"/>
  <c r="Y249" i="4"/>
  <c r="S48" i="2"/>
  <c r="R249" i="4"/>
  <c r="Q48" i="2"/>
  <c r="P249" i="4"/>
  <c r="G48" i="2"/>
  <c r="F249" i="4"/>
  <c r="V48" i="2"/>
  <c r="U249" i="4"/>
  <c r="M48" i="2"/>
  <c r="L249" i="4"/>
  <c r="AN48" i="2"/>
  <c r="AM249" i="4"/>
  <c r="AM48" i="2"/>
  <c r="AL249" i="4"/>
  <c r="W48" i="2"/>
  <c r="V249" i="4"/>
  <c r="U48" i="2"/>
  <c r="T249" i="4"/>
  <c r="P48" i="2"/>
  <c r="O249" i="4"/>
  <c r="AA48" i="2"/>
  <c r="Z249" i="4"/>
  <c r="N48" i="2"/>
  <c r="M249" i="4"/>
  <c r="AD48" i="2"/>
  <c r="AC249" i="4"/>
  <c r="AB48" i="2"/>
  <c r="AA249" i="4"/>
  <c r="H48" i="2"/>
  <c r="G249" i="4"/>
  <c r="AL48" i="2"/>
  <c r="AK249" i="4"/>
  <c r="Y48" i="2"/>
  <c r="X249" i="4"/>
  <c r="F48" i="2"/>
  <c r="N242" i="4"/>
  <c r="AZ242" i="4"/>
  <c r="L240" i="4"/>
  <c r="AX240" i="4"/>
  <c r="K234" i="4"/>
  <c r="AW234" i="4"/>
  <c r="S242" i="4"/>
  <c r="BE242" i="4"/>
  <c r="I232" i="4"/>
  <c r="AU232" i="4"/>
  <c r="T244" i="4"/>
  <c r="BF244" i="4"/>
  <c r="T245" i="4"/>
  <c r="AV237" i="4"/>
  <c r="J237" i="4"/>
  <c r="AC155" i="1"/>
  <c r="U3" i="9"/>
  <c r="U19" i="9"/>
  <c r="U29" i="9"/>
  <c r="U38" i="9"/>
  <c r="V4" i="2"/>
  <c r="W7" i="6"/>
  <c r="AN249" i="4"/>
  <c r="E31" i="4"/>
  <c r="E32" i="4"/>
  <c r="N243" i="4"/>
  <c r="AZ243" i="4"/>
  <c r="L241" i="4"/>
  <c r="AX241" i="4"/>
  <c r="K235" i="4"/>
  <c r="AW235" i="4"/>
  <c r="S243" i="4"/>
  <c r="BE243" i="4"/>
  <c r="I233" i="4"/>
  <c r="AU233" i="4"/>
  <c r="J238" i="4"/>
  <c r="AV238" i="4"/>
  <c r="AD155" i="1"/>
  <c r="V3" i="9"/>
  <c r="V19" i="9"/>
  <c r="V29" i="9"/>
  <c r="V38" i="9"/>
  <c r="W4" i="2"/>
  <c r="X7" i="6"/>
  <c r="D31" i="4"/>
  <c r="N244" i="4"/>
  <c r="AZ244" i="4"/>
  <c r="N245" i="4"/>
  <c r="L242" i="4"/>
  <c r="AX242" i="4"/>
  <c r="K236" i="4"/>
  <c r="AW236" i="4"/>
  <c r="S244" i="4"/>
  <c r="BE244" i="4"/>
  <c r="S245" i="4"/>
  <c r="I234" i="4"/>
  <c r="AU234" i="4"/>
  <c r="J239" i="4"/>
  <c r="AV239" i="4"/>
  <c r="AE155" i="1"/>
  <c r="W3" i="9"/>
  <c r="W19" i="9"/>
  <c r="W29" i="9"/>
  <c r="W38" i="9"/>
  <c r="X4" i="2"/>
  <c r="Y7" i="6"/>
  <c r="L243" i="4"/>
  <c r="AX243" i="4"/>
  <c r="K237" i="4"/>
  <c r="AW237" i="4"/>
  <c r="I235" i="4"/>
  <c r="AU235" i="4"/>
  <c r="J240" i="4"/>
  <c r="AV240" i="4"/>
  <c r="E7" i="4"/>
  <c r="AF155" i="1"/>
  <c r="X3" i="9"/>
  <c r="X19" i="9"/>
  <c r="X29" i="9"/>
  <c r="X38" i="9"/>
  <c r="Y4" i="2"/>
  <c r="Z7" i="6"/>
  <c r="L244" i="4"/>
  <c r="AX244" i="4"/>
  <c r="L245" i="4"/>
  <c r="K238" i="4"/>
  <c r="AW238" i="4"/>
  <c r="I236" i="4"/>
  <c r="AU236" i="4"/>
  <c r="J241" i="4"/>
  <c r="AV241" i="4"/>
  <c r="AG155" i="1"/>
  <c r="Y3" i="9"/>
  <c r="Y19" i="9"/>
  <c r="Y29" i="9"/>
  <c r="Y38" i="9"/>
  <c r="Z4" i="2"/>
  <c r="AA7" i="6"/>
  <c r="K239" i="4"/>
  <c r="AW239" i="4"/>
  <c r="I237" i="4"/>
  <c r="AU237" i="4"/>
  <c r="J242" i="4"/>
  <c r="AV242" i="4"/>
  <c r="AH155" i="1"/>
  <c r="Z3" i="9"/>
  <c r="Z19" i="9"/>
  <c r="Z29" i="9"/>
  <c r="Z38" i="9"/>
  <c r="AA4" i="2"/>
  <c r="AB7" i="6"/>
  <c r="K240" i="4"/>
  <c r="AW240" i="4"/>
  <c r="I238" i="4"/>
  <c r="AU238" i="4"/>
  <c r="J243" i="4"/>
  <c r="AV243" i="4"/>
  <c r="AI155" i="1"/>
  <c r="AA3" i="9"/>
  <c r="AA19" i="9"/>
  <c r="AA29" i="9"/>
  <c r="AA38" i="9"/>
  <c r="AB4" i="2"/>
  <c r="AC7" i="6"/>
  <c r="K241" i="4"/>
  <c r="AW241" i="4"/>
  <c r="I239" i="4"/>
  <c r="AU239" i="4"/>
  <c r="J244" i="4"/>
  <c r="AV244" i="4"/>
  <c r="J245" i="4"/>
  <c r="AJ155" i="1"/>
  <c r="AB3" i="9"/>
  <c r="AB19" i="9"/>
  <c r="AB29" i="9"/>
  <c r="AB38" i="9"/>
  <c r="AC4" i="2"/>
  <c r="AD7" i="6"/>
  <c r="K242" i="4"/>
  <c r="AW242" i="4"/>
  <c r="I240" i="4"/>
  <c r="AU240" i="4"/>
  <c r="AK155" i="1"/>
  <c r="AC3" i="9"/>
  <c r="AC19" i="9"/>
  <c r="AC29" i="9"/>
  <c r="AC38" i="9"/>
  <c r="AD4" i="2"/>
  <c r="AE7" i="6"/>
  <c r="K243" i="4"/>
  <c r="AW243" i="4"/>
  <c r="I241" i="4"/>
  <c r="AU241" i="4"/>
  <c r="AL155" i="1"/>
  <c r="AD3" i="9"/>
  <c r="AD19" i="9"/>
  <c r="AD29" i="9"/>
  <c r="AD38" i="9"/>
  <c r="AE4" i="2"/>
  <c r="AF7" i="6"/>
  <c r="K244" i="4"/>
  <c r="AW244" i="4"/>
  <c r="K245" i="4"/>
  <c r="I242" i="4"/>
  <c r="AU242" i="4"/>
  <c r="AM155" i="1"/>
  <c r="AE3" i="9"/>
  <c r="AE19" i="9"/>
  <c r="AE29" i="9"/>
  <c r="AE38" i="9"/>
  <c r="AF4" i="2"/>
  <c r="AG7" i="6"/>
  <c r="I243" i="4"/>
  <c r="AU243" i="4"/>
  <c r="AN155" i="1"/>
  <c r="AF3" i="9"/>
  <c r="AF19" i="9"/>
  <c r="AF29" i="9"/>
  <c r="AF38" i="9"/>
  <c r="AG4" i="2"/>
  <c r="AH7" i="6"/>
  <c r="I244" i="4"/>
  <c r="AU244" i="4"/>
  <c r="I245" i="4"/>
  <c r="AO155" i="1"/>
  <c r="AG3" i="9"/>
  <c r="AG19" i="9"/>
  <c r="AG29" i="9"/>
  <c r="AG38" i="9"/>
  <c r="AH4" i="2"/>
  <c r="AI7" i="6"/>
  <c r="AP155" i="1"/>
  <c r="AH3" i="9"/>
  <c r="AH19" i="9"/>
  <c r="AH29" i="9"/>
  <c r="AH38" i="9"/>
  <c r="AI4" i="2"/>
  <c r="AJ7" i="6"/>
  <c r="AR245" i="4"/>
  <c r="BS245" i="4"/>
  <c r="BJ245" i="4"/>
  <c r="BB245" i="4"/>
  <c r="BI245" i="4"/>
  <c r="BL245" i="4"/>
  <c r="AQ155" i="1"/>
  <c r="AI3" i="9"/>
  <c r="AI19" i="9"/>
  <c r="AI29" i="9"/>
  <c r="AI38" i="9"/>
  <c r="AJ4" i="2"/>
  <c r="AK7" i="6"/>
  <c r="AW245" i="4"/>
  <c r="BY245" i="4"/>
  <c r="BP245" i="4"/>
  <c r="BW245" i="4"/>
  <c r="BC245" i="4"/>
  <c r="BH245" i="4"/>
  <c r="BN245" i="4"/>
  <c r="AX245" i="4"/>
  <c r="BT245" i="4"/>
  <c r="BD245" i="4"/>
  <c r="AY245" i="4"/>
  <c r="AV245" i="4"/>
  <c r="AZ245" i="4"/>
  <c r="AT245" i="4"/>
  <c r="BG245" i="4"/>
  <c r="BE245" i="4"/>
  <c r="BM245" i="4"/>
  <c r="BF245" i="4"/>
  <c r="BR245" i="4"/>
  <c r="BQ245" i="4"/>
  <c r="BO245" i="4"/>
  <c r="AU245" i="4"/>
  <c r="AS245" i="4"/>
  <c r="BX245" i="4"/>
  <c r="BZ245" i="4"/>
  <c r="BV245" i="4"/>
  <c r="AR155" i="1"/>
  <c r="AJ19" i="9"/>
  <c r="AJ29" i="9"/>
  <c r="AJ38" i="9"/>
  <c r="AK4" i="2"/>
  <c r="AL7" i="6"/>
  <c r="AS155" i="1"/>
  <c r="AK3" i="9"/>
  <c r="AK19" i="9"/>
  <c r="AK29" i="9"/>
  <c r="AK38" i="9"/>
  <c r="AL4" i="2"/>
  <c r="AM7" i="6"/>
  <c r="AT155" i="1"/>
  <c r="AL3" i="9"/>
  <c r="AL19" i="9"/>
  <c r="AL29" i="9"/>
  <c r="AL38" i="9"/>
  <c r="AM4" i="2"/>
  <c r="AN7" i="6"/>
  <c r="AU155" i="1"/>
  <c r="AM3" i="9"/>
  <c r="AM19" i="9"/>
  <c r="AM29" i="9"/>
  <c r="AM38" i="9"/>
  <c r="AN4" i="2"/>
  <c r="AN3" i="9"/>
  <c r="AN19" i="9"/>
  <c r="AN29" i="9"/>
  <c r="AN38" i="9"/>
  <c r="AO7" i="6"/>
  <c r="G151" i="4"/>
  <c r="F151" i="4"/>
  <c r="AP7" i="6"/>
  <c r="AV155" i="1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F146" i="4"/>
  <c r="H154" i="4"/>
  <c r="Q154" i="4"/>
  <c r="G146" i="4"/>
  <c r="U154" i="4"/>
  <c r="O154" i="4"/>
  <c r="M154" i="4"/>
  <c r="V154" i="4"/>
  <c r="AG154" i="4"/>
  <c r="J154" i="4"/>
  <c r="AD154" i="4"/>
  <c r="R154" i="4"/>
  <c r="Z154" i="4"/>
  <c r="AM154" i="4"/>
  <c r="X154" i="4"/>
  <c r="AB154" i="4"/>
  <c r="AI154" i="4"/>
  <c r="Y154" i="4"/>
  <c r="AH154" i="4"/>
  <c r="P154" i="4"/>
  <c r="L154" i="4"/>
  <c r="AL154" i="4"/>
  <c r="G154" i="4"/>
  <c r="S154" i="4"/>
  <c r="N154" i="4"/>
  <c r="AJ154" i="4"/>
  <c r="W154" i="4"/>
  <c r="F148" i="4"/>
  <c r="AC154" i="4"/>
  <c r="K154" i="4"/>
  <c r="F154" i="4"/>
  <c r="AF154" i="4"/>
  <c r="AA154" i="4"/>
  <c r="AK154" i="4"/>
  <c r="T154" i="4"/>
  <c r="I154" i="4"/>
  <c r="AE154" i="4"/>
  <c r="E154" i="4"/>
  <c r="AI153" i="4"/>
  <c r="AF153" i="4"/>
  <c r="X153" i="4"/>
  <c r="AA153" i="4"/>
  <c r="AB153" i="4"/>
  <c r="AL153" i="4"/>
  <c r="V153" i="4"/>
  <c r="Z153" i="4"/>
  <c r="AG153" i="4"/>
  <c r="AE153" i="4"/>
  <c r="AC153" i="4"/>
  <c r="N153" i="4"/>
  <c r="S153" i="4"/>
  <c r="L153" i="4"/>
  <c r="M153" i="4"/>
  <c r="O153" i="4"/>
  <c r="U153" i="4"/>
  <c r="P153" i="4"/>
  <c r="W153" i="4"/>
  <c r="AH153" i="4"/>
  <c r="AD153" i="4"/>
  <c r="Q153" i="4"/>
  <c r="R153" i="4"/>
  <c r="T153" i="4"/>
  <c r="AK153" i="4"/>
  <c r="AJ153" i="4"/>
  <c r="Y153" i="4"/>
  <c r="K153" i="4"/>
  <c r="AN127" i="4"/>
  <c r="AM153" i="4"/>
  <c r="M127" i="4"/>
  <c r="G127" i="4"/>
  <c r="AA127" i="4"/>
  <c r="AK127" i="4"/>
  <c r="AB127" i="4"/>
  <c r="Z127" i="4"/>
  <c r="W127" i="4"/>
  <c r="X127" i="4"/>
  <c r="P127" i="4"/>
  <c r="AG127" i="4"/>
  <c r="AM127" i="4"/>
  <c r="H127" i="4"/>
  <c r="I127" i="4"/>
  <c r="AL127" i="4"/>
  <c r="S127" i="4"/>
  <c r="L127" i="4"/>
  <c r="AC127" i="4"/>
  <c r="AE127" i="4"/>
  <c r="K127" i="4"/>
  <c r="AH127" i="4"/>
  <c r="N127" i="4"/>
  <c r="Q127" i="4"/>
  <c r="AF127" i="4"/>
  <c r="R127" i="4"/>
  <c r="V127" i="4"/>
  <c r="U127" i="4"/>
  <c r="AJ127" i="4"/>
  <c r="F127" i="4"/>
  <c r="G9" i="4"/>
  <c r="J9" i="4"/>
  <c r="I129" i="4"/>
  <c r="I49" i="2"/>
  <c r="AU166" i="4"/>
  <c r="H129" i="4"/>
  <c r="H49" i="2"/>
  <c r="I9" i="4"/>
  <c r="AT166" i="4"/>
  <c r="AB129" i="4"/>
  <c r="AB49" i="2"/>
  <c r="AC9" i="4"/>
  <c r="BN166" i="4"/>
  <c r="N129" i="4"/>
  <c r="N49" i="2"/>
  <c r="O9" i="4"/>
  <c r="AZ166" i="4"/>
  <c r="AJ129" i="4"/>
  <c r="AJ49" i="2"/>
  <c r="AK9" i="4"/>
  <c r="BV166" i="4"/>
  <c r="L9" i="4"/>
  <c r="K129" i="4"/>
  <c r="K49" i="2"/>
  <c r="AW166" i="4"/>
  <c r="AN9" i="4"/>
  <c r="AM129" i="4"/>
  <c r="AM49" i="2"/>
  <c r="BY166" i="4"/>
  <c r="AL9" i="4"/>
  <c r="AK129" i="4"/>
  <c r="AK49" i="2"/>
  <c r="BW166" i="4"/>
  <c r="Q129" i="4"/>
  <c r="Q49" i="2"/>
  <c r="R9" i="4"/>
  <c r="BC166" i="4"/>
  <c r="AH129" i="4"/>
  <c r="AH49" i="2"/>
  <c r="AI9" i="4"/>
  <c r="BT166" i="4"/>
  <c r="AF9" i="4"/>
  <c r="AE129" i="4"/>
  <c r="AE49" i="2"/>
  <c r="BQ166" i="4"/>
  <c r="AG129" i="4"/>
  <c r="AG49" i="2"/>
  <c r="AH9" i="4"/>
  <c r="BS166" i="4"/>
  <c r="AB9" i="4"/>
  <c r="AA129" i="4"/>
  <c r="AA49" i="2"/>
  <c r="BM166" i="4"/>
  <c r="X9" i="4"/>
  <c r="W129" i="4"/>
  <c r="W49" i="2"/>
  <c r="BI166" i="4"/>
  <c r="V129" i="4"/>
  <c r="V49" i="2"/>
  <c r="W9" i="4"/>
  <c r="BH166" i="4"/>
  <c r="AD9" i="4"/>
  <c r="AC129" i="4"/>
  <c r="AC49" i="2"/>
  <c r="BO166" i="4"/>
  <c r="Q9" i="4"/>
  <c r="P129" i="4"/>
  <c r="P49" i="2"/>
  <c r="BB166" i="4"/>
  <c r="G129" i="4"/>
  <c r="G49" i="2"/>
  <c r="H9" i="4"/>
  <c r="AS166" i="4"/>
  <c r="AM9" i="4"/>
  <c r="AL129" i="4"/>
  <c r="AL49" i="2"/>
  <c r="BX166" i="4"/>
  <c r="AA9" i="4"/>
  <c r="Z129" i="4"/>
  <c r="Z49" i="2"/>
  <c r="BL166" i="4"/>
  <c r="U129" i="4"/>
  <c r="U49" i="2"/>
  <c r="V9" i="4"/>
  <c r="BG166" i="4"/>
  <c r="L129" i="4"/>
  <c r="L49" i="2"/>
  <c r="M9" i="4"/>
  <c r="AX166" i="4"/>
  <c r="X129" i="4"/>
  <c r="X49" i="2"/>
  <c r="Y9" i="4"/>
  <c r="BJ166" i="4"/>
  <c r="M129" i="4"/>
  <c r="M49" i="2"/>
  <c r="N9" i="4"/>
  <c r="AY166" i="4"/>
  <c r="F129" i="4"/>
  <c r="F49" i="2"/>
  <c r="AR166" i="4"/>
  <c r="S9" i="4"/>
  <c r="R129" i="4"/>
  <c r="R49" i="2"/>
  <c r="BD166" i="4"/>
  <c r="AG9" i="4"/>
  <c r="AF129" i="4"/>
  <c r="AF49" i="2"/>
  <c r="BR166" i="4"/>
  <c r="S129" i="4"/>
  <c r="S49" i="2"/>
  <c r="T9" i="4"/>
  <c r="BE166" i="4"/>
  <c r="AN129" i="4"/>
  <c r="AN49" i="2"/>
  <c r="AO9" i="4"/>
  <c r="BZ166" i="4"/>
  <c r="X8" i="4"/>
  <c r="X11" i="4"/>
  <c r="N8" i="4"/>
  <c r="N11" i="4"/>
  <c r="AB8" i="4"/>
  <c r="AB11" i="4"/>
  <c r="J8" i="4"/>
  <c r="J11" i="4"/>
  <c r="L8" i="4"/>
  <c r="K59" i="2"/>
  <c r="K57" i="2"/>
  <c r="K56" i="2"/>
  <c r="AK8" i="4"/>
  <c r="AJ59" i="2"/>
  <c r="AJ57" i="2"/>
  <c r="AJ56" i="2"/>
  <c r="O8" i="4"/>
  <c r="O11" i="4"/>
  <c r="Q8" i="4"/>
  <c r="Q11" i="4"/>
  <c r="AA8" i="4"/>
  <c r="AA11" i="4"/>
  <c r="W8" i="4"/>
  <c r="W11" i="4"/>
  <c r="AM8" i="4"/>
  <c r="AM11" i="4"/>
  <c r="AL8" i="4"/>
  <c r="AL11" i="4"/>
  <c r="AG8" i="4"/>
  <c r="AG11" i="4"/>
  <c r="AD8" i="4"/>
  <c r="AD11" i="4"/>
  <c r="AO8" i="4"/>
  <c r="AO11" i="4"/>
  <c r="AC8" i="4"/>
  <c r="AB59" i="2"/>
  <c r="AB57" i="2"/>
  <c r="AB56" i="2"/>
  <c r="Y8" i="4"/>
  <c r="Y11" i="4"/>
  <c r="S8" i="4"/>
  <c r="S11" i="4"/>
  <c r="T8" i="4"/>
  <c r="S59" i="2"/>
  <c r="S57" i="2"/>
  <c r="S56" i="2"/>
  <c r="M8" i="4"/>
  <c r="L59" i="2"/>
  <c r="L57" i="2"/>
  <c r="L56" i="2"/>
  <c r="AF8" i="4"/>
  <c r="AF11" i="4"/>
  <c r="AN8" i="4"/>
  <c r="AM59" i="2"/>
  <c r="AM57" i="2"/>
  <c r="AM56" i="2"/>
  <c r="R8" i="4"/>
  <c r="R11" i="4"/>
  <c r="H8" i="4"/>
  <c r="H11" i="4"/>
  <c r="AH8" i="4"/>
  <c r="AH11" i="4"/>
  <c r="V8" i="4"/>
  <c r="V11" i="4"/>
  <c r="AI8" i="4"/>
  <c r="AI11" i="4"/>
  <c r="I8" i="4"/>
  <c r="H59" i="2"/>
  <c r="H57" i="2"/>
  <c r="H56" i="2"/>
  <c r="W59" i="2"/>
  <c r="W57" i="2"/>
  <c r="W56" i="2"/>
  <c r="BI200" i="4"/>
  <c r="W201" i="4"/>
  <c r="BI203" i="4"/>
  <c r="W204" i="4"/>
  <c r="BI201" i="4"/>
  <c r="W202" i="4"/>
  <c r="BI202" i="4"/>
  <c r="W203" i="4"/>
  <c r="AT203" i="4"/>
  <c r="H204" i="4"/>
  <c r="AT202" i="4"/>
  <c r="H203" i="4"/>
  <c r="AT201" i="4"/>
  <c r="H202" i="4"/>
  <c r="AT200" i="4"/>
  <c r="H201" i="4"/>
  <c r="AY200" i="4"/>
  <c r="M201" i="4"/>
  <c r="AY202" i="4"/>
  <c r="M203" i="4"/>
  <c r="AY201" i="4"/>
  <c r="M202" i="4"/>
  <c r="AY203" i="4"/>
  <c r="M204" i="4"/>
  <c r="AU203" i="4"/>
  <c r="I204" i="4"/>
  <c r="AU202" i="4"/>
  <c r="I203" i="4"/>
  <c r="AU200" i="4"/>
  <c r="I201" i="4"/>
  <c r="AU201" i="4"/>
  <c r="I202" i="4"/>
  <c r="BL201" i="4"/>
  <c r="Z202" i="4"/>
  <c r="BL200" i="4"/>
  <c r="Z201" i="4"/>
  <c r="BL202" i="4"/>
  <c r="Z203" i="4"/>
  <c r="BL203" i="4"/>
  <c r="Z204" i="4"/>
  <c r="BB201" i="4"/>
  <c r="P202" i="4"/>
  <c r="BB202" i="4"/>
  <c r="P203" i="4"/>
  <c r="BB200" i="4"/>
  <c r="P201" i="4"/>
  <c r="BB203" i="4"/>
  <c r="P204" i="4"/>
  <c r="BC202" i="4"/>
  <c r="Q203" i="4"/>
  <c r="BC201" i="4"/>
  <c r="Q202" i="4"/>
  <c r="BC200" i="4"/>
  <c r="Q201" i="4"/>
  <c r="BC203" i="4"/>
  <c r="Q204" i="4"/>
  <c r="BT203" i="4"/>
  <c r="AH204" i="4"/>
  <c r="BT202" i="4"/>
  <c r="AH203" i="4"/>
  <c r="BT200" i="4"/>
  <c r="AH201" i="4"/>
  <c r="BT201" i="4"/>
  <c r="AH202" i="4"/>
  <c r="BJ201" i="4"/>
  <c r="X202" i="4"/>
  <c r="BJ200" i="4"/>
  <c r="X201" i="4"/>
  <c r="BJ203" i="4"/>
  <c r="X204" i="4"/>
  <c r="BJ202" i="4"/>
  <c r="X203" i="4"/>
  <c r="BX200" i="4"/>
  <c r="AL201" i="4"/>
  <c r="BX202" i="4"/>
  <c r="AL203" i="4"/>
  <c r="BX203" i="4"/>
  <c r="AL204" i="4"/>
  <c r="BX201" i="4"/>
  <c r="AL202" i="4"/>
  <c r="BH200" i="4"/>
  <c r="V201" i="4"/>
  <c r="BH203" i="4"/>
  <c r="V204" i="4"/>
  <c r="BH202" i="4"/>
  <c r="V203" i="4"/>
  <c r="BH201" i="4"/>
  <c r="V202" i="4"/>
  <c r="BS203" i="4"/>
  <c r="BS200" i="4"/>
  <c r="AG201" i="4"/>
  <c r="BS202" i="4"/>
  <c r="AG203" i="4"/>
  <c r="BS201" i="4"/>
  <c r="AG202" i="4"/>
  <c r="BW200" i="4"/>
  <c r="AK201" i="4"/>
  <c r="BW202" i="4"/>
  <c r="AK203" i="4"/>
  <c r="BW203" i="4"/>
  <c r="AK204" i="4"/>
  <c r="BW201" i="4"/>
  <c r="AK202" i="4"/>
  <c r="AZ200" i="4"/>
  <c r="N201" i="4"/>
  <c r="AZ201" i="4"/>
  <c r="N202" i="4"/>
  <c r="AZ202" i="4"/>
  <c r="N203" i="4"/>
  <c r="AZ203" i="4"/>
  <c r="N204" i="4"/>
  <c r="BG203" i="4"/>
  <c r="U204" i="4"/>
  <c r="BG202" i="4"/>
  <c r="U203" i="4"/>
  <c r="BG201" i="4"/>
  <c r="U202" i="4"/>
  <c r="BG200" i="4"/>
  <c r="U201" i="4"/>
  <c r="BV201" i="4"/>
  <c r="AJ202" i="4"/>
  <c r="BV200" i="4"/>
  <c r="AJ201" i="4"/>
  <c r="BV203" i="4"/>
  <c r="AJ204" i="4"/>
  <c r="BV202" i="4"/>
  <c r="AJ203" i="4"/>
  <c r="BZ201" i="4"/>
  <c r="AN202" i="4"/>
  <c r="BZ200" i="4"/>
  <c r="AN201" i="4"/>
  <c r="BZ203" i="4"/>
  <c r="AN204" i="4"/>
  <c r="BZ202" i="4"/>
  <c r="AN203" i="4"/>
  <c r="AW200" i="4"/>
  <c r="AW203" i="4"/>
  <c r="K204" i="4"/>
  <c r="AW202" i="4"/>
  <c r="K203" i="4"/>
  <c r="AW201" i="4"/>
  <c r="K202" i="4"/>
  <c r="BE203" i="4"/>
  <c r="S204" i="4"/>
  <c r="BE202" i="4"/>
  <c r="S203" i="4"/>
  <c r="BE201" i="4"/>
  <c r="S202" i="4"/>
  <c r="BE200" i="4"/>
  <c r="S201" i="4"/>
  <c r="AX201" i="4"/>
  <c r="AX203" i="4"/>
  <c r="L204" i="4"/>
  <c r="AX202" i="4"/>
  <c r="L203" i="4"/>
  <c r="AX200" i="4"/>
  <c r="L201" i="4"/>
  <c r="AS199" i="4"/>
  <c r="G200" i="4"/>
  <c r="AS203" i="4"/>
  <c r="G204" i="4"/>
  <c r="AS202" i="4"/>
  <c r="G203" i="4"/>
  <c r="AS201" i="4"/>
  <c r="G202" i="4"/>
  <c r="AS197" i="4"/>
  <c r="G198" i="4"/>
  <c r="AS200" i="4"/>
  <c r="G201" i="4"/>
  <c r="BQ203" i="4"/>
  <c r="AE204" i="4"/>
  <c r="BQ202" i="4"/>
  <c r="AE203" i="4"/>
  <c r="BQ201" i="4"/>
  <c r="AE202" i="4"/>
  <c r="BQ200" i="4"/>
  <c r="AE201" i="4"/>
  <c r="BY202" i="4"/>
  <c r="AM203" i="4"/>
  <c r="BY201" i="4"/>
  <c r="AM202" i="4"/>
  <c r="BY200" i="4"/>
  <c r="AM201" i="4"/>
  <c r="BY203" i="4"/>
  <c r="AM204" i="4"/>
  <c r="BN203" i="4"/>
  <c r="AB204" i="4"/>
  <c r="BN202" i="4"/>
  <c r="AB203" i="4"/>
  <c r="BN201" i="4"/>
  <c r="AB202" i="4"/>
  <c r="BN200" i="4"/>
  <c r="AB201" i="4"/>
  <c r="BO202" i="4"/>
  <c r="AC203" i="4"/>
  <c r="BO203" i="4"/>
  <c r="AC204" i="4"/>
  <c r="BO201" i="4"/>
  <c r="AC202" i="4"/>
  <c r="BO200" i="4"/>
  <c r="AC201" i="4"/>
  <c r="BD202" i="4"/>
  <c r="R203" i="4"/>
  <c r="BD201" i="4"/>
  <c r="R202" i="4"/>
  <c r="BD203" i="4"/>
  <c r="R204" i="4"/>
  <c r="BD200" i="4"/>
  <c r="R201" i="4"/>
  <c r="BM201" i="4"/>
  <c r="AA202" i="4"/>
  <c r="BM200" i="4"/>
  <c r="AA201" i="4"/>
  <c r="BM203" i="4"/>
  <c r="AA204" i="4"/>
  <c r="BM202" i="4"/>
  <c r="AA203" i="4"/>
  <c r="BR203" i="4"/>
  <c r="AF204" i="4"/>
  <c r="BR202" i="4"/>
  <c r="AF203" i="4"/>
  <c r="BR201" i="4"/>
  <c r="AF202" i="4"/>
  <c r="BR200" i="4"/>
  <c r="AF201" i="4"/>
  <c r="AR203" i="4"/>
  <c r="F204" i="4"/>
  <c r="AR202" i="4"/>
  <c r="F203" i="4"/>
  <c r="AR198" i="4"/>
  <c r="F199" i="4"/>
  <c r="AR200" i="4"/>
  <c r="F201" i="4"/>
  <c r="AR201" i="4"/>
  <c r="F202" i="4"/>
  <c r="BQ169" i="4"/>
  <c r="BQ171" i="4"/>
  <c r="AE172" i="4"/>
  <c r="BQ173" i="4"/>
  <c r="AE174" i="4"/>
  <c r="BQ175" i="4"/>
  <c r="AE176" i="4"/>
  <c r="BQ177" i="4"/>
  <c r="AE178" i="4"/>
  <c r="BQ179" i="4"/>
  <c r="AE180" i="4"/>
  <c r="BQ181" i="4"/>
  <c r="AE182" i="4"/>
  <c r="BQ183" i="4"/>
  <c r="AE184" i="4"/>
  <c r="BQ185" i="4"/>
  <c r="AE186" i="4"/>
  <c r="BQ187" i="4"/>
  <c r="AE188" i="4"/>
  <c r="BQ189" i="4"/>
  <c r="AE190" i="4"/>
  <c r="BQ191" i="4"/>
  <c r="AE192" i="4"/>
  <c r="BQ170" i="4"/>
  <c r="AE171" i="4"/>
  <c r="BQ172" i="4"/>
  <c r="AE173" i="4"/>
  <c r="BQ174" i="4"/>
  <c r="AE175" i="4"/>
  <c r="BQ176" i="4"/>
  <c r="AE177" i="4"/>
  <c r="BQ178" i="4"/>
  <c r="AE179" i="4"/>
  <c r="BQ180" i="4"/>
  <c r="AE181" i="4"/>
  <c r="BQ182" i="4"/>
  <c r="AE183" i="4"/>
  <c r="BQ184" i="4"/>
  <c r="AE185" i="4"/>
  <c r="BQ186" i="4"/>
  <c r="AE187" i="4"/>
  <c r="BQ188" i="4"/>
  <c r="AE189" i="4"/>
  <c r="BQ190" i="4"/>
  <c r="AE191" i="4"/>
  <c r="BQ192" i="4"/>
  <c r="AE193" i="4"/>
  <c r="BQ193" i="4"/>
  <c r="AE194" i="4"/>
  <c r="BQ195" i="4"/>
  <c r="AE196" i="4"/>
  <c r="BQ197" i="4"/>
  <c r="AE198" i="4"/>
  <c r="BQ194" i="4"/>
  <c r="AE195" i="4"/>
  <c r="BQ196" i="4"/>
  <c r="AE197" i="4"/>
  <c r="BQ198" i="4"/>
  <c r="AE199" i="4"/>
  <c r="BQ199" i="4"/>
  <c r="AE200" i="4"/>
  <c r="BG169" i="4"/>
  <c r="BG171" i="4"/>
  <c r="U172" i="4"/>
  <c r="BG173" i="4"/>
  <c r="U174" i="4"/>
  <c r="BG175" i="4"/>
  <c r="U176" i="4"/>
  <c r="BG177" i="4"/>
  <c r="U178" i="4"/>
  <c r="BG179" i="4"/>
  <c r="U180" i="4"/>
  <c r="BG181" i="4"/>
  <c r="U182" i="4"/>
  <c r="BG183" i="4"/>
  <c r="U184" i="4"/>
  <c r="BG185" i="4"/>
  <c r="U186" i="4"/>
  <c r="BG187" i="4"/>
  <c r="U188" i="4"/>
  <c r="BG189" i="4"/>
  <c r="U190" i="4"/>
  <c r="BG191" i="4"/>
  <c r="U192" i="4"/>
  <c r="BG170" i="4"/>
  <c r="U171" i="4"/>
  <c r="BG172" i="4"/>
  <c r="U173" i="4"/>
  <c r="BG174" i="4"/>
  <c r="U175" i="4"/>
  <c r="BG176" i="4"/>
  <c r="U177" i="4"/>
  <c r="BG178" i="4"/>
  <c r="U179" i="4"/>
  <c r="BG180" i="4"/>
  <c r="U181" i="4"/>
  <c r="BG182" i="4"/>
  <c r="U183" i="4"/>
  <c r="BG184" i="4"/>
  <c r="U185" i="4"/>
  <c r="BG186" i="4"/>
  <c r="U187" i="4"/>
  <c r="BG188" i="4"/>
  <c r="U189" i="4"/>
  <c r="BG190" i="4"/>
  <c r="U191" i="4"/>
  <c r="BG192" i="4"/>
  <c r="U193" i="4"/>
  <c r="BG193" i="4"/>
  <c r="U194" i="4"/>
  <c r="BG195" i="4"/>
  <c r="U196" i="4"/>
  <c r="BG197" i="4"/>
  <c r="U198" i="4"/>
  <c r="BG198" i="4"/>
  <c r="U199" i="4"/>
  <c r="BG194" i="4"/>
  <c r="U195" i="4"/>
  <c r="BG196" i="4"/>
  <c r="U197" i="4"/>
  <c r="BG199" i="4"/>
  <c r="U200" i="4"/>
  <c r="BI170" i="4"/>
  <c r="W171" i="4"/>
  <c r="BI172" i="4"/>
  <c r="W173" i="4"/>
  <c r="BI174" i="4"/>
  <c r="W175" i="4"/>
  <c r="BI176" i="4"/>
  <c r="W177" i="4"/>
  <c r="BI178" i="4"/>
  <c r="W179" i="4"/>
  <c r="BI180" i="4"/>
  <c r="W181" i="4"/>
  <c r="BI182" i="4"/>
  <c r="W183" i="4"/>
  <c r="BI184" i="4"/>
  <c r="W185" i="4"/>
  <c r="BI186" i="4"/>
  <c r="W187" i="4"/>
  <c r="BI188" i="4"/>
  <c r="W189" i="4"/>
  <c r="BI190" i="4"/>
  <c r="W191" i="4"/>
  <c r="BI192" i="4"/>
  <c r="W193" i="4"/>
  <c r="BI171" i="4"/>
  <c r="W172" i="4"/>
  <c r="BI179" i="4"/>
  <c r="W180" i="4"/>
  <c r="BI187" i="4"/>
  <c r="W188" i="4"/>
  <c r="BI196" i="4"/>
  <c r="W197" i="4"/>
  <c r="BI169" i="4"/>
  <c r="BI177" i="4"/>
  <c r="W178" i="4"/>
  <c r="BI185" i="4"/>
  <c r="W186" i="4"/>
  <c r="BI193" i="4"/>
  <c r="W194" i="4"/>
  <c r="BI195" i="4"/>
  <c r="W196" i="4"/>
  <c r="BI197" i="4"/>
  <c r="W198" i="4"/>
  <c r="BI175" i="4"/>
  <c r="W176" i="4"/>
  <c r="BI194" i="4"/>
  <c r="W195" i="4"/>
  <c r="BI189" i="4"/>
  <c r="W190" i="4"/>
  <c r="BI183" i="4"/>
  <c r="W184" i="4"/>
  <c r="BI199" i="4"/>
  <c r="W200" i="4"/>
  <c r="BI173" i="4"/>
  <c r="W174" i="4"/>
  <c r="BI181" i="4"/>
  <c r="W182" i="4"/>
  <c r="BI198" i="4"/>
  <c r="W199" i="4"/>
  <c r="BI191" i="4"/>
  <c r="W192" i="4"/>
  <c r="AW169" i="4"/>
  <c r="AW171" i="4"/>
  <c r="K172" i="4"/>
  <c r="AW173" i="4"/>
  <c r="K174" i="4"/>
  <c r="AW175" i="4"/>
  <c r="K176" i="4"/>
  <c r="AW177" i="4"/>
  <c r="K178" i="4"/>
  <c r="AW179" i="4"/>
  <c r="K180" i="4"/>
  <c r="AW181" i="4"/>
  <c r="K182" i="4"/>
  <c r="AW183" i="4"/>
  <c r="K184" i="4"/>
  <c r="AW185" i="4"/>
  <c r="K186" i="4"/>
  <c r="AW187" i="4"/>
  <c r="K188" i="4"/>
  <c r="AW189" i="4"/>
  <c r="K190" i="4"/>
  <c r="AW191" i="4"/>
  <c r="K192" i="4"/>
  <c r="AW193" i="4"/>
  <c r="K194" i="4"/>
  <c r="AW170" i="4"/>
  <c r="K171" i="4"/>
  <c r="AW172" i="4"/>
  <c r="K173" i="4"/>
  <c r="AW174" i="4"/>
  <c r="K175" i="4"/>
  <c r="AW176" i="4"/>
  <c r="K177" i="4"/>
  <c r="AW178" i="4"/>
  <c r="K179" i="4"/>
  <c r="AW180" i="4"/>
  <c r="K181" i="4"/>
  <c r="AW182" i="4"/>
  <c r="K183" i="4"/>
  <c r="AW184" i="4"/>
  <c r="K185" i="4"/>
  <c r="AW186" i="4"/>
  <c r="K187" i="4"/>
  <c r="AW188" i="4"/>
  <c r="K189" i="4"/>
  <c r="AW190" i="4"/>
  <c r="K191" i="4"/>
  <c r="AW192" i="4"/>
  <c r="K193" i="4"/>
  <c r="AW195" i="4"/>
  <c r="K196" i="4"/>
  <c r="AW197" i="4"/>
  <c r="K198" i="4"/>
  <c r="AW199" i="4"/>
  <c r="K200" i="4"/>
  <c r="AW198" i="4"/>
  <c r="K199" i="4"/>
  <c r="AW194" i="4"/>
  <c r="K195" i="4"/>
  <c r="AW196" i="4"/>
  <c r="K197" i="4"/>
  <c r="BJ170" i="4"/>
  <c r="X171" i="4"/>
  <c r="BJ172" i="4"/>
  <c r="X173" i="4"/>
  <c r="BJ174" i="4"/>
  <c r="X175" i="4"/>
  <c r="BJ176" i="4"/>
  <c r="X177" i="4"/>
  <c r="BJ178" i="4"/>
  <c r="X179" i="4"/>
  <c r="BJ180" i="4"/>
  <c r="X181" i="4"/>
  <c r="BJ182" i="4"/>
  <c r="X183" i="4"/>
  <c r="BJ184" i="4"/>
  <c r="X185" i="4"/>
  <c r="BJ186" i="4"/>
  <c r="X187" i="4"/>
  <c r="BJ191" i="4"/>
  <c r="X192" i="4"/>
  <c r="BJ171" i="4"/>
  <c r="X172" i="4"/>
  <c r="BJ179" i="4"/>
  <c r="X180" i="4"/>
  <c r="BJ187" i="4"/>
  <c r="X188" i="4"/>
  <c r="BJ199" i="4"/>
  <c r="X200" i="4"/>
  <c r="BJ190" i="4"/>
  <c r="X191" i="4"/>
  <c r="BJ189" i="4"/>
  <c r="X190" i="4"/>
  <c r="BJ173" i="4"/>
  <c r="X174" i="4"/>
  <c r="BJ169" i="4"/>
  <c r="BJ177" i="4"/>
  <c r="X178" i="4"/>
  <c r="BJ185" i="4"/>
  <c r="X186" i="4"/>
  <c r="BJ193" i="4"/>
  <c r="X194" i="4"/>
  <c r="BJ195" i="4"/>
  <c r="X196" i="4"/>
  <c r="BJ197" i="4"/>
  <c r="X198" i="4"/>
  <c r="BJ175" i="4"/>
  <c r="X176" i="4"/>
  <c r="BJ183" i="4"/>
  <c r="X184" i="4"/>
  <c r="BJ188" i="4"/>
  <c r="X189" i="4"/>
  <c r="BJ192" i="4"/>
  <c r="X193" i="4"/>
  <c r="BJ194" i="4"/>
  <c r="X195" i="4"/>
  <c r="BJ198" i="4"/>
  <c r="X199" i="4"/>
  <c r="BJ181" i="4"/>
  <c r="X182" i="4"/>
  <c r="BJ196" i="4"/>
  <c r="X197" i="4"/>
  <c r="BW169" i="4"/>
  <c r="BW171" i="4"/>
  <c r="AK172" i="4"/>
  <c r="BW173" i="4"/>
  <c r="AK174" i="4"/>
  <c r="BW175" i="4"/>
  <c r="AK176" i="4"/>
  <c r="BW177" i="4"/>
  <c r="AK178" i="4"/>
  <c r="BW179" i="4"/>
  <c r="AK180" i="4"/>
  <c r="BW181" i="4"/>
  <c r="AK182" i="4"/>
  <c r="BW183" i="4"/>
  <c r="AK184" i="4"/>
  <c r="BW185" i="4"/>
  <c r="AK186" i="4"/>
  <c r="BW170" i="4"/>
  <c r="AK171" i="4"/>
  <c r="BW172" i="4"/>
  <c r="AK173" i="4"/>
  <c r="BW174" i="4"/>
  <c r="AK175" i="4"/>
  <c r="BW176" i="4"/>
  <c r="AK177" i="4"/>
  <c r="BW178" i="4"/>
  <c r="AK179" i="4"/>
  <c r="BW180" i="4"/>
  <c r="AK181" i="4"/>
  <c r="BW182" i="4"/>
  <c r="AK183" i="4"/>
  <c r="BW184" i="4"/>
  <c r="AK185" i="4"/>
  <c r="BW186" i="4"/>
  <c r="AK187" i="4"/>
  <c r="BW188" i="4"/>
  <c r="AK189" i="4"/>
  <c r="BW190" i="4"/>
  <c r="AK191" i="4"/>
  <c r="BW189" i="4"/>
  <c r="AK190" i="4"/>
  <c r="BW194" i="4"/>
  <c r="AK195" i="4"/>
  <c r="BW196" i="4"/>
  <c r="AK197" i="4"/>
  <c r="BW198" i="4"/>
  <c r="AK199" i="4"/>
  <c r="BW192" i="4"/>
  <c r="AK193" i="4"/>
  <c r="BW199" i="4"/>
  <c r="AK200" i="4"/>
  <c r="BW187" i="4"/>
  <c r="AK188" i="4"/>
  <c r="BW191" i="4"/>
  <c r="AK192" i="4"/>
  <c r="BW193" i="4"/>
  <c r="AK194" i="4"/>
  <c r="BW195" i="4"/>
  <c r="AK196" i="4"/>
  <c r="BW197" i="4"/>
  <c r="AK198" i="4"/>
  <c r="AR170" i="4"/>
  <c r="F171" i="4"/>
  <c r="AR178" i="4"/>
  <c r="F179" i="4"/>
  <c r="AR186" i="4"/>
  <c r="F187" i="4"/>
  <c r="AR194" i="4"/>
  <c r="F195" i="4"/>
  <c r="AR182" i="4"/>
  <c r="F183" i="4"/>
  <c r="AR184" i="4"/>
  <c r="F185" i="4"/>
  <c r="AR171" i="4"/>
  <c r="F172" i="4"/>
  <c r="AR179" i="4"/>
  <c r="F180" i="4"/>
  <c r="AR187" i="4"/>
  <c r="F188" i="4"/>
  <c r="AR195" i="4"/>
  <c r="F196" i="4"/>
  <c r="AR169" i="4"/>
  <c r="F170" i="4"/>
  <c r="AR172" i="4"/>
  <c r="F173" i="4"/>
  <c r="AR180" i="4"/>
  <c r="F181" i="4"/>
  <c r="AR188" i="4"/>
  <c r="F189" i="4"/>
  <c r="AR196" i="4"/>
  <c r="F197" i="4"/>
  <c r="AR174" i="4"/>
  <c r="F175" i="4"/>
  <c r="AR173" i="4"/>
  <c r="F174" i="4"/>
  <c r="AR181" i="4"/>
  <c r="F182" i="4"/>
  <c r="AR189" i="4"/>
  <c r="F190" i="4"/>
  <c r="AR197" i="4"/>
  <c r="F198" i="4"/>
  <c r="AR190" i="4"/>
  <c r="F191" i="4"/>
  <c r="AR176" i="4"/>
  <c r="F177" i="4"/>
  <c r="AR175" i="4"/>
  <c r="F176" i="4"/>
  <c r="AR183" i="4"/>
  <c r="F184" i="4"/>
  <c r="AR191" i="4"/>
  <c r="F192" i="4"/>
  <c r="AR199" i="4"/>
  <c r="F200" i="4"/>
  <c r="AR192" i="4"/>
  <c r="F193" i="4"/>
  <c r="AR177" i="4"/>
  <c r="F178" i="4"/>
  <c r="AR193" i="4"/>
  <c r="F194" i="4"/>
  <c r="AR185" i="4"/>
  <c r="F186" i="4"/>
  <c r="BL170" i="4"/>
  <c r="Z171" i="4"/>
  <c r="BL172" i="4"/>
  <c r="Z173" i="4"/>
  <c r="BL174" i="4"/>
  <c r="Z175" i="4"/>
  <c r="BL176" i="4"/>
  <c r="Z177" i="4"/>
  <c r="BL178" i="4"/>
  <c r="Z179" i="4"/>
  <c r="BL180" i="4"/>
  <c r="Z181" i="4"/>
  <c r="BL182" i="4"/>
  <c r="Z183" i="4"/>
  <c r="BL184" i="4"/>
  <c r="Z185" i="4"/>
  <c r="BL186" i="4"/>
  <c r="Z187" i="4"/>
  <c r="BL188" i="4"/>
  <c r="Z189" i="4"/>
  <c r="BL190" i="4"/>
  <c r="Z191" i="4"/>
  <c r="BL192" i="4"/>
  <c r="Z193" i="4"/>
  <c r="BL169" i="4"/>
  <c r="BL171" i="4"/>
  <c r="Z172" i="4"/>
  <c r="BL173" i="4"/>
  <c r="Z174" i="4"/>
  <c r="BL175" i="4"/>
  <c r="Z176" i="4"/>
  <c r="BL177" i="4"/>
  <c r="Z178" i="4"/>
  <c r="BL179" i="4"/>
  <c r="Z180" i="4"/>
  <c r="BL181" i="4"/>
  <c r="Z182" i="4"/>
  <c r="BL183" i="4"/>
  <c r="Z184" i="4"/>
  <c r="BL185" i="4"/>
  <c r="Z186" i="4"/>
  <c r="BL187" i="4"/>
  <c r="Z188" i="4"/>
  <c r="BL189" i="4"/>
  <c r="Z190" i="4"/>
  <c r="BL191" i="4"/>
  <c r="Z192" i="4"/>
  <c r="BL194" i="4"/>
  <c r="Z195" i="4"/>
  <c r="BL196" i="4"/>
  <c r="Z197" i="4"/>
  <c r="BL198" i="4"/>
  <c r="Z199" i="4"/>
  <c r="BL199" i="4"/>
  <c r="Z200" i="4"/>
  <c r="BL193" i="4"/>
  <c r="Z194" i="4"/>
  <c r="BL197" i="4"/>
  <c r="Z198" i="4"/>
  <c r="BL195" i="4"/>
  <c r="Z196" i="4"/>
  <c r="BM169" i="4"/>
  <c r="BM171" i="4"/>
  <c r="AA172" i="4"/>
  <c r="BM173" i="4"/>
  <c r="AA174" i="4"/>
  <c r="BM175" i="4"/>
  <c r="AA176" i="4"/>
  <c r="BM177" i="4"/>
  <c r="AA178" i="4"/>
  <c r="BM179" i="4"/>
  <c r="AA180" i="4"/>
  <c r="BM181" i="4"/>
  <c r="AA182" i="4"/>
  <c r="BM183" i="4"/>
  <c r="AA184" i="4"/>
  <c r="BM185" i="4"/>
  <c r="AA186" i="4"/>
  <c r="BM187" i="4"/>
  <c r="AA188" i="4"/>
  <c r="BM170" i="4"/>
  <c r="AA171" i="4"/>
  <c r="BM172" i="4"/>
  <c r="AA173" i="4"/>
  <c r="BM174" i="4"/>
  <c r="AA175" i="4"/>
  <c r="BM176" i="4"/>
  <c r="AA177" i="4"/>
  <c r="BM178" i="4"/>
  <c r="AA179" i="4"/>
  <c r="BM180" i="4"/>
  <c r="AA181" i="4"/>
  <c r="BM182" i="4"/>
  <c r="AA183" i="4"/>
  <c r="BM184" i="4"/>
  <c r="AA185" i="4"/>
  <c r="BM186" i="4"/>
  <c r="AA187" i="4"/>
  <c r="BM188" i="4"/>
  <c r="AA189" i="4"/>
  <c r="BM190" i="4"/>
  <c r="AA191" i="4"/>
  <c r="BM192" i="4"/>
  <c r="AA193" i="4"/>
  <c r="BM191" i="4"/>
  <c r="AA192" i="4"/>
  <c r="BM194" i="4"/>
  <c r="AA195" i="4"/>
  <c r="BM196" i="4"/>
  <c r="AA197" i="4"/>
  <c r="BM198" i="4"/>
  <c r="AA199" i="4"/>
  <c r="BM199" i="4"/>
  <c r="AA200" i="4"/>
  <c r="BM189" i="4"/>
  <c r="AA190" i="4"/>
  <c r="BM193" i="4"/>
  <c r="AA194" i="4"/>
  <c r="BM195" i="4"/>
  <c r="AA196" i="4"/>
  <c r="BM197" i="4"/>
  <c r="AA198" i="4"/>
  <c r="BV170" i="4"/>
  <c r="AJ171" i="4"/>
  <c r="BV172" i="4"/>
  <c r="AJ173" i="4"/>
  <c r="BV174" i="4"/>
  <c r="AJ175" i="4"/>
  <c r="BV176" i="4"/>
  <c r="AJ177" i="4"/>
  <c r="BV178" i="4"/>
  <c r="AJ179" i="4"/>
  <c r="BV180" i="4"/>
  <c r="AJ181" i="4"/>
  <c r="BV182" i="4"/>
  <c r="AJ183" i="4"/>
  <c r="BV184" i="4"/>
  <c r="AJ185" i="4"/>
  <c r="BV186" i="4"/>
  <c r="AJ187" i="4"/>
  <c r="BV188" i="4"/>
  <c r="AJ189" i="4"/>
  <c r="BV190" i="4"/>
  <c r="AJ191" i="4"/>
  <c r="BV192" i="4"/>
  <c r="AJ193" i="4"/>
  <c r="BV169" i="4"/>
  <c r="BV171" i="4"/>
  <c r="AJ172" i="4"/>
  <c r="BV173" i="4"/>
  <c r="AJ174" i="4"/>
  <c r="BV175" i="4"/>
  <c r="AJ176" i="4"/>
  <c r="BV177" i="4"/>
  <c r="AJ178" i="4"/>
  <c r="BV179" i="4"/>
  <c r="AJ180" i="4"/>
  <c r="BV181" i="4"/>
  <c r="AJ182" i="4"/>
  <c r="BV183" i="4"/>
  <c r="AJ184" i="4"/>
  <c r="BV185" i="4"/>
  <c r="AJ186" i="4"/>
  <c r="BV187" i="4"/>
  <c r="AJ188" i="4"/>
  <c r="BV189" i="4"/>
  <c r="AJ190" i="4"/>
  <c r="BV191" i="4"/>
  <c r="AJ192" i="4"/>
  <c r="BV194" i="4"/>
  <c r="AJ195" i="4"/>
  <c r="BV196" i="4"/>
  <c r="AJ197" i="4"/>
  <c r="BV198" i="4"/>
  <c r="AJ199" i="4"/>
  <c r="BV195" i="4"/>
  <c r="AJ196" i="4"/>
  <c r="BV199" i="4"/>
  <c r="AJ200" i="4"/>
  <c r="BV193" i="4"/>
  <c r="AJ194" i="4"/>
  <c r="BV197" i="4"/>
  <c r="AJ198" i="4"/>
  <c r="BZ169" i="4"/>
  <c r="BZ171" i="4"/>
  <c r="AN172" i="4"/>
  <c r="BZ173" i="4"/>
  <c r="AN174" i="4"/>
  <c r="BZ175" i="4"/>
  <c r="AN176" i="4"/>
  <c r="BZ177" i="4"/>
  <c r="AN178" i="4"/>
  <c r="BZ179" i="4"/>
  <c r="AN180" i="4"/>
  <c r="BZ181" i="4"/>
  <c r="AN182" i="4"/>
  <c r="BZ183" i="4"/>
  <c r="AN184" i="4"/>
  <c r="BZ185" i="4"/>
  <c r="AN186" i="4"/>
  <c r="BZ187" i="4"/>
  <c r="AN188" i="4"/>
  <c r="BZ189" i="4"/>
  <c r="AN190" i="4"/>
  <c r="BZ191" i="4"/>
  <c r="AN192" i="4"/>
  <c r="BZ170" i="4"/>
  <c r="AN171" i="4"/>
  <c r="BZ172" i="4"/>
  <c r="AN173" i="4"/>
  <c r="BZ174" i="4"/>
  <c r="AN175" i="4"/>
  <c r="BZ176" i="4"/>
  <c r="AN177" i="4"/>
  <c r="BZ178" i="4"/>
  <c r="AN179" i="4"/>
  <c r="BZ180" i="4"/>
  <c r="AN181" i="4"/>
  <c r="BZ182" i="4"/>
  <c r="AN183" i="4"/>
  <c r="BZ184" i="4"/>
  <c r="AN185" i="4"/>
  <c r="BZ186" i="4"/>
  <c r="AN187" i="4"/>
  <c r="BZ188" i="4"/>
  <c r="AN189" i="4"/>
  <c r="BZ190" i="4"/>
  <c r="AN191" i="4"/>
  <c r="BZ193" i="4"/>
  <c r="AN194" i="4"/>
  <c r="BZ195" i="4"/>
  <c r="AN196" i="4"/>
  <c r="BZ197" i="4"/>
  <c r="AN198" i="4"/>
  <c r="BZ196" i="4"/>
  <c r="AN197" i="4"/>
  <c r="BZ192" i="4"/>
  <c r="AN193" i="4"/>
  <c r="BZ198" i="4"/>
  <c r="AN199" i="4"/>
  <c r="BZ199" i="4"/>
  <c r="AN200" i="4"/>
  <c r="BZ194" i="4"/>
  <c r="AN195" i="4"/>
  <c r="BE169" i="4"/>
  <c r="BE171" i="4"/>
  <c r="S172" i="4"/>
  <c r="BE173" i="4"/>
  <c r="S174" i="4"/>
  <c r="BE175" i="4"/>
  <c r="S176" i="4"/>
  <c r="BE177" i="4"/>
  <c r="S178" i="4"/>
  <c r="BE179" i="4"/>
  <c r="S180" i="4"/>
  <c r="BE181" i="4"/>
  <c r="S182" i="4"/>
  <c r="BE183" i="4"/>
  <c r="S184" i="4"/>
  <c r="BE185" i="4"/>
  <c r="S186" i="4"/>
  <c r="BE187" i="4"/>
  <c r="S188" i="4"/>
  <c r="BE190" i="4"/>
  <c r="S191" i="4"/>
  <c r="BE188" i="4"/>
  <c r="S189" i="4"/>
  <c r="BE192" i="4"/>
  <c r="S193" i="4"/>
  <c r="BE170" i="4"/>
  <c r="S171" i="4"/>
  <c r="BE178" i="4"/>
  <c r="S179" i="4"/>
  <c r="BE186" i="4"/>
  <c r="S187" i="4"/>
  <c r="BE199" i="4"/>
  <c r="S200" i="4"/>
  <c r="BE189" i="4"/>
  <c r="S190" i="4"/>
  <c r="BE176" i="4"/>
  <c r="S177" i="4"/>
  <c r="BE184" i="4"/>
  <c r="S185" i="4"/>
  <c r="BE194" i="4"/>
  <c r="S195" i="4"/>
  <c r="BE196" i="4"/>
  <c r="S197" i="4"/>
  <c r="BE198" i="4"/>
  <c r="S199" i="4"/>
  <c r="BE191" i="4"/>
  <c r="S192" i="4"/>
  <c r="BE174" i="4"/>
  <c r="S175" i="4"/>
  <c r="BE182" i="4"/>
  <c r="S183" i="4"/>
  <c r="BE172" i="4"/>
  <c r="S173" i="4"/>
  <c r="BE197" i="4"/>
  <c r="S198" i="4"/>
  <c r="BE180" i="4"/>
  <c r="S181" i="4"/>
  <c r="BE195" i="4"/>
  <c r="S196" i="4"/>
  <c r="BE193" i="4"/>
  <c r="S194" i="4"/>
  <c r="BB170" i="4"/>
  <c r="P171" i="4"/>
  <c r="BB172" i="4"/>
  <c r="P173" i="4"/>
  <c r="BB174" i="4"/>
  <c r="P175" i="4"/>
  <c r="BB176" i="4"/>
  <c r="P177" i="4"/>
  <c r="BB178" i="4"/>
  <c r="P179" i="4"/>
  <c r="BB180" i="4"/>
  <c r="P181" i="4"/>
  <c r="BB182" i="4"/>
  <c r="P183" i="4"/>
  <c r="BB184" i="4"/>
  <c r="P185" i="4"/>
  <c r="BB186" i="4"/>
  <c r="P187" i="4"/>
  <c r="BB188" i="4"/>
  <c r="P189" i="4"/>
  <c r="BB190" i="4"/>
  <c r="P191" i="4"/>
  <c r="BB192" i="4"/>
  <c r="P193" i="4"/>
  <c r="BB169" i="4"/>
  <c r="BB171" i="4"/>
  <c r="P172" i="4"/>
  <c r="BB173" i="4"/>
  <c r="P174" i="4"/>
  <c r="BB175" i="4"/>
  <c r="P176" i="4"/>
  <c r="BB177" i="4"/>
  <c r="P178" i="4"/>
  <c r="BB179" i="4"/>
  <c r="P180" i="4"/>
  <c r="BB181" i="4"/>
  <c r="P182" i="4"/>
  <c r="BB183" i="4"/>
  <c r="P184" i="4"/>
  <c r="BB185" i="4"/>
  <c r="P186" i="4"/>
  <c r="BB187" i="4"/>
  <c r="P188" i="4"/>
  <c r="BB189" i="4"/>
  <c r="P190" i="4"/>
  <c r="BB191" i="4"/>
  <c r="P192" i="4"/>
  <c r="BB194" i="4"/>
  <c r="P195" i="4"/>
  <c r="BB196" i="4"/>
  <c r="P197" i="4"/>
  <c r="BB198" i="4"/>
  <c r="P199" i="4"/>
  <c r="BB193" i="4"/>
  <c r="P194" i="4"/>
  <c r="BB195" i="4"/>
  <c r="P196" i="4"/>
  <c r="BB197" i="4"/>
  <c r="P198" i="4"/>
  <c r="BB199" i="4"/>
  <c r="P200" i="4"/>
  <c r="BT170" i="4"/>
  <c r="AH171" i="4"/>
  <c r="BT172" i="4"/>
  <c r="AH173" i="4"/>
  <c r="BT174" i="4"/>
  <c r="AH175" i="4"/>
  <c r="BT176" i="4"/>
  <c r="AH177" i="4"/>
  <c r="BT178" i="4"/>
  <c r="AH179" i="4"/>
  <c r="BT180" i="4"/>
  <c r="AH181" i="4"/>
  <c r="BT182" i="4"/>
  <c r="AH183" i="4"/>
  <c r="BT184" i="4"/>
  <c r="AH185" i="4"/>
  <c r="BT186" i="4"/>
  <c r="AH187" i="4"/>
  <c r="BT189" i="4"/>
  <c r="AH190" i="4"/>
  <c r="BT199" i="4"/>
  <c r="AH200" i="4"/>
  <c r="BT190" i="4"/>
  <c r="AH191" i="4"/>
  <c r="BT173" i="4"/>
  <c r="AH174" i="4"/>
  <c r="BT181" i="4"/>
  <c r="AH182" i="4"/>
  <c r="BT188" i="4"/>
  <c r="AH189" i="4"/>
  <c r="BT192" i="4"/>
  <c r="AH193" i="4"/>
  <c r="BT191" i="4"/>
  <c r="AH192" i="4"/>
  <c r="BT175" i="4"/>
  <c r="AH176" i="4"/>
  <c r="BT171" i="4"/>
  <c r="AH172" i="4"/>
  <c r="BT179" i="4"/>
  <c r="AH180" i="4"/>
  <c r="BT193" i="4"/>
  <c r="AH194" i="4"/>
  <c r="BT195" i="4"/>
  <c r="AH196" i="4"/>
  <c r="BT197" i="4"/>
  <c r="AH198" i="4"/>
  <c r="BT187" i="4"/>
  <c r="AH188" i="4"/>
  <c r="BT169" i="4"/>
  <c r="BT177" i="4"/>
  <c r="AH178" i="4"/>
  <c r="BT185" i="4"/>
  <c r="AH186" i="4"/>
  <c r="BT194" i="4"/>
  <c r="AH195" i="4"/>
  <c r="BT183" i="4"/>
  <c r="AH184" i="4"/>
  <c r="BT198" i="4"/>
  <c r="AH199" i="4"/>
  <c r="BT196" i="4"/>
  <c r="AH197" i="4"/>
  <c r="AT169" i="4"/>
  <c r="AT171" i="4"/>
  <c r="H172" i="4"/>
  <c r="AT173" i="4"/>
  <c r="H174" i="4"/>
  <c r="AT175" i="4"/>
  <c r="H176" i="4"/>
  <c r="AT177" i="4"/>
  <c r="H178" i="4"/>
  <c r="AT179" i="4"/>
  <c r="H180" i="4"/>
  <c r="AT181" i="4"/>
  <c r="H182" i="4"/>
  <c r="AT183" i="4"/>
  <c r="H184" i="4"/>
  <c r="AT185" i="4"/>
  <c r="H186" i="4"/>
  <c r="AT187" i="4"/>
  <c r="H188" i="4"/>
  <c r="AT189" i="4"/>
  <c r="H190" i="4"/>
  <c r="AT191" i="4"/>
  <c r="H192" i="4"/>
  <c r="AT193" i="4"/>
  <c r="H194" i="4"/>
  <c r="AT176" i="4"/>
  <c r="H177" i="4"/>
  <c r="AT184" i="4"/>
  <c r="H185" i="4"/>
  <c r="AT180" i="4"/>
  <c r="H181" i="4"/>
  <c r="AT195" i="4"/>
  <c r="H196" i="4"/>
  <c r="AT174" i="4"/>
  <c r="H175" i="4"/>
  <c r="AT182" i="4"/>
  <c r="H183" i="4"/>
  <c r="AT194" i="4"/>
  <c r="H195" i="4"/>
  <c r="AT196" i="4"/>
  <c r="H197" i="4"/>
  <c r="AT198" i="4"/>
  <c r="H199" i="4"/>
  <c r="AT172" i="4"/>
  <c r="H173" i="4"/>
  <c r="AT199" i="4"/>
  <c r="H200" i="4"/>
  <c r="AT190" i="4"/>
  <c r="H191" i="4"/>
  <c r="AT170" i="4"/>
  <c r="H171" i="4"/>
  <c r="AT178" i="4"/>
  <c r="H179" i="4"/>
  <c r="AT186" i="4"/>
  <c r="H187" i="4"/>
  <c r="AT197" i="4"/>
  <c r="H198" i="4"/>
  <c r="AT192" i="4"/>
  <c r="H193" i="4"/>
  <c r="AT188" i="4"/>
  <c r="H189" i="4"/>
  <c r="AS169" i="4"/>
  <c r="AS171" i="4"/>
  <c r="G172" i="4"/>
  <c r="AS173" i="4"/>
  <c r="G174" i="4"/>
  <c r="AS175" i="4"/>
  <c r="G176" i="4"/>
  <c r="AS177" i="4"/>
  <c r="G178" i="4"/>
  <c r="AS179" i="4"/>
  <c r="G180" i="4"/>
  <c r="AS181" i="4"/>
  <c r="G182" i="4"/>
  <c r="AS183" i="4"/>
  <c r="G184" i="4"/>
  <c r="AS185" i="4"/>
  <c r="G186" i="4"/>
  <c r="AS187" i="4"/>
  <c r="G188" i="4"/>
  <c r="AS170" i="4"/>
  <c r="G171" i="4"/>
  <c r="AS172" i="4"/>
  <c r="G173" i="4"/>
  <c r="AS174" i="4"/>
  <c r="G175" i="4"/>
  <c r="AS176" i="4"/>
  <c r="G177" i="4"/>
  <c r="AS178" i="4"/>
  <c r="G179" i="4"/>
  <c r="AS180" i="4"/>
  <c r="G181" i="4"/>
  <c r="AS182" i="4"/>
  <c r="G183" i="4"/>
  <c r="AS184" i="4"/>
  <c r="G185" i="4"/>
  <c r="AS186" i="4"/>
  <c r="G187" i="4"/>
  <c r="AS188" i="4"/>
  <c r="G189" i="4"/>
  <c r="AS190" i="4"/>
  <c r="G191" i="4"/>
  <c r="AS192" i="4"/>
  <c r="G193" i="4"/>
  <c r="AS191" i="4"/>
  <c r="G192" i="4"/>
  <c r="AS194" i="4"/>
  <c r="G195" i="4"/>
  <c r="AS196" i="4"/>
  <c r="G197" i="4"/>
  <c r="AS198" i="4"/>
  <c r="G199" i="4"/>
  <c r="AS189" i="4"/>
  <c r="G190" i="4"/>
  <c r="AS195" i="4"/>
  <c r="G196" i="4"/>
  <c r="AS193" i="4"/>
  <c r="G194" i="4"/>
  <c r="BN169" i="4"/>
  <c r="BN171" i="4"/>
  <c r="AB172" i="4"/>
  <c r="BN173" i="4"/>
  <c r="AB174" i="4"/>
  <c r="BN175" i="4"/>
  <c r="AB176" i="4"/>
  <c r="BN177" i="4"/>
  <c r="AB178" i="4"/>
  <c r="BN179" i="4"/>
  <c r="AB180" i="4"/>
  <c r="BN181" i="4"/>
  <c r="AB182" i="4"/>
  <c r="BN183" i="4"/>
  <c r="AB184" i="4"/>
  <c r="BN185" i="4"/>
  <c r="AB186" i="4"/>
  <c r="BN187" i="4"/>
  <c r="AB188" i="4"/>
  <c r="BN189" i="4"/>
  <c r="AB190" i="4"/>
  <c r="BN191" i="4"/>
  <c r="AB192" i="4"/>
  <c r="BN172" i="4"/>
  <c r="AB173" i="4"/>
  <c r="BN180" i="4"/>
  <c r="AB181" i="4"/>
  <c r="BN184" i="4"/>
  <c r="AB185" i="4"/>
  <c r="BN197" i="4"/>
  <c r="AB198" i="4"/>
  <c r="BN170" i="4"/>
  <c r="AB171" i="4"/>
  <c r="BN178" i="4"/>
  <c r="AB179" i="4"/>
  <c r="BN186" i="4"/>
  <c r="AB187" i="4"/>
  <c r="BN194" i="4"/>
  <c r="AB195" i="4"/>
  <c r="BN196" i="4"/>
  <c r="AB197" i="4"/>
  <c r="BN198" i="4"/>
  <c r="AB199" i="4"/>
  <c r="BN199" i="4"/>
  <c r="AB200" i="4"/>
  <c r="BN176" i="4"/>
  <c r="AB177" i="4"/>
  <c r="BN190" i="4"/>
  <c r="AB191" i="4"/>
  <c r="BN195" i="4"/>
  <c r="AB196" i="4"/>
  <c r="BN174" i="4"/>
  <c r="AB175" i="4"/>
  <c r="BN182" i="4"/>
  <c r="AB183" i="4"/>
  <c r="BN193" i="4"/>
  <c r="AB194" i="4"/>
  <c r="BN192" i="4"/>
  <c r="AB193" i="4"/>
  <c r="BN188" i="4"/>
  <c r="AB189" i="4"/>
  <c r="BD169" i="4"/>
  <c r="BD171" i="4"/>
  <c r="R172" i="4"/>
  <c r="BD173" i="4"/>
  <c r="R174" i="4"/>
  <c r="BD175" i="4"/>
  <c r="R176" i="4"/>
  <c r="BD177" i="4"/>
  <c r="R178" i="4"/>
  <c r="BD179" i="4"/>
  <c r="R180" i="4"/>
  <c r="BD181" i="4"/>
  <c r="R182" i="4"/>
  <c r="BD183" i="4"/>
  <c r="R184" i="4"/>
  <c r="BD185" i="4"/>
  <c r="R186" i="4"/>
  <c r="BD187" i="4"/>
  <c r="R188" i="4"/>
  <c r="BD189" i="4"/>
  <c r="R190" i="4"/>
  <c r="BD191" i="4"/>
  <c r="R192" i="4"/>
  <c r="BD170" i="4"/>
  <c r="R171" i="4"/>
  <c r="BD178" i="4"/>
  <c r="R179" i="4"/>
  <c r="BD186" i="4"/>
  <c r="R187" i="4"/>
  <c r="BD199" i="4"/>
  <c r="R200" i="4"/>
  <c r="BD176" i="4"/>
  <c r="R177" i="4"/>
  <c r="BD184" i="4"/>
  <c r="R185" i="4"/>
  <c r="BD194" i="4"/>
  <c r="R195" i="4"/>
  <c r="BD196" i="4"/>
  <c r="R197" i="4"/>
  <c r="BD198" i="4"/>
  <c r="R199" i="4"/>
  <c r="BD174" i="4"/>
  <c r="R175" i="4"/>
  <c r="BD182" i="4"/>
  <c r="R183" i="4"/>
  <c r="BD197" i="4"/>
  <c r="R198" i="4"/>
  <c r="BD188" i="4"/>
  <c r="R189" i="4"/>
  <c r="BD192" i="4"/>
  <c r="R193" i="4"/>
  <c r="BD172" i="4"/>
  <c r="R173" i="4"/>
  <c r="BD180" i="4"/>
  <c r="R181" i="4"/>
  <c r="BD193" i="4"/>
  <c r="R194" i="4"/>
  <c r="BD195" i="4"/>
  <c r="R196" i="4"/>
  <c r="BD190" i="4"/>
  <c r="R191" i="4"/>
  <c r="BY169" i="4"/>
  <c r="BY171" i="4"/>
  <c r="AM172" i="4"/>
  <c r="BY173" i="4"/>
  <c r="AM174" i="4"/>
  <c r="BY175" i="4"/>
  <c r="AM176" i="4"/>
  <c r="BY177" i="4"/>
  <c r="AM178" i="4"/>
  <c r="BY179" i="4"/>
  <c r="AM180" i="4"/>
  <c r="BY181" i="4"/>
  <c r="AM182" i="4"/>
  <c r="BY183" i="4"/>
  <c r="AM184" i="4"/>
  <c r="BY185" i="4"/>
  <c r="AM186" i="4"/>
  <c r="BY190" i="4"/>
  <c r="AM191" i="4"/>
  <c r="BY174" i="4"/>
  <c r="AM175" i="4"/>
  <c r="BY182" i="4"/>
  <c r="AM183" i="4"/>
  <c r="BY188" i="4"/>
  <c r="AM189" i="4"/>
  <c r="BY189" i="4"/>
  <c r="AM190" i="4"/>
  <c r="BY191" i="4"/>
  <c r="AM192" i="4"/>
  <c r="BY172" i="4"/>
  <c r="AM173" i="4"/>
  <c r="BY180" i="4"/>
  <c r="AM181" i="4"/>
  <c r="BY194" i="4"/>
  <c r="AM195" i="4"/>
  <c r="BY196" i="4"/>
  <c r="AM197" i="4"/>
  <c r="BY198" i="4"/>
  <c r="AM199" i="4"/>
  <c r="BY170" i="4"/>
  <c r="AM171" i="4"/>
  <c r="BY178" i="4"/>
  <c r="AM179" i="4"/>
  <c r="BY186" i="4"/>
  <c r="AM187" i="4"/>
  <c r="BY192" i="4"/>
  <c r="AM193" i="4"/>
  <c r="BY199" i="4"/>
  <c r="AM200" i="4"/>
  <c r="BY187" i="4"/>
  <c r="AM188" i="4"/>
  <c r="BY195" i="4"/>
  <c r="AM196" i="4"/>
  <c r="BY176" i="4"/>
  <c r="AM177" i="4"/>
  <c r="BY197" i="4"/>
  <c r="AM198" i="4"/>
  <c r="BY193" i="4"/>
  <c r="AM194" i="4"/>
  <c r="BY184" i="4"/>
  <c r="AM185" i="4"/>
  <c r="BS170" i="4"/>
  <c r="AG171" i="4"/>
  <c r="BS172" i="4"/>
  <c r="AG173" i="4"/>
  <c r="BS174" i="4"/>
  <c r="AG175" i="4"/>
  <c r="BS176" i="4"/>
  <c r="AG177" i="4"/>
  <c r="BS178" i="4"/>
  <c r="AG179" i="4"/>
  <c r="BS180" i="4"/>
  <c r="AG181" i="4"/>
  <c r="BS182" i="4"/>
  <c r="AG183" i="4"/>
  <c r="BS184" i="4"/>
  <c r="AG185" i="4"/>
  <c r="BS186" i="4"/>
  <c r="AG187" i="4"/>
  <c r="BS188" i="4"/>
  <c r="AG189" i="4"/>
  <c r="BS190" i="4"/>
  <c r="AG191" i="4"/>
  <c r="BS192" i="4"/>
  <c r="AG193" i="4"/>
  <c r="BS173" i="4"/>
  <c r="AG174" i="4"/>
  <c r="BS181" i="4"/>
  <c r="AG182" i="4"/>
  <c r="BS169" i="4"/>
  <c r="BS194" i="4"/>
  <c r="AG195" i="4"/>
  <c r="BS198" i="4"/>
  <c r="AG199" i="4"/>
  <c r="BS185" i="4"/>
  <c r="AG186" i="4"/>
  <c r="BS171" i="4"/>
  <c r="AG172" i="4"/>
  <c r="BS179" i="4"/>
  <c r="AG180" i="4"/>
  <c r="BS193" i="4"/>
  <c r="AG194" i="4"/>
  <c r="BS195" i="4"/>
  <c r="AG196" i="4"/>
  <c r="BS197" i="4"/>
  <c r="AG198" i="4"/>
  <c r="BS177" i="4"/>
  <c r="AG178" i="4"/>
  <c r="BS187" i="4"/>
  <c r="AG188" i="4"/>
  <c r="BS191" i="4"/>
  <c r="AG192" i="4"/>
  <c r="BS196" i="4"/>
  <c r="AG197" i="4"/>
  <c r="BS175" i="4"/>
  <c r="AG176" i="4"/>
  <c r="BS183" i="4"/>
  <c r="AG184" i="4"/>
  <c r="BS199" i="4"/>
  <c r="AG200" i="4"/>
  <c r="BS189" i="4"/>
  <c r="AG190" i="4"/>
  <c r="AZ170" i="4"/>
  <c r="N171" i="4"/>
  <c r="AZ172" i="4"/>
  <c r="N173" i="4"/>
  <c r="AZ174" i="4"/>
  <c r="N175" i="4"/>
  <c r="AZ176" i="4"/>
  <c r="N177" i="4"/>
  <c r="AZ178" i="4"/>
  <c r="N179" i="4"/>
  <c r="AZ180" i="4"/>
  <c r="N181" i="4"/>
  <c r="AZ182" i="4"/>
  <c r="N183" i="4"/>
  <c r="AZ184" i="4"/>
  <c r="N185" i="4"/>
  <c r="AZ186" i="4"/>
  <c r="N187" i="4"/>
  <c r="AZ189" i="4"/>
  <c r="N190" i="4"/>
  <c r="AZ169" i="4"/>
  <c r="AZ177" i="4"/>
  <c r="N178" i="4"/>
  <c r="AZ185" i="4"/>
  <c r="N186" i="4"/>
  <c r="AZ191" i="4"/>
  <c r="N192" i="4"/>
  <c r="AZ199" i="4"/>
  <c r="N200" i="4"/>
  <c r="AZ188" i="4"/>
  <c r="N189" i="4"/>
  <c r="AZ192" i="4"/>
  <c r="N193" i="4"/>
  <c r="AZ175" i="4"/>
  <c r="N176" i="4"/>
  <c r="AZ183" i="4"/>
  <c r="N184" i="4"/>
  <c r="AZ193" i="4"/>
  <c r="N194" i="4"/>
  <c r="AZ195" i="4"/>
  <c r="N196" i="4"/>
  <c r="AZ197" i="4"/>
  <c r="N198" i="4"/>
  <c r="AZ171" i="4"/>
  <c r="N172" i="4"/>
  <c r="AZ173" i="4"/>
  <c r="N174" i="4"/>
  <c r="AZ181" i="4"/>
  <c r="N182" i="4"/>
  <c r="AZ190" i="4"/>
  <c r="N191" i="4"/>
  <c r="AZ187" i="4"/>
  <c r="N188" i="4"/>
  <c r="AZ179" i="4"/>
  <c r="N180" i="4"/>
  <c r="AZ196" i="4"/>
  <c r="N197" i="4"/>
  <c r="AZ198" i="4"/>
  <c r="N199" i="4"/>
  <c r="AZ194" i="4"/>
  <c r="N195" i="4"/>
  <c r="BH170" i="4"/>
  <c r="V171" i="4"/>
  <c r="BH172" i="4"/>
  <c r="V173" i="4"/>
  <c r="BH174" i="4"/>
  <c r="V175" i="4"/>
  <c r="BH176" i="4"/>
  <c r="V177" i="4"/>
  <c r="BH178" i="4"/>
  <c r="V179" i="4"/>
  <c r="BH180" i="4"/>
  <c r="V181" i="4"/>
  <c r="BH182" i="4"/>
  <c r="V183" i="4"/>
  <c r="BH184" i="4"/>
  <c r="V185" i="4"/>
  <c r="BH186" i="4"/>
  <c r="V187" i="4"/>
  <c r="BH169" i="4"/>
  <c r="BH171" i="4"/>
  <c r="V172" i="4"/>
  <c r="BH173" i="4"/>
  <c r="V174" i="4"/>
  <c r="BH175" i="4"/>
  <c r="V176" i="4"/>
  <c r="BH177" i="4"/>
  <c r="V178" i="4"/>
  <c r="BH179" i="4"/>
  <c r="V180" i="4"/>
  <c r="BH181" i="4"/>
  <c r="V182" i="4"/>
  <c r="BH183" i="4"/>
  <c r="V184" i="4"/>
  <c r="BH185" i="4"/>
  <c r="V186" i="4"/>
  <c r="BH187" i="4"/>
  <c r="V188" i="4"/>
  <c r="BH189" i="4"/>
  <c r="V190" i="4"/>
  <c r="BH191" i="4"/>
  <c r="V192" i="4"/>
  <c r="BH199" i="4"/>
  <c r="V200" i="4"/>
  <c r="BH190" i="4"/>
  <c r="V191" i="4"/>
  <c r="BH193" i="4"/>
  <c r="V194" i="4"/>
  <c r="BH195" i="4"/>
  <c r="V196" i="4"/>
  <c r="BH197" i="4"/>
  <c r="V198" i="4"/>
  <c r="BH188" i="4"/>
  <c r="V189" i="4"/>
  <c r="BH192" i="4"/>
  <c r="V193" i="4"/>
  <c r="BH194" i="4"/>
  <c r="V195" i="4"/>
  <c r="BH196" i="4"/>
  <c r="V197" i="4"/>
  <c r="BH198" i="4"/>
  <c r="V199" i="4"/>
  <c r="AX170" i="4"/>
  <c r="L171" i="4"/>
  <c r="AX172" i="4"/>
  <c r="L173" i="4"/>
  <c r="AX174" i="4"/>
  <c r="L175" i="4"/>
  <c r="AX176" i="4"/>
  <c r="L177" i="4"/>
  <c r="AX178" i="4"/>
  <c r="L179" i="4"/>
  <c r="AX180" i="4"/>
  <c r="L181" i="4"/>
  <c r="AX182" i="4"/>
  <c r="L183" i="4"/>
  <c r="AX184" i="4"/>
  <c r="L185" i="4"/>
  <c r="AX186" i="4"/>
  <c r="L187" i="4"/>
  <c r="AX169" i="4"/>
  <c r="AX171" i="4"/>
  <c r="L172" i="4"/>
  <c r="AX173" i="4"/>
  <c r="L174" i="4"/>
  <c r="AX175" i="4"/>
  <c r="L176" i="4"/>
  <c r="AX177" i="4"/>
  <c r="L178" i="4"/>
  <c r="AX179" i="4"/>
  <c r="L180" i="4"/>
  <c r="AX181" i="4"/>
  <c r="L182" i="4"/>
  <c r="AX183" i="4"/>
  <c r="L184" i="4"/>
  <c r="AX185" i="4"/>
  <c r="L186" i="4"/>
  <c r="AX187" i="4"/>
  <c r="L188" i="4"/>
  <c r="AX189" i="4"/>
  <c r="L190" i="4"/>
  <c r="AX191" i="4"/>
  <c r="L192" i="4"/>
  <c r="AX188" i="4"/>
  <c r="L189" i="4"/>
  <c r="AX192" i="4"/>
  <c r="L193" i="4"/>
  <c r="AX193" i="4"/>
  <c r="L194" i="4"/>
  <c r="AX195" i="4"/>
  <c r="L196" i="4"/>
  <c r="AX197" i="4"/>
  <c r="L198" i="4"/>
  <c r="AX199" i="4"/>
  <c r="L200" i="4"/>
  <c r="AX190" i="4"/>
  <c r="L191" i="4"/>
  <c r="AX194" i="4"/>
  <c r="L195" i="4"/>
  <c r="AX196" i="4"/>
  <c r="L197" i="4"/>
  <c r="AX198" i="4"/>
  <c r="L199" i="4"/>
  <c r="BX169" i="4"/>
  <c r="BX171" i="4"/>
  <c r="AL172" i="4"/>
  <c r="BX173" i="4"/>
  <c r="AL174" i="4"/>
  <c r="BX175" i="4"/>
  <c r="AL176" i="4"/>
  <c r="BX177" i="4"/>
  <c r="AL178" i="4"/>
  <c r="BX179" i="4"/>
  <c r="AL180" i="4"/>
  <c r="BX181" i="4"/>
  <c r="AL182" i="4"/>
  <c r="BX183" i="4"/>
  <c r="AL184" i="4"/>
  <c r="BX185" i="4"/>
  <c r="AL186" i="4"/>
  <c r="BX187" i="4"/>
  <c r="AL188" i="4"/>
  <c r="BX189" i="4"/>
  <c r="AL190" i="4"/>
  <c r="BX191" i="4"/>
  <c r="AL192" i="4"/>
  <c r="BX174" i="4"/>
  <c r="AL175" i="4"/>
  <c r="BX182" i="4"/>
  <c r="AL183" i="4"/>
  <c r="BX170" i="4"/>
  <c r="AL171" i="4"/>
  <c r="BX199" i="4"/>
  <c r="AL200" i="4"/>
  <c r="BX197" i="4"/>
  <c r="AL198" i="4"/>
  <c r="BX172" i="4"/>
  <c r="AL173" i="4"/>
  <c r="BX180" i="4"/>
  <c r="AL181" i="4"/>
  <c r="BX194" i="4"/>
  <c r="AL195" i="4"/>
  <c r="BX196" i="4"/>
  <c r="AL197" i="4"/>
  <c r="BX198" i="4"/>
  <c r="AL199" i="4"/>
  <c r="BX186" i="4"/>
  <c r="AL187" i="4"/>
  <c r="BX195" i="4"/>
  <c r="AL196" i="4"/>
  <c r="BX188" i="4"/>
  <c r="AL189" i="4"/>
  <c r="BX178" i="4"/>
  <c r="AL179" i="4"/>
  <c r="BX192" i="4"/>
  <c r="AL193" i="4"/>
  <c r="BX193" i="4"/>
  <c r="AL194" i="4"/>
  <c r="BX176" i="4"/>
  <c r="AL177" i="4"/>
  <c r="BX184" i="4"/>
  <c r="AL185" i="4"/>
  <c r="BX190" i="4"/>
  <c r="AL191" i="4"/>
  <c r="BR170" i="4"/>
  <c r="AF171" i="4"/>
  <c r="BR172" i="4"/>
  <c r="AF173" i="4"/>
  <c r="BR174" i="4"/>
  <c r="AF175" i="4"/>
  <c r="BR176" i="4"/>
  <c r="AF177" i="4"/>
  <c r="BR178" i="4"/>
  <c r="AF179" i="4"/>
  <c r="BR180" i="4"/>
  <c r="AF181" i="4"/>
  <c r="BR182" i="4"/>
  <c r="AF183" i="4"/>
  <c r="BR184" i="4"/>
  <c r="AF185" i="4"/>
  <c r="BR186" i="4"/>
  <c r="AF187" i="4"/>
  <c r="BR169" i="4"/>
  <c r="BR171" i="4"/>
  <c r="AF172" i="4"/>
  <c r="BR173" i="4"/>
  <c r="AF174" i="4"/>
  <c r="BR175" i="4"/>
  <c r="AF176" i="4"/>
  <c r="BR177" i="4"/>
  <c r="AF178" i="4"/>
  <c r="BR179" i="4"/>
  <c r="AF180" i="4"/>
  <c r="BR181" i="4"/>
  <c r="AF182" i="4"/>
  <c r="BR183" i="4"/>
  <c r="AF184" i="4"/>
  <c r="BR185" i="4"/>
  <c r="AF186" i="4"/>
  <c r="BR187" i="4"/>
  <c r="AF188" i="4"/>
  <c r="BR189" i="4"/>
  <c r="AF190" i="4"/>
  <c r="BR191" i="4"/>
  <c r="AF192" i="4"/>
  <c r="BR199" i="4"/>
  <c r="AF200" i="4"/>
  <c r="BR188" i="4"/>
  <c r="AF189" i="4"/>
  <c r="BR192" i="4"/>
  <c r="AF193" i="4"/>
  <c r="BR193" i="4"/>
  <c r="AF194" i="4"/>
  <c r="BR195" i="4"/>
  <c r="AF196" i="4"/>
  <c r="BR197" i="4"/>
  <c r="AF198" i="4"/>
  <c r="BR190" i="4"/>
  <c r="AF191" i="4"/>
  <c r="BR194" i="4"/>
  <c r="AF195" i="4"/>
  <c r="BR196" i="4"/>
  <c r="AF197" i="4"/>
  <c r="BR198" i="4"/>
  <c r="AF199" i="4"/>
  <c r="AY170" i="4"/>
  <c r="M171" i="4"/>
  <c r="AY172" i="4"/>
  <c r="M173" i="4"/>
  <c r="AY174" i="4"/>
  <c r="M175" i="4"/>
  <c r="AY176" i="4"/>
  <c r="M177" i="4"/>
  <c r="AY178" i="4"/>
  <c r="M179" i="4"/>
  <c r="AY180" i="4"/>
  <c r="M181" i="4"/>
  <c r="AY182" i="4"/>
  <c r="M183" i="4"/>
  <c r="AY184" i="4"/>
  <c r="M185" i="4"/>
  <c r="AY186" i="4"/>
  <c r="M187" i="4"/>
  <c r="AY188" i="4"/>
  <c r="M189" i="4"/>
  <c r="AY190" i="4"/>
  <c r="M191" i="4"/>
  <c r="AY192" i="4"/>
  <c r="M193" i="4"/>
  <c r="AY169" i="4"/>
  <c r="AY177" i="4"/>
  <c r="M178" i="4"/>
  <c r="AY185" i="4"/>
  <c r="M186" i="4"/>
  <c r="AY196" i="4"/>
  <c r="M197" i="4"/>
  <c r="AY181" i="4"/>
  <c r="M182" i="4"/>
  <c r="AY175" i="4"/>
  <c r="M176" i="4"/>
  <c r="AY183" i="4"/>
  <c r="M184" i="4"/>
  <c r="AY193" i="4"/>
  <c r="M194" i="4"/>
  <c r="AY195" i="4"/>
  <c r="M196" i="4"/>
  <c r="AY197" i="4"/>
  <c r="M198" i="4"/>
  <c r="AY191" i="4"/>
  <c r="M192" i="4"/>
  <c r="AY199" i="4"/>
  <c r="M200" i="4"/>
  <c r="AY173" i="4"/>
  <c r="M174" i="4"/>
  <c r="AY198" i="4"/>
  <c r="M199" i="4"/>
  <c r="AY171" i="4"/>
  <c r="M172" i="4"/>
  <c r="AY179" i="4"/>
  <c r="M180" i="4"/>
  <c r="AY187" i="4"/>
  <c r="M188" i="4"/>
  <c r="AY194" i="4"/>
  <c r="M195" i="4"/>
  <c r="AY189" i="4"/>
  <c r="M190" i="4"/>
  <c r="BO169" i="4"/>
  <c r="BO171" i="4"/>
  <c r="AC172" i="4"/>
  <c r="BO173" i="4"/>
  <c r="AC174" i="4"/>
  <c r="BO175" i="4"/>
  <c r="AC176" i="4"/>
  <c r="BO177" i="4"/>
  <c r="AC178" i="4"/>
  <c r="BO179" i="4"/>
  <c r="AC180" i="4"/>
  <c r="BO181" i="4"/>
  <c r="AC182" i="4"/>
  <c r="BO183" i="4"/>
  <c r="AC184" i="4"/>
  <c r="BO185" i="4"/>
  <c r="AC186" i="4"/>
  <c r="BO188" i="4"/>
  <c r="AC189" i="4"/>
  <c r="BO192" i="4"/>
  <c r="AC193" i="4"/>
  <c r="BO190" i="4"/>
  <c r="AC191" i="4"/>
  <c r="BO174" i="4"/>
  <c r="AC175" i="4"/>
  <c r="BO172" i="4"/>
  <c r="AC173" i="4"/>
  <c r="BO180" i="4"/>
  <c r="AC181" i="4"/>
  <c r="BO187" i="4"/>
  <c r="AC188" i="4"/>
  <c r="BO191" i="4"/>
  <c r="AC192" i="4"/>
  <c r="BO170" i="4"/>
  <c r="AC171" i="4"/>
  <c r="BO178" i="4"/>
  <c r="AC179" i="4"/>
  <c r="BO186" i="4"/>
  <c r="AC187" i="4"/>
  <c r="BO194" i="4"/>
  <c r="AC195" i="4"/>
  <c r="BO196" i="4"/>
  <c r="AC197" i="4"/>
  <c r="BO198" i="4"/>
  <c r="AC199" i="4"/>
  <c r="BO199" i="4"/>
  <c r="AC200" i="4"/>
  <c r="BO176" i="4"/>
  <c r="AC177" i="4"/>
  <c r="BO184" i="4"/>
  <c r="AC185" i="4"/>
  <c r="BO189" i="4"/>
  <c r="AC190" i="4"/>
  <c r="BO182" i="4"/>
  <c r="AC183" i="4"/>
  <c r="BO197" i="4"/>
  <c r="AC198" i="4"/>
  <c r="BO195" i="4"/>
  <c r="AC196" i="4"/>
  <c r="BO193" i="4"/>
  <c r="AC194" i="4"/>
  <c r="BC169" i="4"/>
  <c r="BC171" i="4"/>
  <c r="Q172" i="4"/>
  <c r="BC173" i="4"/>
  <c r="Q174" i="4"/>
  <c r="BC175" i="4"/>
  <c r="Q176" i="4"/>
  <c r="BC177" i="4"/>
  <c r="Q178" i="4"/>
  <c r="BC179" i="4"/>
  <c r="Q180" i="4"/>
  <c r="BC181" i="4"/>
  <c r="Q182" i="4"/>
  <c r="BC183" i="4"/>
  <c r="Q184" i="4"/>
  <c r="BC185" i="4"/>
  <c r="Q186" i="4"/>
  <c r="BC187" i="4"/>
  <c r="Q188" i="4"/>
  <c r="BC170" i="4"/>
  <c r="Q171" i="4"/>
  <c r="BC172" i="4"/>
  <c r="Q173" i="4"/>
  <c r="BC174" i="4"/>
  <c r="Q175" i="4"/>
  <c r="BC176" i="4"/>
  <c r="Q177" i="4"/>
  <c r="BC178" i="4"/>
  <c r="Q179" i="4"/>
  <c r="BC180" i="4"/>
  <c r="Q181" i="4"/>
  <c r="BC182" i="4"/>
  <c r="Q183" i="4"/>
  <c r="BC184" i="4"/>
  <c r="Q185" i="4"/>
  <c r="BC186" i="4"/>
  <c r="Q187" i="4"/>
  <c r="BC188" i="4"/>
  <c r="Q189" i="4"/>
  <c r="BC190" i="4"/>
  <c r="Q191" i="4"/>
  <c r="BC192" i="4"/>
  <c r="Q193" i="4"/>
  <c r="BC189" i="4"/>
  <c r="Q190" i="4"/>
  <c r="BC194" i="4"/>
  <c r="Q195" i="4"/>
  <c r="BC196" i="4"/>
  <c r="Q197" i="4"/>
  <c r="BC198" i="4"/>
  <c r="Q199" i="4"/>
  <c r="BC191" i="4"/>
  <c r="Q192" i="4"/>
  <c r="BC193" i="4"/>
  <c r="Q194" i="4"/>
  <c r="BC195" i="4"/>
  <c r="Q196" i="4"/>
  <c r="BC197" i="4"/>
  <c r="Q198" i="4"/>
  <c r="BC199" i="4"/>
  <c r="Q200" i="4"/>
  <c r="AU169" i="4"/>
  <c r="AU171" i="4"/>
  <c r="I172" i="4"/>
  <c r="AU173" i="4"/>
  <c r="I174" i="4"/>
  <c r="AU175" i="4"/>
  <c r="I176" i="4"/>
  <c r="AU177" i="4"/>
  <c r="I178" i="4"/>
  <c r="AU179" i="4"/>
  <c r="I180" i="4"/>
  <c r="AU181" i="4"/>
  <c r="I182" i="4"/>
  <c r="AU183" i="4"/>
  <c r="I184" i="4"/>
  <c r="AU185" i="4"/>
  <c r="I186" i="4"/>
  <c r="AU187" i="4"/>
  <c r="I188" i="4"/>
  <c r="AU188" i="4"/>
  <c r="I189" i="4"/>
  <c r="AU192" i="4"/>
  <c r="I193" i="4"/>
  <c r="AU193" i="4"/>
  <c r="I194" i="4"/>
  <c r="AU176" i="4"/>
  <c r="I177" i="4"/>
  <c r="AU184" i="4"/>
  <c r="I185" i="4"/>
  <c r="AU170" i="4"/>
  <c r="I171" i="4"/>
  <c r="AU191" i="4"/>
  <c r="I192" i="4"/>
  <c r="AU174" i="4"/>
  <c r="I175" i="4"/>
  <c r="AU182" i="4"/>
  <c r="I183" i="4"/>
  <c r="AU194" i="4"/>
  <c r="I195" i="4"/>
  <c r="AU196" i="4"/>
  <c r="I197" i="4"/>
  <c r="AU198" i="4"/>
  <c r="I199" i="4"/>
  <c r="AU190" i="4"/>
  <c r="I191" i="4"/>
  <c r="AU172" i="4"/>
  <c r="I173" i="4"/>
  <c r="AU180" i="4"/>
  <c r="I181" i="4"/>
  <c r="AU189" i="4"/>
  <c r="I190" i="4"/>
  <c r="AU178" i="4"/>
  <c r="I179" i="4"/>
  <c r="AU197" i="4"/>
  <c r="I198" i="4"/>
  <c r="AU195" i="4"/>
  <c r="I196" i="4"/>
  <c r="AU186" i="4"/>
  <c r="I187" i="4"/>
  <c r="AU199" i="4"/>
  <c r="I200" i="4"/>
  <c r="K201" i="4"/>
  <c r="G8" i="4"/>
  <c r="F59" i="2"/>
  <c r="F57" i="2"/>
  <c r="F56" i="2"/>
  <c r="L202" i="4"/>
  <c r="AG204" i="4"/>
  <c r="M59" i="2"/>
  <c r="M57" i="2"/>
  <c r="M56" i="2"/>
  <c r="I11" i="4"/>
  <c r="AF59" i="2"/>
  <c r="AF57" i="2"/>
  <c r="AF56" i="2"/>
  <c r="AC59" i="2"/>
  <c r="AC57" i="2"/>
  <c r="AC56" i="2"/>
  <c r="M11" i="4"/>
  <c r="T11" i="4"/>
  <c r="AN59" i="2"/>
  <c r="L114" i="2"/>
  <c r="AH59" i="2"/>
  <c r="AH57" i="2"/>
  <c r="AH56" i="2"/>
  <c r="AG59" i="2"/>
  <c r="AG57" i="2"/>
  <c r="AG56" i="2"/>
  <c r="U59" i="2"/>
  <c r="U57" i="2"/>
  <c r="U56" i="2"/>
  <c r="AA59" i="2"/>
  <c r="AA57" i="2"/>
  <c r="AA56" i="2"/>
  <c r="V59" i="2"/>
  <c r="V57" i="2"/>
  <c r="V56" i="2"/>
  <c r="AC11" i="4"/>
  <c r="I59" i="2"/>
  <c r="I57" i="2"/>
  <c r="I56" i="2"/>
  <c r="AL59" i="2"/>
  <c r="AL57" i="2"/>
  <c r="AL56" i="2"/>
  <c r="P59" i="2"/>
  <c r="P57" i="2"/>
  <c r="P56" i="2"/>
  <c r="Z59" i="2"/>
  <c r="Z57" i="2"/>
  <c r="Z56" i="2"/>
  <c r="Q59" i="2"/>
  <c r="Q57" i="2"/>
  <c r="Q56" i="2"/>
  <c r="AN11" i="4"/>
  <c r="N59" i="2"/>
  <c r="N57" i="2"/>
  <c r="N56" i="2"/>
  <c r="AE59" i="2"/>
  <c r="AE57" i="2"/>
  <c r="AE56" i="2"/>
  <c r="L11" i="4"/>
  <c r="AK11" i="4"/>
  <c r="G59" i="2"/>
  <c r="G57" i="2"/>
  <c r="G56" i="2"/>
  <c r="X59" i="2"/>
  <c r="X57" i="2"/>
  <c r="X56" i="2"/>
  <c r="R59" i="2"/>
  <c r="R57" i="2"/>
  <c r="R56" i="2"/>
  <c r="AK59" i="2"/>
  <c r="AK57" i="2"/>
  <c r="AK56" i="2"/>
  <c r="AR205" i="4"/>
  <c r="AR204" i="4"/>
  <c r="AW204" i="4"/>
  <c r="AT204" i="4"/>
  <c r="AZ204" i="4"/>
  <c r="AU204" i="4"/>
  <c r="AS204" i="4"/>
  <c r="AY204" i="4"/>
  <c r="AX204" i="4"/>
  <c r="AB170" i="4"/>
  <c r="BN204" i="4"/>
  <c r="BB204" i="4"/>
  <c r="P170" i="4"/>
  <c r="N170" i="4"/>
  <c r="AN170" i="4"/>
  <c r="BZ204" i="4"/>
  <c r="I170" i="4"/>
  <c r="BS204" i="4"/>
  <c r="AG170" i="4"/>
  <c r="BD204" i="4"/>
  <c r="R170" i="4"/>
  <c r="M170" i="4"/>
  <c r="AM170" i="4"/>
  <c r="BY204" i="4"/>
  <c r="AJ170" i="4"/>
  <c r="BV204" i="4"/>
  <c r="BI204" i="4"/>
  <c r="W170" i="4"/>
  <c r="AA170" i="4"/>
  <c r="BM204" i="4"/>
  <c r="BH204" i="4"/>
  <c r="V170" i="4"/>
  <c r="BW204" i="4"/>
  <c r="AK170" i="4"/>
  <c r="BE204" i="4"/>
  <c r="S170" i="4"/>
  <c r="U170" i="4"/>
  <c r="BG204" i="4"/>
  <c r="BT204" i="4"/>
  <c r="AH170" i="4"/>
  <c r="BO204" i="4"/>
  <c r="AC170" i="4"/>
  <c r="H170" i="4"/>
  <c r="AL170" i="4"/>
  <c r="BX204" i="4"/>
  <c r="AF170" i="4"/>
  <c r="BR204" i="4"/>
  <c r="Q170" i="4"/>
  <c r="BC204" i="4"/>
  <c r="G170" i="4"/>
  <c r="L170" i="4"/>
  <c r="G11" i="4"/>
  <c r="Z170" i="4"/>
  <c r="BL204" i="4"/>
  <c r="X170" i="4"/>
  <c r="BJ204" i="4"/>
  <c r="BQ204" i="4"/>
  <c r="AE170" i="4"/>
  <c r="K170" i="4"/>
  <c r="AN57" i="2"/>
  <c r="AN56" i="2"/>
  <c r="Y4" i="7" a="1"/>
  <c r="Y4" i="7"/>
  <c r="Z9" i="7"/>
  <c r="Y12" i="7"/>
  <c r="Z17" i="7"/>
  <c r="Y20" i="7"/>
  <c r="Z25" i="7"/>
  <c r="Y28" i="7"/>
  <c r="Z33" i="7"/>
  <c r="Y36" i="7"/>
  <c r="Z10" i="7"/>
  <c r="Z18" i="7"/>
  <c r="Z26" i="7"/>
  <c r="Z8" i="7"/>
  <c r="Z16" i="7"/>
  <c r="Y27" i="7"/>
  <c r="Z40" i="7"/>
  <c r="Y14" i="7"/>
  <c r="Y22" i="7"/>
  <c r="Z30" i="7"/>
  <c r="Z4" i="7"/>
  <c r="Y7" i="7"/>
  <c r="Z12" i="7"/>
  <c r="Y15" i="7"/>
  <c r="Z20" i="7"/>
  <c r="Y23" i="7"/>
  <c r="Z28" i="7"/>
  <c r="Y31" i="7"/>
  <c r="Z36" i="7"/>
  <c r="Y39" i="7"/>
  <c r="Y13" i="7"/>
  <c r="Y37" i="7"/>
  <c r="Y35" i="7"/>
  <c r="Z11" i="7"/>
  <c r="Z27" i="7"/>
  <c r="Y38" i="7"/>
  <c r="Z14" i="7"/>
  <c r="Y25" i="7"/>
  <c r="AA4" i="7"/>
  <c r="Z7" i="7"/>
  <c r="Y10" i="7"/>
  <c r="Z15" i="7"/>
  <c r="Y18" i="7"/>
  <c r="Z23" i="7"/>
  <c r="Y26" i="7"/>
  <c r="Z31" i="7"/>
  <c r="Y34" i="7"/>
  <c r="Z39" i="7"/>
  <c r="Y21" i="7"/>
  <c r="Y29" i="7"/>
  <c r="Z34" i="7"/>
  <c r="Z24" i="7"/>
  <c r="Z32" i="7"/>
  <c r="Z19" i="7"/>
  <c r="Y30" i="7"/>
  <c r="Y17" i="7"/>
  <c r="Y33" i="7"/>
  <c r="Y5" i="7"/>
  <c r="Z6" i="7"/>
  <c r="Z5" i="7"/>
  <c r="Y8" i="7"/>
  <c r="Z13" i="7"/>
  <c r="Y16" i="7"/>
  <c r="Z21" i="7"/>
  <c r="Y24" i="7"/>
  <c r="Z29" i="7"/>
  <c r="Y32" i="7"/>
  <c r="Z37" i="7"/>
  <c r="Y40" i="7"/>
  <c r="Y11" i="7"/>
  <c r="Y19" i="7"/>
  <c r="Y6" i="7"/>
  <c r="Z35" i="7"/>
  <c r="Y9" i="7"/>
  <c r="Z22" i="7"/>
  <c r="Z38" i="7"/>
  <c r="E13" i="3"/>
  <c r="E14" i="3"/>
  <c r="G11" i="2"/>
  <c r="AM7" i="2"/>
  <c r="AM11" i="2"/>
  <c r="AL7" i="2"/>
  <c r="AL11" i="2"/>
  <c r="Z7" i="2"/>
  <c r="Z11" i="2"/>
  <c r="I7" i="2"/>
  <c r="I11" i="2"/>
  <c r="J7" i="2"/>
  <c r="O97" i="2"/>
  <c r="Y7" i="2"/>
  <c r="R97" i="2"/>
  <c r="U7" i="2"/>
  <c r="U11" i="2"/>
  <c r="V7" i="2"/>
  <c r="V11" i="2"/>
  <c r="AF7" i="2"/>
  <c r="AF11" i="2"/>
  <c r="X7" i="2"/>
  <c r="X11" i="2"/>
  <c r="AG7" i="2"/>
  <c r="AG11" i="2"/>
  <c r="S7" i="2"/>
  <c r="S11" i="2"/>
  <c r="AK7" i="2"/>
  <c r="AK11" i="2"/>
  <c r="M7" i="2"/>
  <c r="M11" i="2"/>
  <c r="L7" i="2"/>
  <c r="L11" i="2"/>
  <c r="T7" i="2"/>
  <c r="Q97" i="2"/>
  <c r="O7" i="2"/>
  <c r="P97" i="2"/>
  <c r="AI7" i="2"/>
  <c r="T97" i="2"/>
  <c r="AE7" i="2"/>
  <c r="AE11" i="2"/>
  <c r="AD7" i="2"/>
  <c r="S97" i="2"/>
  <c r="W7" i="2"/>
  <c r="W11" i="2"/>
  <c r="R7" i="2"/>
  <c r="R11" i="2"/>
  <c r="AN7" i="2"/>
  <c r="U97" i="2"/>
  <c r="N7" i="2"/>
  <c r="N11" i="2"/>
  <c r="K7" i="2"/>
  <c r="K11" i="2"/>
  <c r="AC7" i="2"/>
  <c r="AC11" i="2"/>
  <c r="AB7" i="2"/>
  <c r="AB11" i="2"/>
  <c r="AA7" i="2"/>
  <c r="AA11" i="2"/>
  <c r="AJ7" i="2"/>
  <c r="AJ11" i="2"/>
  <c r="AH7" i="2"/>
  <c r="AH11" i="2"/>
  <c r="Q7" i="2"/>
  <c r="Q11" i="2"/>
  <c r="P7" i="2"/>
  <c r="P11" i="2"/>
  <c r="T11" i="2"/>
  <c r="Y11" i="2"/>
  <c r="AN11" i="2"/>
  <c r="J11" i="2"/>
  <c r="O11" i="2"/>
  <c r="D7" i="2"/>
  <c r="AD11" i="2"/>
  <c r="AI11" i="2"/>
  <c r="W5" i="7" a="1"/>
  <c r="W5" i="7"/>
  <c r="D11" i="2"/>
  <c r="D88" i="2"/>
  <c r="D13" i="1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I153" i="4" l="1"/>
  <c r="AD127" i="4" s="1"/>
  <c r="AD129" i="4" s="1"/>
  <c r="AD49" i="2" s="1"/>
  <c r="F160" i="4"/>
  <c r="Y128" i="4" s="1"/>
  <c r="BK207" i="4" s="1"/>
  <c r="BK213" i="4" s="1"/>
  <c r="Y214" i="4" s="1"/>
  <c r="G50" i="9"/>
  <c r="AJ7" i="7" s="1"/>
  <c r="F34" i="9"/>
  <c r="F7" i="9" s="1"/>
  <c r="AR5" i="7" s="1"/>
  <c r="G49" i="9"/>
  <c r="AJ6" i="7" s="1"/>
  <c r="F25" i="9"/>
  <c r="F6" i="9" s="1"/>
  <c r="AQ5" i="7" s="1"/>
  <c r="R23" i="1"/>
  <c r="Z23" i="1"/>
  <c r="AJ23" i="1"/>
  <c r="AH23" i="1"/>
  <c r="T23" i="1"/>
  <c r="AY49" i="1"/>
  <c r="AB23" i="1"/>
  <c r="AR23" i="1"/>
  <c r="AZ49" i="1"/>
  <c r="E14" i="2"/>
  <c r="L183" i="1"/>
  <c r="L182" i="1"/>
  <c r="L119" i="1" s="1"/>
  <c r="F60" i="1"/>
  <c r="E60" i="1"/>
  <c r="O94" i="1"/>
  <c r="M78" i="1"/>
  <c r="F73" i="1" s="1"/>
  <c r="AP47" i="1"/>
  <c r="U45" i="1"/>
  <c r="F61" i="1"/>
  <c r="E61" i="1"/>
  <c r="F116" i="2"/>
  <c r="I115" i="2"/>
  <c r="F113" i="2"/>
  <c r="G48" i="9"/>
  <c r="AJ5" i="7" s="1"/>
  <c r="G32" i="9"/>
  <c r="G34" i="9" s="1"/>
  <c r="G7" i="9" s="1"/>
  <c r="AR6" i="7" s="1"/>
  <c r="C16" i="9"/>
  <c r="E148" i="4"/>
  <c r="L112" i="2"/>
  <c r="L111" i="2"/>
  <c r="L116" i="2"/>
  <c r="F115" i="2"/>
  <c r="L113" i="2"/>
  <c r="I113" i="2"/>
  <c r="J115" i="2"/>
  <c r="AB12" i="1"/>
  <c r="AC12" i="1" s="1"/>
  <c r="AF45" i="1"/>
  <c r="Z45" i="1"/>
  <c r="V45" i="1"/>
  <c r="AU45" i="1"/>
  <c r="AB45" i="1"/>
  <c r="BN49" i="1" s="1"/>
  <c r="AN45" i="1"/>
  <c r="BZ49" i="1" s="1"/>
  <c r="S44" i="1"/>
  <c r="BE46" i="1" s="1"/>
  <c r="AA44" i="1"/>
  <c r="BM46" i="1" s="1"/>
  <c r="AB44" i="1"/>
  <c r="BN46" i="1" s="1"/>
  <c r="R44" i="1"/>
  <c r="BD46" i="1" s="1"/>
  <c r="X44" i="1"/>
  <c r="BJ46" i="1" s="1"/>
  <c r="AN44" i="1"/>
  <c r="BZ46" i="1" s="1"/>
  <c r="AS44" i="1"/>
  <c r="CE46" i="1" s="1"/>
  <c r="V44" i="1"/>
  <c r="BH46" i="1" s="1"/>
  <c r="AD44" i="1"/>
  <c r="BP46" i="1" s="1"/>
  <c r="AK44" i="1"/>
  <c r="BW46" i="1" s="1"/>
  <c r="AM44" i="1"/>
  <c r="BY46" i="1" s="1"/>
  <c r="AO44" i="1"/>
  <c r="CA46" i="1" s="1"/>
  <c r="AH44" i="1"/>
  <c r="BT46" i="1" s="1"/>
  <c r="Y44" i="1"/>
  <c r="BK46" i="1" s="1"/>
  <c r="O44" i="1"/>
  <c r="BA46" i="1" s="1"/>
  <c r="AJ44" i="1"/>
  <c r="BV46" i="1" s="1"/>
  <c r="Q44" i="1"/>
  <c r="BC46" i="1" s="1"/>
  <c r="AP44" i="1"/>
  <c r="CB46" i="1" s="1"/>
  <c r="P44" i="1"/>
  <c r="BB46" i="1" s="1"/>
  <c r="AI44" i="1"/>
  <c r="BU46" i="1" s="1"/>
  <c r="U44" i="1"/>
  <c r="BG46" i="1" s="1"/>
  <c r="W44" i="1"/>
  <c r="BI46" i="1" s="1"/>
  <c r="AC44" i="1"/>
  <c r="BO46" i="1" s="1"/>
  <c r="AU44" i="1"/>
  <c r="CG46" i="1" s="1"/>
  <c r="AF44" i="1"/>
  <c r="BR46" i="1" s="1"/>
  <c r="AL44" i="1"/>
  <c r="BX46" i="1" s="1"/>
  <c r="AE44" i="1"/>
  <c r="BQ46" i="1" s="1"/>
  <c r="Z44" i="1"/>
  <c r="BL46" i="1" s="1"/>
  <c r="AR44" i="1"/>
  <c r="CD46" i="1" s="1"/>
  <c r="AQ44" i="1"/>
  <c r="CC46" i="1" s="1"/>
  <c r="AG44" i="1"/>
  <c r="BS46" i="1" s="1"/>
  <c r="AT44" i="1"/>
  <c r="CF46" i="1" s="1"/>
  <c r="T44" i="1"/>
  <c r="BF46" i="1" s="1"/>
  <c r="AZ50" i="1"/>
  <c r="AY50" i="1"/>
  <c r="AP45" i="1"/>
  <c r="CB49" i="1" s="1"/>
  <c r="P45" i="1"/>
  <c r="CF49" i="1"/>
  <c r="BK49" i="1"/>
  <c r="AA45" i="1"/>
  <c r="BM49" i="1" s="1"/>
  <c r="AC45" i="1"/>
  <c r="BO49" i="1" s="1"/>
  <c r="AH45" i="1"/>
  <c r="BT49" i="1" s="1"/>
  <c r="AO45" i="1"/>
  <c r="CA49" i="1" s="1"/>
  <c r="BR49" i="1"/>
  <c r="AL45" i="1"/>
  <c r="BX49" i="1" s="1"/>
  <c r="T45" i="1"/>
  <c r="BF49" i="1" s="1"/>
  <c r="AK45" i="1"/>
  <c r="BW49" i="1" s="1"/>
  <c r="AI45" i="1"/>
  <c r="BU49" i="1" s="1"/>
  <c r="AQ45" i="1"/>
  <c r="CC49" i="1" s="1"/>
  <c r="BH49" i="1"/>
  <c r="Q45" i="1"/>
  <c r="BC49" i="1" s="1"/>
  <c r="O45" i="1"/>
  <c r="BA49" i="1" s="1"/>
  <c r="AJ45" i="1"/>
  <c r="BV49" i="1" s="1"/>
  <c r="AR45" i="1"/>
  <c r="CD49" i="1" s="1"/>
  <c r="AS45" i="1"/>
  <c r="S45" i="1"/>
  <c r="BE49" i="1" s="1"/>
  <c r="AD45" i="1"/>
  <c r="X45" i="1"/>
  <c r="BJ49" i="1" s="1"/>
  <c r="AM45" i="1"/>
  <c r="BY49" i="1" s="1"/>
  <c r="BG49" i="1"/>
  <c r="W45" i="1"/>
  <c r="BI49" i="1" s="1"/>
  <c r="AG45" i="1"/>
  <c r="AE45" i="1"/>
  <c r="BQ49" i="1" s="1"/>
  <c r="R45" i="1"/>
  <c r="BD49" i="1" s="1"/>
  <c r="AS47" i="1"/>
  <c r="AD47" i="1"/>
  <c r="AU47" i="1"/>
  <c r="P47" i="1"/>
  <c r="AG47" i="1"/>
  <c r="Z47" i="1"/>
  <c r="BL49" i="1" s="1"/>
  <c r="E11" i="3"/>
  <c r="E15" i="3" s="1"/>
  <c r="D9" i="1"/>
  <c r="I12" i="5"/>
  <c r="G13" i="5" s="1"/>
  <c r="F153" i="4"/>
  <c r="O127" i="4" s="1"/>
  <c r="P9" i="4" s="1"/>
  <c r="AY5" i="7" a="1"/>
  <c r="AY34" i="7" s="1"/>
  <c r="AY7" i="7"/>
  <c r="D18" i="2"/>
  <c r="AY38" i="7"/>
  <c r="AY10" i="7"/>
  <c r="AY14" i="7"/>
  <c r="AY18" i="7"/>
  <c r="AY32" i="7"/>
  <c r="AY9" i="7"/>
  <c r="AY5" i="7"/>
  <c r="AY12" i="7"/>
  <c r="AY39" i="7"/>
  <c r="AY27" i="7"/>
  <c r="AY26" i="7"/>
  <c r="AY28" i="7"/>
  <c r="AY36" i="7"/>
  <c r="AY29" i="7"/>
  <c r="G8" i="2"/>
  <c r="N35" i="1"/>
  <c r="M35" i="1"/>
  <c r="F8" i="2"/>
  <c r="J153" i="4"/>
  <c r="AI127" i="4" s="1"/>
  <c r="AJ9" i="4" s="1"/>
  <c r="G160" i="4"/>
  <c r="AI128" i="4" s="1"/>
  <c r="AJ10" i="4" s="1"/>
  <c r="L35" i="1"/>
  <c r="E8" i="2"/>
  <c r="E160" i="4"/>
  <c r="O128" i="4" s="1"/>
  <c r="G153" i="4"/>
  <c r="T127" i="4" s="1"/>
  <c r="E153" i="4"/>
  <c r="J127" i="4" s="1"/>
  <c r="H153" i="4"/>
  <c r="Y127" i="4" s="1"/>
  <c r="E147" i="4"/>
  <c r="BP166" i="4" l="1"/>
  <c r="BP177" i="4" s="1"/>
  <c r="AD178" i="4" s="1"/>
  <c r="BK218" i="4"/>
  <c r="Y219" i="4" s="1"/>
  <c r="BK239" i="4"/>
  <c r="Y240" i="4" s="1"/>
  <c r="BK243" i="4"/>
  <c r="Y244" i="4" s="1"/>
  <c r="AE9" i="4"/>
  <c r="AE8" i="4" s="1"/>
  <c r="AE11" i="4" s="1"/>
  <c r="BK241" i="4"/>
  <c r="Y242" i="4" s="1"/>
  <c r="BK244" i="4"/>
  <c r="Y245" i="4" s="1"/>
  <c r="Z10" i="4"/>
  <c r="BK238" i="4"/>
  <c r="Y239" i="4" s="1"/>
  <c r="BK227" i="4"/>
  <c r="Y228" i="4" s="1"/>
  <c r="BK211" i="4"/>
  <c r="Y212" i="4" s="1"/>
  <c r="BK228" i="4"/>
  <c r="Y229" i="4" s="1"/>
  <c r="BK224" i="4"/>
  <c r="Y225" i="4" s="1"/>
  <c r="BK223" i="4"/>
  <c r="Y224" i="4" s="1"/>
  <c r="BK222" i="4"/>
  <c r="Y223" i="4" s="1"/>
  <c r="BK220" i="4"/>
  <c r="Y221" i="4" s="1"/>
  <c r="BK240" i="4"/>
  <c r="Y241" i="4" s="1"/>
  <c r="BK212" i="4"/>
  <c r="Y213" i="4" s="1"/>
  <c r="BK230" i="4"/>
  <c r="Y231" i="4" s="1"/>
  <c r="BK231" i="4"/>
  <c r="Y232" i="4" s="1"/>
  <c r="BK232" i="4"/>
  <c r="Y233" i="4" s="1"/>
  <c r="BK210" i="4"/>
  <c r="BK219" i="4"/>
  <c r="Y220" i="4" s="1"/>
  <c r="BK226" i="4"/>
  <c r="Y227" i="4" s="1"/>
  <c r="BK217" i="4"/>
  <c r="Y218" i="4" s="1"/>
  <c r="BK234" i="4"/>
  <c r="Y235" i="4" s="1"/>
  <c r="BK214" i="4"/>
  <c r="Y215" i="4" s="1"/>
  <c r="BK215" i="4"/>
  <c r="Y216" i="4" s="1"/>
  <c r="BK235" i="4"/>
  <c r="Y236" i="4" s="1"/>
  <c r="BK221" i="4"/>
  <c r="Y222" i="4" s="1"/>
  <c r="BK236" i="4"/>
  <c r="Y237" i="4" s="1"/>
  <c r="BK233" i="4"/>
  <c r="Y234" i="4" s="1"/>
  <c r="BK229" i="4"/>
  <c r="Y230" i="4" s="1"/>
  <c r="BK216" i="4"/>
  <c r="Y217" i="4" s="1"/>
  <c r="BK237" i="4"/>
  <c r="Y238" i="4" s="1"/>
  <c r="BK242" i="4"/>
  <c r="Y243" i="4" s="1"/>
  <c r="BK225" i="4"/>
  <c r="Y226" i="4" s="1"/>
  <c r="E21" i="3"/>
  <c r="D10" i="1" s="1"/>
  <c r="AF12" i="4" s="1"/>
  <c r="H5" i="9"/>
  <c r="AH5" i="9"/>
  <c r="AK5" i="9"/>
  <c r="R5" i="9"/>
  <c r="K5" i="9"/>
  <c r="G5" i="9"/>
  <c r="S5" i="9"/>
  <c r="X5" i="9"/>
  <c r="AA5" i="9"/>
  <c r="AM5" i="9"/>
  <c r="AD5" i="9"/>
  <c r="AF5" i="9"/>
  <c r="AI5" i="9"/>
  <c r="AL5" i="9"/>
  <c r="O5" i="9"/>
  <c r="P5" i="9"/>
  <c r="AE5" i="9"/>
  <c r="I5" i="9"/>
  <c r="L5" i="9"/>
  <c r="Q5" i="9"/>
  <c r="T5" i="9"/>
  <c r="Y5" i="9"/>
  <c r="AJ5" i="9"/>
  <c r="AG5" i="9"/>
  <c r="M5" i="9"/>
  <c r="V5" i="9"/>
  <c r="F5" i="9"/>
  <c r="U5" i="9"/>
  <c r="J5" i="9"/>
  <c r="AC5" i="9"/>
  <c r="AN5" i="9"/>
  <c r="Z5" i="9"/>
  <c r="AB5" i="9"/>
  <c r="W5" i="9"/>
  <c r="N5" i="9"/>
  <c r="L121" i="1"/>
  <c r="L127" i="1" s="1"/>
  <c r="N127" i="1" s="1"/>
  <c r="L128" i="1"/>
  <c r="N128" i="1" s="1"/>
  <c r="L126" i="1"/>
  <c r="L143" i="1"/>
  <c r="L184" i="1"/>
  <c r="L186" i="1" s="1"/>
  <c r="AR25" i="1"/>
  <c r="AR26" i="1" s="1"/>
  <c r="AR27" i="1" s="1"/>
  <c r="AR34" i="1" s="1"/>
  <c r="AB25" i="1"/>
  <c r="AB26" i="1" s="1"/>
  <c r="AB27" i="1" s="1"/>
  <c r="AB34" i="1" s="1"/>
  <c r="T25" i="1"/>
  <c r="T26" i="1" s="1"/>
  <c r="T27" i="1" s="1"/>
  <c r="T34" i="1" s="1"/>
  <c r="AH25" i="1"/>
  <c r="AH26" i="1" s="1"/>
  <c r="AH27" i="1" s="1"/>
  <c r="AH34" i="1" s="1"/>
  <c r="AJ25" i="1"/>
  <c r="AJ26" i="1" s="1"/>
  <c r="AJ27" i="1" s="1"/>
  <c r="AJ34" i="1" s="1"/>
  <c r="R25" i="1"/>
  <c r="R26" i="1" s="1"/>
  <c r="R27" i="1" s="1"/>
  <c r="R34" i="1" s="1"/>
  <c r="AB14" i="1"/>
  <c r="AC15" i="1"/>
  <c r="AC14" i="1"/>
  <c r="BB49" i="1"/>
  <c r="CG49" i="1"/>
  <c r="BS49" i="1"/>
  <c r="CE49" i="1"/>
  <c r="BP49" i="1"/>
  <c r="N12" i="4"/>
  <c r="AJ76" i="2"/>
  <c r="AN76" i="2"/>
  <c r="R76" i="2"/>
  <c r="AM76" i="2"/>
  <c r="J76" i="2"/>
  <c r="R12" i="4"/>
  <c r="AF76" i="2"/>
  <c r="L12" i="4"/>
  <c r="S12" i="4"/>
  <c r="U12" i="4"/>
  <c r="AB12" i="4"/>
  <c r="H12" i="4"/>
  <c r="L76" i="2"/>
  <c r="X76" i="2"/>
  <c r="AM12" i="4"/>
  <c r="AC12" i="4"/>
  <c r="AN12" i="4"/>
  <c r="AG12" i="4"/>
  <c r="K76" i="2"/>
  <c r="AI76" i="2"/>
  <c r="V12" i="4"/>
  <c r="F12" i="4"/>
  <c r="W12" i="4"/>
  <c r="AJ12" i="4"/>
  <c r="K12" i="4"/>
  <c r="AK12" i="4"/>
  <c r="I76" i="2"/>
  <c r="X12" i="4"/>
  <c r="W76" i="2"/>
  <c r="T76" i="2"/>
  <c r="Z76" i="2"/>
  <c r="F76" i="2"/>
  <c r="S76" i="2"/>
  <c r="O76" i="2"/>
  <c r="AL76" i="2"/>
  <c r="AB76" i="2"/>
  <c r="G76" i="2"/>
  <c r="E76" i="2"/>
  <c r="I12" i="4"/>
  <c r="AL12" i="4"/>
  <c r="AA76" i="2"/>
  <c r="M12" i="4"/>
  <c r="AE76" i="2"/>
  <c r="AH76" i="2"/>
  <c r="M76" i="2"/>
  <c r="V76" i="2"/>
  <c r="Y76" i="2"/>
  <c r="Q12" i="4"/>
  <c r="AH12" i="4"/>
  <c r="P76" i="2"/>
  <c r="H76" i="2"/>
  <c r="G12" i="4"/>
  <c r="U76" i="2"/>
  <c r="Q76" i="2"/>
  <c r="N76" i="2"/>
  <c r="AD76" i="2"/>
  <c r="AC76" i="2"/>
  <c r="BN13" i="7"/>
  <c r="Z12" i="4"/>
  <c r="AK76" i="2"/>
  <c r="AG76" i="2"/>
  <c r="AE12" i="4"/>
  <c r="P12" i="4"/>
  <c r="AA12" i="4"/>
  <c r="BP187" i="4"/>
  <c r="AD188" i="4" s="1"/>
  <c r="BA166" i="4"/>
  <c r="BA182" i="4" s="1"/>
  <c r="O183" i="4" s="1"/>
  <c r="I13" i="5"/>
  <c r="G14" i="5" s="1"/>
  <c r="I14" i="5" s="1"/>
  <c r="G15" i="5" s="1"/>
  <c r="I15" i="5" s="1"/>
  <c r="O129" i="4"/>
  <c r="O49" i="2" s="1"/>
  <c r="BP171" i="4"/>
  <c r="AD172" i="4" s="1"/>
  <c r="BP200" i="4"/>
  <c r="AD201" i="4" s="1"/>
  <c r="BP182" i="4"/>
  <c r="AD183" i="4" s="1"/>
  <c r="AY35" i="7"/>
  <c r="AY8" i="7"/>
  <c r="AY33" i="7"/>
  <c r="AY37" i="7"/>
  <c r="AY30" i="7"/>
  <c r="BP173" i="4"/>
  <c r="AD174" i="4" s="1"/>
  <c r="AY17" i="7"/>
  <c r="AY19" i="7"/>
  <c r="AY22" i="7"/>
  <c r="AY20" i="7"/>
  <c r="AY23" i="7"/>
  <c r="BP199" i="4"/>
  <c r="AD200" i="4" s="1"/>
  <c r="BP197" i="4"/>
  <c r="AD198" i="4" s="1"/>
  <c r="AY6" i="7"/>
  <c r="AY15" i="7"/>
  <c r="AY11" i="7"/>
  <c r="AY16" i="7"/>
  <c r="AY31" i="7"/>
  <c r="BP175" i="4"/>
  <c r="AD176" i="4" s="1"/>
  <c r="E128" i="4"/>
  <c r="BP169" i="4"/>
  <c r="AD170" i="4" s="1"/>
  <c r="BP181" i="4"/>
  <c r="AD182" i="4" s="1"/>
  <c r="AY21" i="7"/>
  <c r="AY25" i="7"/>
  <c r="AY24" i="7"/>
  <c r="AY13" i="7"/>
  <c r="BP180" i="4"/>
  <c r="AD181" i="4" s="1"/>
  <c r="BP193" i="4"/>
  <c r="AD194" i="4" s="1"/>
  <c r="P10" i="4"/>
  <c r="P8" i="4" s="1"/>
  <c r="BP189" i="4"/>
  <c r="AD190" i="4" s="1"/>
  <c r="BP178" i="4"/>
  <c r="AD179" i="4" s="1"/>
  <c r="BU207" i="4"/>
  <c r="BU237" i="4" s="1"/>
  <c r="AI238" i="4" s="1"/>
  <c r="G6" i="2"/>
  <c r="I9" i="6"/>
  <c r="H9" i="6"/>
  <c r="F6" i="2"/>
  <c r="BU166" i="4"/>
  <c r="BU176" i="4" s="1"/>
  <c r="AI177" i="4" s="1"/>
  <c r="AI129" i="4"/>
  <c r="AI49" i="2" s="1"/>
  <c r="BA207" i="4"/>
  <c r="G9" i="6"/>
  <c r="E6" i="2"/>
  <c r="BP179" i="4"/>
  <c r="AD180" i="4" s="1"/>
  <c r="BP203" i="4"/>
  <c r="AD204" i="4" s="1"/>
  <c r="BP183" i="4"/>
  <c r="AD184" i="4" s="1"/>
  <c r="BP172" i="4"/>
  <c r="AD173" i="4" s="1"/>
  <c r="BP195" i="4"/>
  <c r="AD196" i="4" s="1"/>
  <c r="BP176" i="4"/>
  <c r="AD177" i="4" s="1"/>
  <c r="BP198" i="4"/>
  <c r="AD199" i="4" s="1"/>
  <c r="BP170" i="4"/>
  <c r="AD171" i="4" s="1"/>
  <c r="BP188" i="4"/>
  <c r="AD189" i="4" s="1"/>
  <c r="BP192" i="4"/>
  <c r="AD193" i="4" s="1"/>
  <c r="BP196" i="4"/>
  <c r="AD197" i="4" s="1"/>
  <c r="BP202" i="4"/>
  <c r="AD203" i="4" s="1"/>
  <c r="BP186" i="4"/>
  <c r="AD187" i="4" s="1"/>
  <c r="BP190" i="4"/>
  <c r="AD191" i="4" s="1"/>
  <c r="AD59" i="2"/>
  <c r="Y129" i="4"/>
  <c r="Y49" i="2" s="1"/>
  <c r="Z9" i="4"/>
  <c r="BK166" i="4"/>
  <c r="J129" i="4"/>
  <c r="J49" i="2" s="1"/>
  <c r="AV166" i="4"/>
  <c r="K9" i="4"/>
  <c r="E127" i="4"/>
  <c r="T129" i="4"/>
  <c r="T49" i="2" s="1"/>
  <c r="U9" i="4"/>
  <c r="BF166" i="4"/>
  <c r="AJ8" i="4"/>
  <c r="AI12" i="4"/>
  <c r="BK245" i="4" l="1"/>
  <c r="AD12" i="4"/>
  <c r="BP185" i="4"/>
  <c r="AD186" i="4" s="1"/>
  <c r="Y211" i="4"/>
  <c r="BP174" i="4"/>
  <c r="AD175" i="4" s="1"/>
  <c r="BP194" i="4"/>
  <c r="AD195" i="4" s="1"/>
  <c r="BP191" i="4"/>
  <c r="AD192" i="4" s="1"/>
  <c r="BP201" i="4"/>
  <c r="AD202" i="4" s="1"/>
  <c r="BU236" i="4"/>
  <c r="AI237" i="4" s="1"/>
  <c r="BP184" i="4"/>
  <c r="AD185" i="4" s="1"/>
  <c r="R35" i="1"/>
  <c r="K8" i="2"/>
  <c r="AJ35" i="1"/>
  <c r="AC8" i="2"/>
  <c r="AH35" i="1"/>
  <c r="AA8" i="2"/>
  <c r="M8" i="2"/>
  <c r="T35" i="1"/>
  <c r="AB35" i="1"/>
  <c r="U8" i="2"/>
  <c r="AK8" i="2"/>
  <c r="AR35" i="1"/>
  <c r="AD25" i="1"/>
  <c r="AD26" i="1" s="1"/>
  <c r="AD27" i="1" s="1"/>
  <c r="AD34" i="1" s="1"/>
  <c r="AU25" i="1"/>
  <c r="AU26" i="1" s="1"/>
  <c r="AU27" i="1" s="1"/>
  <c r="AU34" i="1" s="1"/>
  <c r="AM25" i="1"/>
  <c r="AM26" i="1" s="1"/>
  <c r="AM27" i="1" s="1"/>
  <c r="AM34" i="1" s="1"/>
  <c r="AG25" i="1"/>
  <c r="AG26" i="1" s="1"/>
  <c r="AG27" i="1" s="1"/>
  <c r="AG34" i="1" s="1"/>
  <c r="V25" i="1"/>
  <c r="V26" i="1" s="1"/>
  <c r="V27" i="1" s="1"/>
  <c r="V34" i="1" s="1"/>
  <c r="Q25" i="1"/>
  <c r="Q26" i="1" s="1"/>
  <c r="Q27" i="1" s="1"/>
  <c r="Q34" i="1" s="1"/>
  <c r="AS25" i="1"/>
  <c r="AS26" i="1" s="1"/>
  <c r="AS27" i="1" s="1"/>
  <c r="AS34" i="1" s="1"/>
  <c r="S25" i="1"/>
  <c r="S26" i="1" s="1"/>
  <c r="S27" i="1" s="1"/>
  <c r="S34" i="1" s="1"/>
  <c r="AL25" i="1"/>
  <c r="AL26" i="1" s="1"/>
  <c r="AL27" i="1" s="1"/>
  <c r="AL34" i="1" s="1"/>
  <c r="AF25" i="1"/>
  <c r="AF26" i="1" s="1"/>
  <c r="AF27" i="1" s="1"/>
  <c r="AF34" i="1" s="1"/>
  <c r="AK25" i="1"/>
  <c r="AK26" i="1" s="1"/>
  <c r="AK27" i="1" s="1"/>
  <c r="AK34" i="1" s="1"/>
  <c r="AT25" i="1"/>
  <c r="AT26" i="1" s="1"/>
  <c r="AT27" i="1" s="1"/>
  <c r="AT34" i="1" s="1"/>
  <c r="X25" i="1"/>
  <c r="X26" i="1" s="1"/>
  <c r="X27" i="1" s="1"/>
  <c r="X34" i="1" s="1"/>
  <c r="AC25" i="1"/>
  <c r="AC26" i="1" s="1"/>
  <c r="AC27" i="1" s="1"/>
  <c r="AC34" i="1" s="1"/>
  <c r="AO25" i="1"/>
  <c r="AO26" i="1" s="1"/>
  <c r="AO27" i="1" s="1"/>
  <c r="AO34" i="1" s="1"/>
  <c r="P25" i="1"/>
  <c r="P26" i="1" s="1"/>
  <c r="P27" i="1" s="1"/>
  <c r="P34" i="1" s="1"/>
  <c r="Z25" i="1"/>
  <c r="Z26" i="1" s="1"/>
  <c r="Z27" i="1" s="1"/>
  <c r="Z34" i="1" s="1"/>
  <c r="Y25" i="1"/>
  <c r="Y26" i="1" s="1"/>
  <c r="Y27" i="1" s="1"/>
  <c r="Y34" i="1" s="1"/>
  <c r="W25" i="1"/>
  <c r="W26" i="1" s="1"/>
  <c r="W27" i="1" s="1"/>
  <c r="W34" i="1" s="1"/>
  <c r="AI25" i="1"/>
  <c r="AI26" i="1" s="1"/>
  <c r="AI27" i="1" s="1"/>
  <c r="AI34" i="1" s="1"/>
  <c r="AQ25" i="1"/>
  <c r="AQ26" i="1" s="1"/>
  <c r="AQ27" i="1" s="1"/>
  <c r="AQ34" i="1" s="1"/>
  <c r="AP25" i="1"/>
  <c r="AP26" i="1" s="1"/>
  <c r="AP27" i="1" s="1"/>
  <c r="AP34" i="1" s="1"/>
  <c r="O25" i="1"/>
  <c r="O26" i="1" s="1"/>
  <c r="O27" i="1" s="1"/>
  <c r="O34" i="1" s="1"/>
  <c r="U25" i="1"/>
  <c r="U26" i="1" s="1"/>
  <c r="U27" i="1" s="1"/>
  <c r="U34" i="1" s="1"/>
  <c r="AA25" i="1"/>
  <c r="AA26" i="1" s="1"/>
  <c r="AA27" i="1" s="1"/>
  <c r="AA34" i="1" s="1"/>
  <c r="AE25" i="1"/>
  <c r="AE26" i="1" s="1"/>
  <c r="AE27" i="1" s="1"/>
  <c r="AE34" i="1" s="1"/>
  <c r="AN25" i="1"/>
  <c r="AN26" i="1" s="1"/>
  <c r="AN27" i="1" s="1"/>
  <c r="AN34" i="1" s="1"/>
  <c r="L144" i="1"/>
  <c r="L148" i="1" s="1"/>
  <c r="N148" i="1" s="1"/>
  <c r="L149" i="1"/>
  <c r="N149" i="1" s="1"/>
  <c r="L147" i="1"/>
  <c r="N126" i="1"/>
  <c r="N129" i="1" s="1"/>
  <c r="N130" i="1" s="1"/>
  <c r="L129" i="1"/>
  <c r="N9" i="9"/>
  <c r="AP13" i="7"/>
  <c r="W9" i="9"/>
  <c r="AP22" i="7"/>
  <c r="AB9" i="9"/>
  <c r="AP27" i="7"/>
  <c r="Z9" i="9"/>
  <c r="AP25" i="7"/>
  <c r="AN9" i="9"/>
  <c r="AP39" i="7"/>
  <c r="AC9" i="9"/>
  <c r="AP28" i="7"/>
  <c r="J9" i="9"/>
  <c r="AP9" i="7"/>
  <c r="U9" i="9"/>
  <c r="AP20" i="7"/>
  <c r="F9" i="9"/>
  <c r="AP5" i="7"/>
  <c r="V9" i="9"/>
  <c r="AP21" i="7"/>
  <c r="M9" i="9"/>
  <c r="AP12" i="7"/>
  <c r="AG9" i="9"/>
  <c r="AP32" i="7"/>
  <c r="AJ9" i="9"/>
  <c r="AP35" i="7"/>
  <c r="Y9" i="9"/>
  <c r="AP24" i="7"/>
  <c r="T9" i="9"/>
  <c r="AP19" i="7"/>
  <c r="Q9" i="9"/>
  <c r="AP16" i="7"/>
  <c r="L9" i="9"/>
  <c r="AP11" i="7"/>
  <c r="I9" i="9"/>
  <c r="AP8" i="7"/>
  <c r="AE9" i="9"/>
  <c r="AP30" i="7"/>
  <c r="P9" i="9"/>
  <c r="AP15" i="7"/>
  <c r="O9" i="9"/>
  <c r="AP14" i="7"/>
  <c r="AL9" i="9"/>
  <c r="AP37" i="7"/>
  <c r="AI9" i="9"/>
  <c r="AP34" i="7"/>
  <c r="AF9" i="9"/>
  <c r="AP31" i="7"/>
  <c r="AD9" i="9"/>
  <c r="AP29" i="7"/>
  <c r="AM9" i="9"/>
  <c r="AP38" i="7"/>
  <c r="AA9" i="9"/>
  <c r="AP26" i="7"/>
  <c r="X9" i="9"/>
  <c r="AP23" i="7"/>
  <c r="S9" i="9"/>
  <c r="AP18" i="7"/>
  <c r="G9" i="9"/>
  <c r="AP6" i="7"/>
  <c r="K9" i="9"/>
  <c r="AP10" i="7"/>
  <c r="R9" i="9"/>
  <c r="AP17" i="7"/>
  <c r="AK9" i="9"/>
  <c r="AP36" i="7"/>
  <c r="AH9" i="9"/>
  <c r="AP33" i="7"/>
  <c r="H9" i="9"/>
  <c r="AP7" i="7"/>
  <c r="BA172" i="4"/>
  <c r="O173" i="4" s="1"/>
  <c r="BA177" i="4"/>
  <c r="O178" i="4" s="1"/>
  <c r="BA171" i="4"/>
  <c r="O172" i="4" s="1"/>
  <c r="BA192" i="4"/>
  <c r="O193" i="4" s="1"/>
  <c r="BA176" i="4"/>
  <c r="O177" i="4" s="1"/>
  <c r="BA191" i="4"/>
  <c r="O192" i="4" s="1"/>
  <c r="BA185" i="4"/>
  <c r="O186" i="4" s="1"/>
  <c r="BA189" i="4"/>
  <c r="O190" i="4" s="1"/>
  <c r="BA173" i="4"/>
  <c r="O174" i="4" s="1"/>
  <c r="BA201" i="4"/>
  <c r="O202" i="4" s="1"/>
  <c r="BA187" i="4"/>
  <c r="O188" i="4" s="1"/>
  <c r="BA203" i="4"/>
  <c r="O204" i="4" s="1"/>
  <c r="BA194" i="4"/>
  <c r="O195" i="4" s="1"/>
  <c r="BA199" i="4"/>
  <c r="O200" i="4" s="1"/>
  <c r="BA175" i="4"/>
  <c r="O176" i="4" s="1"/>
  <c r="BA190" i="4"/>
  <c r="O191" i="4" s="1"/>
  <c r="BA197" i="4"/>
  <c r="O198" i="4" s="1"/>
  <c r="BA183" i="4"/>
  <c r="O184" i="4" s="1"/>
  <c r="BA170" i="4"/>
  <c r="O171" i="4" s="1"/>
  <c r="BA193" i="4"/>
  <c r="O194" i="4" s="1"/>
  <c r="BA195" i="4"/>
  <c r="O196" i="4" s="1"/>
  <c r="BA196" i="4"/>
  <c r="O197" i="4" s="1"/>
  <c r="BA178" i="4"/>
  <c r="O179" i="4" s="1"/>
  <c r="BA181" i="4"/>
  <c r="O182" i="4" s="1"/>
  <c r="BA169" i="4"/>
  <c r="O170" i="4" s="1"/>
  <c r="BA184" i="4"/>
  <c r="O185" i="4" s="1"/>
  <c r="BA188" i="4"/>
  <c r="O189" i="4" s="1"/>
  <c r="BA202" i="4"/>
  <c r="O203" i="4" s="1"/>
  <c r="BA200" i="4"/>
  <c r="O201" i="4" s="1"/>
  <c r="BA180" i="4"/>
  <c r="O181" i="4" s="1"/>
  <c r="BA174" i="4"/>
  <c r="O175" i="4" s="1"/>
  <c r="BA186" i="4"/>
  <c r="O187" i="4" s="1"/>
  <c r="BA198" i="4"/>
  <c r="O199" i="4" s="1"/>
  <c r="BA179" i="4"/>
  <c r="O180" i="4" s="1"/>
  <c r="BU228" i="4"/>
  <c r="AI229" i="4" s="1"/>
  <c r="BU185" i="4"/>
  <c r="AI186" i="4" s="1"/>
  <c r="BU173" i="4"/>
  <c r="AI174" i="4" s="1"/>
  <c r="BU192" i="4"/>
  <c r="AI193" i="4" s="1"/>
  <c r="BU174" i="4"/>
  <c r="AI175" i="4" s="1"/>
  <c r="BU183" i="4"/>
  <c r="AI184" i="4" s="1"/>
  <c r="BU184" i="4"/>
  <c r="AI185" i="4" s="1"/>
  <c r="BU169" i="4"/>
  <c r="AI170" i="4" s="1"/>
  <c r="BU199" i="4"/>
  <c r="AI200" i="4" s="1"/>
  <c r="BU182" i="4"/>
  <c r="AI183" i="4" s="1"/>
  <c r="BU203" i="4"/>
  <c r="AI204" i="4" s="1"/>
  <c r="BU194" i="4"/>
  <c r="AI195" i="4" s="1"/>
  <c r="BU171" i="4"/>
  <c r="AI172" i="4" s="1"/>
  <c r="BU201" i="4"/>
  <c r="AI202" i="4" s="1"/>
  <c r="BU186" i="4"/>
  <c r="AI187" i="4" s="1"/>
  <c r="BU242" i="4"/>
  <c r="AI243" i="4" s="1"/>
  <c r="BU240" i="4"/>
  <c r="AI241" i="4" s="1"/>
  <c r="BU225" i="4"/>
  <c r="AI226" i="4" s="1"/>
  <c r="BU229" i="4"/>
  <c r="AI230" i="4" s="1"/>
  <c r="BU221" i="4"/>
  <c r="AI222" i="4" s="1"/>
  <c r="BU234" i="4"/>
  <c r="AI235" i="4" s="1"/>
  <c r="BU210" i="4"/>
  <c r="AI211" i="4" s="1"/>
  <c r="BU217" i="4"/>
  <c r="AI218" i="4" s="1"/>
  <c r="BU222" i="4"/>
  <c r="AI223" i="4" s="1"/>
  <c r="BU235" i="4"/>
  <c r="AI236" i="4" s="1"/>
  <c r="BU219" i="4"/>
  <c r="AI220" i="4" s="1"/>
  <c r="BU216" i="4"/>
  <c r="AI217" i="4" s="1"/>
  <c r="BU212" i="4"/>
  <c r="AI213" i="4" s="1"/>
  <c r="BU230" i="4"/>
  <c r="AI231" i="4" s="1"/>
  <c r="BU223" i="4"/>
  <c r="AI224" i="4" s="1"/>
  <c r="BU231" i="4"/>
  <c r="AI232" i="4" s="1"/>
  <c r="BU244" i="4"/>
  <c r="AI245" i="4" s="1"/>
  <c r="BU238" i="4"/>
  <c r="AI239" i="4" s="1"/>
  <c r="BU214" i="4"/>
  <c r="AI215" i="4" s="1"/>
  <c r="BU215" i="4"/>
  <c r="AI216" i="4" s="1"/>
  <c r="BU211" i="4"/>
  <c r="AI212" i="4" s="1"/>
  <c r="BU220" i="4"/>
  <c r="AI221" i="4" s="1"/>
  <c r="BU198" i="4"/>
  <c r="AI199" i="4" s="1"/>
  <c r="BU188" i="4"/>
  <c r="AI189" i="4" s="1"/>
  <c r="BU191" i="4"/>
  <c r="AI192" i="4" s="1"/>
  <c r="BU178" i="4"/>
  <c r="AI179" i="4" s="1"/>
  <c r="O12" i="4"/>
  <c r="E10" i="4"/>
  <c r="BU175" i="4"/>
  <c r="AI176" i="4" s="1"/>
  <c r="BU170" i="4"/>
  <c r="AI171" i="4" s="1"/>
  <c r="BU193" i="4"/>
  <c r="AI194" i="4" s="1"/>
  <c r="BU195" i="4"/>
  <c r="AI196" i="4" s="1"/>
  <c r="BU177" i="4"/>
  <c r="AI178" i="4" s="1"/>
  <c r="BU172" i="4"/>
  <c r="AI173" i="4" s="1"/>
  <c r="BU197" i="4"/>
  <c r="AI198" i="4" s="1"/>
  <c r="BU196" i="4"/>
  <c r="AI197" i="4" s="1"/>
  <c r="BU181" i="4"/>
  <c r="AI182" i="4" s="1"/>
  <c r="BU179" i="4"/>
  <c r="AI180" i="4" s="1"/>
  <c r="BU180" i="4"/>
  <c r="AI181" i="4" s="1"/>
  <c r="BU200" i="4"/>
  <c r="AI201" i="4" s="1"/>
  <c r="BU202" i="4"/>
  <c r="AI203" i="4" s="1"/>
  <c r="BU189" i="4"/>
  <c r="AI190" i="4" s="1"/>
  <c r="BU190" i="4"/>
  <c r="AI191" i="4" s="1"/>
  <c r="BU187" i="4"/>
  <c r="AI188" i="4" s="1"/>
  <c r="BU239" i="4"/>
  <c r="AI240" i="4" s="1"/>
  <c r="BU241" i="4"/>
  <c r="AI242" i="4" s="1"/>
  <c r="BU227" i="4"/>
  <c r="AI228" i="4" s="1"/>
  <c r="BU224" i="4"/>
  <c r="AI225" i="4" s="1"/>
  <c r="BU218" i="4"/>
  <c r="AI219" i="4" s="1"/>
  <c r="BU213" i="4"/>
  <c r="AI214" i="4" s="1"/>
  <c r="BU233" i="4"/>
  <c r="AI234" i="4" s="1"/>
  <c r="BU226" i="4"/>
  <c r="AI227" i="4" s="1"/>
  <c r="BU243" i="4"/>
  <c r="AI244" i="4" s="1"/>
  <c r="BU232" i="4"/>
  <c r="AI233" i="4" s="1"/>
  <c r="H16" i="6"/>
  <c r="H13" i="6"/>
  <c r="H11" i="6"/>
  <c r="H14" i="6"/>
  <c r="H12" i="6"/>
  <c r="I14" i="6"/>
  <c r="I11" i="6"/>
  <c r="I13" i="6"/>
  <c r="I16" i="6"/>
  <c r="I12" i="6"/>
  <c r="G11" i="6"/>
  <c r="G16" i="6"/>
  <c r="G13" i="6"/>
  <c r="G12" i="6"/>
  <c r="G14" i="6"/>
  <c r="BA228" i="4"/>
  <c r="O229" i="4" s="1"/>
  <c r="BA235" i="4"/>
  <c r="O236" i="4" s="1"/>
  <c r="BA224" i="4"/>
  <c r="O225" i="4" s="1"/>
  <c r="BA240" i="4"/>
  <c r="O241" i="4" s="1"/>
  <c r="BA241" i="4"/>
  <c r="O242" i="4" s="1"/>
  <c r="BA242" i="4"/>
  <c r="O243" i="4" s="1"/>
  <c r="BA215" i="4"/>
  <c r="O216" i="4" s="1"/>
  <c r="BA218" i="4"/>
  <c r="O219" i="4" s="1"/>
  <c r="BA217" i="4"/>
  <c r="O218" i="4" s="1"/>
  <c r="BA237" i="4"/>
  <c r="O238" i="4" s="1"/>
  <c r="E238" i="4" s="1"/>
  <c r="BA226" i="4"/>
  <c r="O227" i="4" s="1"/>
  <c r="BA230" i="4"/>
  <c r="O231" i="4" s="1"/>
  <c r="BA238" i="4"/>
  <c r="O239" i="4" s="1"/>
  <c r="BA243" i="4"/>
  <c r="O244" i="4" s="1"/>
  <c r="BA211" i="4"/>
  <c r="O212" i="4" s="1"/>
  <c r="BA229" i="4"/>
  <c r="O230" i="4" s="1"/>
  <c r="BA231" i="4"/>
  <c r="O232" i="4" s="1"/>
  <c r="BA233" i="4"/>
  <c r="O234" i="4" s="1"/>
  <c r="BA234" i="4"/>
  <c r="O235" i="4" s="1"/>
  <c r="BA220" i="4"/>
  <c r="O221" i="4" s="1"/>
  <c r="BA232" i="4"/>
  <c r="O233" i="4" s="1"/>
  <c r="BA236" i="4"/>
  <c r="O237" i="4" s="1"/>
  <c r="E237" i="4" s="1"/>
  <c r="BA239" i="4"/>
  <c r="O240" i="4" s="1"/>
  <c r="BA244" i="4"/>
  <c r="O245" i="4" s="1"/>
  <c r="BA221" i="4"/>
  <c r="O222" i="4" s="1"/>
  <c r="BA213" i="4"/>
  <c r="O214" i="4" s="1"/>
  <c r="BA222" i="4"/>
  <c r="O223" i="4" s="1"/>
  <c r="BA227" i="4"/>
  <c r="O228" i="4" s="1"/>
  <c r="BA219" i="4"/>
  <c r="O220" i="4" s="1"/>
  <c r="BA225" i="4"/>
  <c r="O226" i="4" s="1"/>
  <c r="BA210" i="4"/>
  <c r="BA216" i="4"/>
  <c r="O217" i="4" s="1"/>
  <c r="BA214" i="4"/>
  <c r="O215" i="4" s="1"/>
  <c r="BA212" i="4"/>
  <c r="O213" i="4" s="1"/>
  <c r="BA223" i="4"/>
  <c r="O224" i="4" s="1"/>
  <c r="F17" i="5"/>
  <c r="F23" i="5"/>
  <c r="F26" i="5"/>
  <c r="G16" i="5"/>
  <c r="H16" i="5" s="1"/>
  <c r="F22" i="5"/>
  <c r="F21" i="5"/>
  <c r="F25" i="5"/>
  <c r="F19" i="5"/>
  <c r="F27" i="5"/>
  <c r="F16" i="5"/>
  <c r="F20" i="5"/>
  <c r="F18" i="5"/>
  <c r="F24" i="5"/>
  <c r="E129" i="4"/>
  <c r="D128" i="4" s="1"/>
  <c r="AV173" i="4"/>
  <c r="J174" i="4" s="1"/>
  <c r="AV175" i="4"/>
  <c r="J176" i="4" s="1"/>
  <c r="AV177" i="4"/>
  <c r="J178" i="4" s="1"/>
  <c r="AV171" i="4"/>
  <c r="J172" i="4" s="1"/>
  <c r="AV169" i="4"/>
  <c r="AV180" i="4"/>
  <c r="J181" i="4" s="1"/>
  <c r="AV170" i="4"/>
  <c r="J171" i="4" s="1"/>
  <c r="AV176" i="4"/>
  <c r="J177" i="4" s="1"/>
  <c r="AV179" i="4"/>
  <c r="J180" i="4" s="1"/>
  <c r="AV182" i="4"/>
  <c r="J183" i="4" s="1"/>
  <c r="AV190" i="4"/>
  <c r="J191" i="4" s="1"/>
  <c r="AV198" i="4"/>
  <c r="J199" i="4" s="1"/>
  <c r="AV184" i="4"/>
  <c r="J185" i="4" s="1"/>
  <c r="AV192" i="4"/>
  <c r="J193" i="4" s="1"/>
  <c r="AV200" i="4"/>
  <c r="J201" i="4" s="1"/>
  <c r="AV172" i="4"/>
  <c r="J173" i="4" s="1"/>
  <c r="AV185" i="4"/>
  <c r="J186" i="4" s="1"/>
  <c r="AV193" i="4"/>
  <c r="J194" i="4" s="1"/>
  <c r="AV201" i="4"/>
  <c r="J202" i="4" s="1"/>
  <c r="AV174" i="4"/>
  <c r="J175" i="4" s="1"/>
  <c r="AV181" i="4"/>
  <c r="J182" i="4" s="1"/>
  <c r="AV186" i="4"/>
  <c r="J187" i="4" s="1"/>
  <c r="AV194" i="4"/>
  <c r="J195" i="4" s="1"/>
  <c r="AV202" i="4"/>
  <c r="J203" i="4" s="1"/>
  <c r="AV189" i="4"/>
  <c r="J190" i="4" s="1"/>
  <c r="AV191" i="4"/>
  <c r="J192" i="4" s="1"/>
  <c r="AV195" i="4"/>
  <c r="J196" i="4" s="1"/>
  <c r="AV197" i="4"/>
  <c r="J198" i="4" s="1"/>
  <c r="AV178" i="4"/>
  <c r="J179" i="4" s="1"/>
  <c r="AV183" i="4"/>
  <c r="J184" i="4" s="1"/>
  <c r="AV199" i="4"/>
  <c r="J200" i="4" s="1"/>
  <c r="AV187" i="4"/>
  <c r="J188" i="4" s="1"/>
  <c r="AV188" i="4"/>
  <c r="J189" i="4" s="1"/>
  <c r="AV196" i="4"/>
  <c r="J197" i="4" s="1"/>
  <c r="AV203" i="4"/>
  <c r="J204" i="4" s="1"/>
  <c r="AD57" i="2"/>
  <c r="J114" i="2"/>
  <c r="K8" i="4"/>
  <c r="E9" i="4"/>
  <c r="J12" i="4"/>
  <c r="BK180" i="4"/>
  <c r="Y181" i="4" s="1"/>
  <c r="BK169" i="4"/>
  <c r="BK170" i="4"/>
  <c r="Y171" i="4" s="1"/>
  <c r="BK186" i="4"/>
  <c r="Y187" i="4" s="1"/>
  <c r="BK183" i="4"/>
  <c r="Y184" i="4" s="1"/>
  <c r="BK193" i="4"/>
  <c r="Y194" i="4" s="1"/>
  <c r="BK198" i="4"/>
  <c r="Y199" i="4" s="1"/>
  <c r="BK173" i="4"/>
  <c r="Y174" i="4" s="1"/>
  <c r="BK201" i="4"/>
  <c r="Y202" i="4" s="1"/>
  <c r="BK176" i="4"/>
  <c r="Y177" i="4" s="1"/>
  <c r="BK179" i="4"/>
  <c r="Y180" i="4" s="1"/>
  <c r="BK185" i="4"/>
  <c r="Y186" i="4" s="1"/>
  <c r="BK182" i="4"/>
  <c r="Y183" i="4" s="1"/>
  <c r="BK187" i="4"/>
  <c r="Y188" i="4" s="1"/>
  <c r="BK190" i="4"/>
  <c r="Y191" i="4" s="1"/>
  <c r="BK191" i="4"/>
  <c r="Y192" i="4" s="1"/>
  <c r="BK177" i="4"/>
  <c r="Y178" i="4" s="1"/>
  <c r="BK196" i="4"/>
  <c r="Y197" i="4" s="1"/>
  <c r="BK174" i="4"/>
  <c r="Y175" i="4" s="1"/>
  <c r="BK189" i="4"/>
  <c r="Y190" i="4" s="1"/>
  <c r="BK199" i="4"/>
  <c r="Y200" i="4" s="1"/>
  <c r="BK178" i="4"/>
  <c r="Y179" i="4" s="1"/>
  <c r="BK200" i="4"/>
  <c r="Y201" i="4" s="1"/>
  <c r="BK171" i="4"/>
  <c r="Y172" i="4" s="1"/>
  <c r="BK192" i="4"/>
  <c r="Y193" i="4" s="1"/>
  <c r="BK202" i="4"/>
  <c r="Y203" i="4" s="1"/>
  <c r="BK188" i="4"/>
  <c r="Y189" i="4" s="1"/>
  <c r="BK195" i="4"/>
  <c r="Y196" i="4" s="1"/>
  <c r="BK181" i="4"/>
  <c r="Y182" i="4" s="1"/>
  <c r="BK197" i="4"/>
  <c r="Y198" i="4" s="1"/>
  <c r="BK175" i="4"/>
  <c r="Y176" i="4" s="1"/>
  <c r="BK203" i="4"/>
  <c r="Y204" i="4" s="1"/>
  <c r="BK194" i="4"/>
  <c r="Y195" i="4" s="1"/>
  <c r="BK172" i="4"/>
  <c r="Y173" i="4" s="1"/>
  <c r="BK184" i="4"/>
  <c r="Y185" i="4" s="1"/>
  <c r="U8" i="4"/>
  <c r="T12" i="4"/>
  <c r="P11" i="4"/>
  <c r="O59" i="2"/>
  <c r="Z8" i="4"/>
  <c r="Y12" i="4"/>
  <c r="AJ11" i="4"/>
  <c r="AI59" i="2"/>
  <c r="BF179" i="4"/>
  <c r="T180" i="4" s="1"/>
  <c r="BF170" i="4"/>
  <c r="T171" i="4" s="1"/>
  <c r="BF169" i="4"/>
  <c r="BF190" i="4"/>
  <c r="T191" i="4" s="1"/>
  <c r="BF198" i="4"/>
  <c r="T199" i="4" s="1"/>
  <c r="BF183" i="4"/>
  <c r="T184" i="4" s="1"/>
  <c r="BF174" i="4"/>
  <c r="T175" i="4" s="1"/>
  <c r="BF184" i="4"/>
  <c r="T185" i="4" s="1"/>
  <c r="BF172" i="4"/>
  <c r="T173" i="4" s="1"/>
  <c r="BF178" i="4"/>
  <c r="T179" i="4" s="1"/>
  <c r="BF193" i="4"/>
  <c r="T194" i="4" s="1"/>
  <c r="BF201" i="4"/>
  <c r="T202" i="4" s="1"/>
  <c r="BF175" i="4"/>
  <c r="T176" i="4" s="1"/>
  <c r="BF176" i="4"/>
  <c r="T177" i="4" s="1"/>
  <c r="BF181" i="4"/>
  <c r="T182" i="4" s="1"/>
  <c r="BF182" i="4"/>
  <c r="T183" i="4" s="1"/>
  <c r="BF186" i="4"/>
  <c r="T187" i="4" s="1"/>
  <c r="BF187" i="4"/>
  <c r="T188" i="4" s="1"/>
  <c r="BF180" i="4"/>
  <c r="T181" i="4" s="1"/>
  <c r="BF194" i="4"/>
  <c r="T195" i="4" s="1"/>
  <c r="BF173" i="4"/>
  <c r="T174" i="4" s="1"/>
  <c r="BF185" i="4"/>
  <c r="T186" i="4" s="1"/>
  <c r="BF196" i="4"/>
  <c r="T197" i="4" s="1"/>
  <c r="BF177" i="4"/>
  <c r="T178" i="4" s="1"/>
  <c r="BF197" i="4"/>
  <c r="T198" i="4" s="1"/>
  <c r="BF199" i="4"/>
  <c r="T200" i="4" s="1"/>
  <c r="BF171" i="4"/>
  <c r="T172" i="4" s="1"/>
  <c r="BF192" i="4"/>
  <c r="T193" i="4" s="1"/>
  <c r="BF188" i="4"/>
  <c r="T189" i="4" s="1"/>
  <c r="BF195" i="4"/>
  <c r="T196" i="4" s="1"/>
  <c r="BF200" i="4"/>
  <c r="T201" i="4" s="1"/>
  <c r="BF203" i="4"/>
  <c r="T204" i="4" s="1"/>
  <c r="BF189" i="4"/>
  <c r="T190" i="4" s="1"/>
  <c r="BF191" i="4"/>
  <c r="T192" i="4" s="1"/>
  <c r="BF202" i="4"/>
  <c r="T203" i="4" s="1"/>
  <c r="E219" i="4" l="1"/>
  <c r="E245" i="4"/>
  <c r="E233" i="4"/>
  <c r="BP204" i="4"/>
  <c r="H17" i="2"/>
  <c r="AT7" i="7"/>
  <c r="AZ7" i="7" s="1"/>
  <c r="AH17" i="2"/>
  <c r="AT33" i="7"/>
  <c r="AZ33" i="7" s="1"/>
  <c r="AK17" i="2"/>
  <c r="AT36" i="7"/>
  <c r="AZ36" i="7" s="1"/>
  <c r="R17" i="2"/>
  <c r="AT17" i="7"/>
  <c r="AZ17" i="7" s="1"/>
  <c r="K17" i="2"/>
  <c r="AT10" i="7"/>
  <c r="AZ10" i="7" s="1"/>
  <c r="G17" i="2"/>
  <c r="G14" i="2" s="1"/>
  <c r="G39" i="2" s="1"/>
  <c r="AT6" i="7"/>
  <c r="AZ6" i="7" s="1"/>
  <c r="S17" i="2"/>
  <c r="AT18" i="7"/>
  <c r="AZ18" i="7" s="1"/>
  <c r="X17" i="2"/>
  <c r="AT23" i="7"/>
  <c r="AZ23" i="7" s="1"/>
  <c r="AA17" i="2"/>
  <c r="AT26" i="7"/>
  <c r="AZ26" i="7" s="1"/>
  <c r="AM17" i="2"/>
  <c r="AT38" i="7"/>
  <c r="AZ38" i="7" s="1"/>
  <c r="AD17" i="2"/>
  <c r="AT29" i="7"/>
  <c r="AZ29" i="7" s="1"/>
  <c r="AF17" i="2"/>
  <c r="AT31" i="7"/>
  <c r="AZ31" i="7" s="1"/>
  <c r="AI17" i="2"/>
  <c r="AT34" i="7"/>
  <c r="AZ34" i="7" s="1"/>
  <c r="AL17" i="2"/>
  <c r="AT37" i="7"/>
  <c r="AZ37" i="7" s="1"/>
  <c r="O17" i="2"/>
  <c r="AT14" i="7"/>
  <c r="AZ14" i="7" s="1"/>
  <c r="P17" i="2"/>
  <c r="AT15" i="7"/>
  <c r="AZ15" i="7" s="1"/>
  <c r="AE17" i="2"/>
  <c r="AT30" i="7"/>
  <c r="AZ30" i="7" s="1"/>
  <c r="I17" i="2"/>
  <c r="AT8" i="7"/>
  <c r="AZ8" i="7" s="1"/>
  <c r="L17" i="2"/>
  <c r="AT11" i="7"/>
  <c r="AZ11" i="7" s="1"/>
  <c r="Q17" i="2"/>
  <c r="AT16" i="7"/>
  <c r="AZ16" i="7" s="1"/>
  <c r="T17" i="2"/>
  <c r="AT19" i="7"/>
  <c r="AZ19" i="7" s="1"/>
  <c r="Y17" i="2"/>
  <c r="AT24" i="7"/>
  <c r="AZ24" i="7" s="1"/>
  <c r="AJ17" i="2"/>
  <c r="AT35" i="7"/>
  <c r="AZ35" i="7" s="1"/>
  <c r="AG17" i="2"/>
  <c r="AT32" i="7"/>
  <c r="AZ32" i="7" s="1"/>
  <c r="M17" i="2"/>
  <c r="AT12" i="7"/>
  <c r="AZ12" i="7" s="1"/>
  <c r="V17" i="2"/>
  <c r="AT21" i="7"/>
  <c r="AZ21" i="7" s="1"/>
  <c r="F17" i="2"/>
  <c r="AT5" i="7"/>
  <c r="AZ5" i="7" s="1"/>
  <c r="U17" i="2"/>
  <c r="AT20" i="7"/>
  <c r="AZ20" i="7" s="1"/>
  <c r="J17" i="2"/>
  <c r="AT9" i="7"/>
  <c r="AZ9" i="7" s="1"/>
  <c r="AC17" i="2"/>
  <c r="AT28" i="7"/>
  <c r="AZ28" i="7" s="1"/>
  <c r="AN17" i="2"/>
  <c r="AT39" i="7"/>
  <c r="AZ39" i="7" s="1"/>
  <c r="Z17" i="2"/>
  <c r="AT25" i="7"/>
  <c r="AZ25" i="7" s="1"/>
  <c r="AB17" i="2"/>
  <c r="AT27" i="7"/>
  <c r="AZ27" i="7" s="1"/>
  <c r="W17" i="2"/>
  <c r="AT22" i="7"/>
  <c r="AZ22" i="7" s="1"/>
  <c r="N17" i="2"/>
  <c r="AT13" i="7"/>
  <c r="AZ13" i="7" s="1"/>
  <c r="L130" i="1"/>
  <c r="F77" i="1"/>
  <c r="N147" i="1"/>
  <c r="L150" i="1"/>
  <c r="AN35" i="1"/>
  <c r="AG8" i="2"/>
  <c r="X8" i="2"/>
  <c r="AE35" i="1"/>
  <c r="T8" i="2"/>
  <c r="Q98" i="2" s="1"/>
  <c r="AA35" i="1"/>
  <c r="N8" i="2"/>
  <c r="U35" i="1"/>
  <c r="O35" i="1"/>
  <c r="H8" i="2"/>
  <c r="O39" i="1"/>
  <c r="AI8" i="2"/>
  <c r="T98" i="2" s="1"/>
  <c r="AP35" i="1"/>
  <c r="AQ35" i="1"/>
  <c r="AJ8" i="2"/>
  <c r="AI35" i="1"/>
  <c r="AB8" i="2"/>
  <c r="W35" i="1"/>
  <c r="P8" i="2"/>
  <c r="R8" i="2"/>
  <c r="Y35" i="1"/>
  <c r="S8" i="2"/>
  <c r="Z35" i="1"/>
  <c r="P35" i="1"/>
  <c r="I8" i="2"/>
  <c r="AO35" i="1"/>
  <c r="AH8" i="2"/>
  <c r="V8" i="2"/>
  <c r="AC35" i="1"/>
  <c r="X35" i="1"/>
  <c r="Q8" i="2"/>
  <c r="AT35" i="1"/>
  <c r="AM8" i="2"/>
  <c r="AK35" i="1"/>
  <c r="AD8" i="2"/>
  <c r="S98" i="2" s="1"/>
  <c r="AF35" i="1"/>
  <c r="Y8" i="2"/>
  <c r="R98" i="2" s="1"/>
  <c r="AL35" i="1"/>
  <c r="AE8" i="2"/>
  <c r="L8" i="2"/>
  <c r="S35" i="1"/>
  <c r="AS35" i="1"/>
  <c r="AL8" i="2"/>
  <c r="Q35" i="1"/>
  <c r="J8" i="2"/>
  <c r="O98" i="2" s="1"/>
  <c r="V35" i="1"/>
  <c r="O8" i="2"/>
  <c r="P98" i="2" s="1"/>
  <c r="AG35" i="1"/>
  <c r="Z8" i="2"/>
  <c r="AF8" i="2"/>
  <c r="AM35" i="1"/>
  <c r="AU35" i="1"/>
  <c r="AN8" i="2"/>
  <c r="U98" i="2" s="1"/>
  <c r="W8" i="2"/>
  <c r="AD35" i="1"/>
  <c r="AK6" i="2"/>
  <c r="AL16" i="2" s="1"/>
  <c r="AM9" i="6"/>
  <c r="U6" i="2"/>
  <c r="V16" i="2" s="1"/>
  <c r="W9" i="6"/>
  <c r="M6" i="2"/>
  <c r="N16" i="2" s="1"/>
  <c r="O9" i="6"/>
  <c r="AA6" i="2"/>
  <c r="AB16" i="2" s="1"/>
  <c r="AC9" i="6"/>
  <c r="AC6" i="2"/>
  <c r="AD16" i="2" s="1"/>
  <c r="AE9" i="6"/>
  <c r="K6" i="2"/>
  <c r="L16" i="2" s="1"/>
  <c r="M9" i="6"/>
  <c r="E234" i="4"/>
  <c r="E229" i="4"/>
  <c r="E242" i="4"/>
  <c r="C5" i="7" a="1"/>
  <c r="BA204" i="4"/>
  <c r="E243" i="4"/>
  <c r="E223" i="4"/>
  <c r="E239" i="4"/>
  <c r="E241" i="4"/>
  <c r="E214" i="4"/>
  <c r="E236" i="4"/>
  <c r="E220" i="4"/>
  <c r="E217" i="4"/>
  <c r="E240" i="4"/>
  <c r="E212" i="4"/>
  <c r="AI247" i="4"/>
  <c r="E215" i="4"/>
  <c r="E230" i="4"/>
  <c r="E216" i="4"/>
  <c r="E226" i="4"/>
  <c r="E244" i="4"/>
  <c r="E235" i="4"/>
  <c r="E213" i="4"/>
  <c r="E222" i="4"/>
  <c r="E218" i="4"/>
  <c r="E228" i="4"/>
  <c r="E221" i="4"/>
  <c r="E231" i="4"/>
  <c r="E225" i="4"/>
  <c r="BU204" i="4"/>
  <c r="E224" i="4"/>
  <c r="E232" i="4"/>
  <c r="BU205" i="4"/>
  <c r="BU246" i="4"/>
  <c r="E227" i="4"/>
  <c r="BU245" i="4"/>
  <c r="I10" i="6"/>
  <c r="G10" i="2" s="1"/>
  <c r="G9" i="2" s="1"/>
  <c r="G13" i="2" s="1"/>
  <c r="AE5" i="7" a="1"/>
  <c r="H10" i="6"/>
  <c r="F10" i="2" s="1"/>
  <c r="M5" i="7" a="1"/>
  <c r="I19" i="6"/>
  <c r="I17" i="6"/>
  <c r="I18" i="6"/>
  <c r="H17" i="6"/>
  <c r="H19" i="6"/>
  <c r="H18" i="6"/>
  <c r="G18" i="6"/>
  <c r="G17" i="6"/>
  <c r="G19" i="6"/>
  <c r="G10" i="6"/>
  <c r="E10" i="2" s="1"/>
  <c r="E9" i="2" s="1"/>
  <c r="E13" i="2" s="1"/>
  <c r="E19" i="2" s="1"/>
  <c r="E189" i="4"/>
  <c r="E190" i="4"/>
  <c r="E186" i="4"/>
  <c r="E180" i="4"/>
  <c r="E174" i="4"/>
  <c r="O211" i="4"/>
  <c r="E211" i="4" s="1"/>
  <c r="BA245" i="4"/>
  <c r="E201" i="4"/>
  <c r="T170" i="4"/>
  <c r="BF204" i="4"/>
  <c r="T59" i="2"/>
  <c r="U11" i="4"/>
  <c r="E188" i="4"/>
  <c r="E203" i="4"/>
  <c r="E173" i="4"/>
  <c r="E177" i="4"/>
  <c r="D127" i="4"/>
  <c r="D129" i="4" s="1"/>
  <c r="Y59" i="2"/>
  <c r="Z11" i="4"/>
  <c r="Y170" i="4"/>
  <c r="BK204" i="4"/>
  <c r="E184" i="4"/>
  <c r="E187" i="4"/>
  <c r="E193" i="4"/>
  <c r="E181" i="4"/>
  <c r="E171" i="4"/>
  <c r="E179" i="4"/>
  <c r="E182" i="4"/>
  <c r="E185" i="4"/>
  <c r="J170" i="4"/>
  <c r="AV204" i="4"/>
  <c r="K114" i="2"/>
  <c r="AI57" i="2"/>
  <c r="E198" i="4"/>
  <c r="E175" i="4"/>
  <c r="E199" i="4"/>
  <c r="E172" i="4"/>
  <c r="E195" i="4"/>
  <c r="O57" i="2"/>
  <c r="G114" i="2"/>
  <c r="E204" i="4"/>
  <c r="E196" i="4"/>
  <c r="E202" i="4"/>
  <c r="E191" i="4"/>
  <c r="E178" i="4"/>
  <c r="E16" i="5"/>
  <c r="F47" i="5"/>
  <c r="I16" i="5"/>
  <c r="G17" i="5" s="1"/>
  <c r="E17" i="5" s="1"/>
  <c r="J112" i="2"/>
  <c r="AD56" i="2"/>
  <c r="J111" i="2" s="1"/>
  <c r="E200" i="4"/>
  <c r="J59" i="2"/>
  <c r="K11" i="4"/>
  <c r="E8" i="4"/>
  <c r="E197" i="4"/>
  <c r="E192" i="4"/>
  <c r="E194" i="4"/>
  <c r="E183" i="4"/>
  <c r="E176" i="4"/>
  <c r="G15" i="6" l="1"/>
  <c r="M11" i="6"/>
  <c r="M14" i="6"/>
  <c r="M12" i="6"/>
  <c r="M13" i="6"/>
  <c r="M16" i="6"/>
  <c r="AE13" i="6"/>
  <c r="AE16" i="6"/>
  <c r="AE11" i="6"/>
  <c r="AE12" i="6"/>
  <c r="AE14" i="6"/>
  <c r="AC16" i="6"/>
  <c r="AC11" i="6"/>
  <c r="AC14" i="6"/>
  <c r="AC13" i="6"/>
  <c r="AC12" i="6"/>
  <c r="O14" i="6"/>
  <c r="O13" i="6"/>
  <c r="O12" i="6"/>
  <c r="O11" i="6"/>
  <c r="O10" i="6" s="1"/>
  <c r="M10" i="2" s="1"/>
  <c r="M9" i="2" s="1"/>
  <c r="M13" i="2" s="1"/>
  <c r="M34" i="2" s="1"/>
  <c r="O16" i="6"/>
  <c r="W11" i="6"/>
  <c r="W13" i="6"/>
  <c r="W12" i="6"/>
  <c r="W16" i="6"/>
  <c r="W14" i="6"/>
  <c r="AM16" i="6"/>
  <c r="AM11" i="6"/>
  <c r="AM12" i="6"/>
  <c r="AM14" i="6"/>
  <c r="AM13" i="6"/>
  <c r="W6" i="2"/>
  <c r="X16" i="2" s="1"/>
  <c r="Y9" i="6"/>
  <c r="AP9" i="6"/>
  <c r="AN6" i="2"/>
  <c r="AF6" i="2"/>
  <c r="AG16" i="2" s="1"/>
  <c r="AH9" i="6"/>
  <c r="Z6" i="2"/>
  <c r="AA16" i="2" s="1"/>
  <c r="AB9" i="6"/>
  <c r="O6" i="2"/>
  <c r="Q9" i="6"/>
  <c r="J6" i="2"/>
  <c r="L9" i="6"/>
  <c r="AN9" i="6"/>
  <c r="AL6" i="2"/>
  <c r="AM16" i="2" s="1"/>
  <c r="N9" i="6"/>
  <c r="L6" i="2"/>
  <c r="M16" i="2" s="1"/>
  <c r="AG9" i="6"/>
  <c r="AE6" i="2"/>
  <c r="AF16" i="2" s="1"/>
  <c r="Y6" i="2"/>
  <c r="AA9" i="6"/>
  <c r="AD6" i="2"/>
  <c r="AF9" i="6"/>
  <c r="AO9" i="6"/>
  <c r="AM6" i="2"/>
  <c r="AN16" i="2" s="1"/>
  <c r="Q6" i="2"/>
  <c r="R16" i="2" s="1"/>
  <c r="S9" i="6"/>
  <c r="V6" i="2"/>
  <c r="W16" i="2" s="1"/>
  <c r="X9" i="6"/>
  <c r="AH6" i="2"/>
  <c r="AI16" i="2" s="1"/>
  <c r="AJ9" i="6"/>
  <c r="I6" i="2"/>
  <c r="J16" i="2" s="1"/>
  <c r="K9" i="6"/>
  <c r="S6" i="2"/>
  <c r="T16" i="2" s="1"/>
  <c r="U9" i="6"/>
  <c r="T9" i="6"/>
  <c r="R6" i="2"/>
  <c r="S16" i="2" s="1"/>
  <c r="R9" i="6"/>
  <c r="P6" i="2"/>
  <c r="Q16" i="2" s="1"/>
  <c r="AD9" i="6"/>
  <c r="AB6" i="2"/>
  <c r="AC16" i="2" s="1"/>
  <c r="AJ6" i="2"/>
  <c r="AK16" i="2" s="1"/>
  <c r="AL9" i="6"/>
  <c r="AK9" i="6"/>
  <c r="AI6" i="2"/>
  <c r="P39" i="1"/>
  <c r="P40" i="1" s="1"/>
  <c r="O40" i="1"/>
  <c r="D8" i="2"/>
  <c r="H6" i="2"/>
  <c r="J9" i="6"/>
  <c r="L38" i="1"/>
  <c r="L39" i="1" s="1"/>
  <c r="N6" i="2"/>
  <c r="O16" i="2" s="1"/>
  <c r="P9" i="6"/>
  <c r="T6" i="2"/>
  <c r="V9" i="6"/>
  <c r="X6" i="2"/>
  <c r="Z9" i="6"/>
  <c r="AG6" i="2"/>
  <c r="AH16" i="2" s="1"/>
  <c r="AI9" i="6"/>
  <c r="F78" i="1"/>
  <c r="L151" i="1"/>
  <c r="AB48" i="1"/>
  <c r="H20" i="7" s="1"/>
  <c r="X48" i="1"/>
  <c r="AT48" i="1"/>
  <c r="H38" i="7" s="1"/>
  <c r="Q48" i="1"/>
  <c r="AJ48" i="1"/>
  <c r="AF48" i="1"/>
  <c r="O48" i="1"/>
  <c r="E77" i="1"/>
  <c r="AR48" i="1"/>
  <c r="AN48" i="1"/>
  <c r="AE48" i="1"/>
  <c r="W48" i="1"/>
  <c r="R48" i="1"/>
  <c r="H10" i="7" s="1"/>
  <c r="U48" i="1"/>
  <c r="Y48" i="1"/>
  <c r="H17" i="7" s="1"/>
  <c r="AU48" i="1"/>
  <c r="H39" i="7" s="1"/>
  <c r="AG48" i="1"/>
  <c r="H25" i="7" s="1"/>
  <c r="Z48" i="1"/>
  <c r="AC48" i="1"/>
  <c r="AO48" i="1"/>
  <c r="H33" i="7" s="1"/>
  <c r="S48" i="1"/>
  <c r="AM48" i="1"/>
  <c r="AH48" i="1"/>
  <c r="AK48" i="1"/>
  <c r="AA48" i="1"/>
  <c r="H19" i="7" s="1"/>
  <c r="AI48" i="1"/>
  <c r="F80" i="1"/>
  <c r="AP48" i="1"/>
  <c r="H34" i="7" s="1"/>
  <c r="AS48" i="1"/>
  <c r="H37" i="7" s="1"/>
  <c r="AQ48" i="1"/>
  <c r="V48" i="1"/>
  <c r="T48" i="1"/>
  <c r="H12" i="7" s="1"/>
  <c r="P48" i="1"/>
  <c r="H8" i="7" s="1"/>
  <c r="AD48" i="1"/>
  <c r="AL48" i="1"/>
  <c r="D17" i="2"/>
  <c r="F14" i="2"/>
  <c r="F39" i="2" s="1"/>
  <c r="H35" i="7"/>
  <c r="H7" i="7"/>
  <c r="H23" i="7"/>
  <c r="H28" i="7"/>
  <c r="H36" i="7"/>
  <c r="H24" i="7"/>
  <c r="H18" i="7"/>
  <c r="H21" i="7"/>
  <c r="H15" i="7"/>
  <c r="H32" i="7"/>
  <c r="H29" i="7"/>
  <c r="H9" i="7"/>
  <c r="H30" i="7"/>
  <c r="H11" i="7"/>
  <c r="H22" i="7"/>
  <c r="H26" i="7"/>
  <c r="J5" i="7" a="1"/>
  <c r="H14" i="7"/>
  <c r="H31" i="7"/>
  <c r="H16" i="7"/>
  <c r="H27" i="7"/>
  <c r="H13" i="7"/>
  <c r="G25" i="7"/>
  <c r="H6" i="7"/>
  <c r="G23" i="7"/>
  <c r="D37" i="7"/>
  <c r="E18" i="7"/>
  <c r="G33" i="7"/>
  <c r="C13" i="7"/>
  <c r="E28" i="7"/>
  <c r="F9" i="7"/>
  <c r="D33" i="7"/>
  <c r="E14" i="7"/>
  <c r="E31" i="7"/>
  <c r="F12" i="7"/>
  <c r="F29" i="7"/>
  <c r="C11" i="7"/>
  <c r="I6" i="7"/>
  <c r="G18" i="7"/>
  <c r="C12" i="7"/>
  <c r="C14" i="7"/>
  <c r="D5" i="7"/>
  <c r="G7" i="7"/>
  <c r="G39" i="7"/>
  <c r="D22" i="7"/>
  <c r="C39" i="7"/>
  <c r="D20" i="7"/>
  <c r="F35" i="7"/>
  <c r="G16" i="7"/>
  <c r="D30" i="7"/>
  <c r="E11" i="7"/>
  <c r="G26" i="7"/>
  <c r="C6" i="7"/>
  <c r="F31" i="7"/>
  <c r="G12" i="7"/>
  <c r="G29" i="7"/>
  <c r="C9" i="7"/>
  <c r="C26" i="7"/>
  <c r="C7" i="7"/>
  <c r="C36" i="7"/>
  <c r="E9" i="7"/>
  <c r="G15" i="7"/>
  <c r="I5" i="7"/>
  <c r="F27" i="7"/>
  <c r="C31" i="7"/>
  <c r="E12" i="7"/>
  <c r="E39" i="7"/>
  <c r="F20" i="7"/>
  <c r="E37" i="7"/>
  <c r="F18" i="7"/>
  <c r="C32" i="7"/>
  <c r="D13" i="7"/>
  <c r="F28" i="7"/>
  <c r="G9" i="7"/>
  <c r="D23" i="7"/>
  <c r="F38" i="7"/>
  <c r="C28" i="7"/>
  <c r="D9" i="7"/>
  <c r="D26" i="7"/>
  <c r="E7" i="7"/>
  <c r="E24" i="7"/>
  <c r="F37" i="7"/>
  <c r="D24" i="7"/>
  <c r="D28" i="7"/>
  <c r="D36" i="7"/>
  <c r="C24" i="7"/>
  <c r="D17" i="7"/>
  <c r="D7" i="7"/>
  <c r="E8" i="7"/>
  <c r="G37" i="7"/>
  <c r="C17" i="7"/>
  <c r="G35" i="7"/>
  <c r="C15" i="7"/>
  <c r="E30" i="7"/>
  <c r="F11" i="7"/>
  <c r="C25" i="7"/>
  <c r="D6" i="7"/>
  <c r="F21" i="7"/>
  <c r="C35" i="7"/>
  <c r="E26" i="7"/>
  <c r="F7" i="7"/>
  <c r="F24" i="7"/>
  <c r="G5" i="7"/>
  <c r="G22" i="7"/>
  <c r="G30" i="7"/>
  <c r="C19" i="7"/>
  <c r="E22" i="7"/>
  <c r="G19" i="7"/>
  <c r="F5" i="7"/>
  <c r="G8" i="7"/>
  <c r="C34" i="7"/>
  <c r="F26" i="7"/>
  <c r="D34" i="7"/>
  <c r="E15" i="7"/>
  <c r="D32" i="7"/>
  <c r="E13" i="7"/>
  <c r="G28" i="7"/>
  <c r="C8" i="7"/>
  <c r="E23" i="7"/>
  <c r="G38" i="7"/>
  <c r="C18" i="7"/>
  <c r="E33" i="7"/>
  <c r="G24" i="7"/>
  <c r="H5" i="7"/>
  <c r="C21" i="7"/>
  <c r="C38" i="7"/>
  <c r="D19" i="7"/>
  <c r="F25" i="7"/>
  <c r="E10" i="7"/>
  <c r="G32" i="7"/>
  <c r="F14" i="7"/>
  <c r="E5" i="7"/>
  <c r="F39" i="7"/>
  <c r="G27" i="7"/>
  <c r="D16" i="7"/>
  <c r="F32" i="7"/>
  <c r="G13" i="7"/>
  <c r="F30" i="7"/>
  <c r="G11" i="7"/>
  <c r="D25" i="7"/>
  <c r="E6" i="7"/>
  <c r="G21" i="7"/>
  <c r="D35" i="7"/>
  <c r="E16" i="7"/>
  <c r="G31" i="7"/>
  <c r="D21" i="7"/>
  <c r="D38" i="7"/>
  <c r="E19" i="7"/>
  <c r="E36" i="7"/>
  <c r="F17" i="7"/>
  <c r="E20" i="7"/>
  <c r="D29" i="7"/>
  <c r="D27" i="7"/>
  <c r="F10" i="7"/>
  <c r="E34" i="7"/>
  <c r="C22" i="7"/>
  <c r="F22" i="7"/>
  <c r="C29" i="7"/>
  <c r="D10" i="7"/>
  <c r="C27" i="7"/>
  <c r="D8" i="7"/>
  <c r="F23" i="7"/>
  <c r="C37" i="7"/>
  <c r="D18" i="7"/>
  <c r="F33" i="7"/>
  <c r="G14" i="7"/>
  <c r="E38" i="7"/>
  <c r="F19" i="7"/>
  <c r="F36" i="7"/>
  <c r="G17" i="7"/>
  <c r="G34" i="7"/>
  <c r="G20" i="7"/>
  <c r="D15" i="7"/>
  <c r="C10" i="7"/>
  <c r="D12" i="7"/>
  <c r="G6" i="7"/>
  <c r="C23" i="7"/>
  <c r="D39" i="7"/>
  <c r="E17" i="7"/>
  <c r="E27" i="7"/>
  <c r="F8" i="7"/>
  <c r="E25" i="7"/>
  <c r="F6" i="7"/>
  <c r="C20" i="7"/>
  <c r="E35" i="7"/>
  <c r="F16" i="7"/>
  <c r="C30" i="7"/>
  <c r="D11" i="7"/>
  <c r="G36" i="7"/>
  <c r="C16" i="7"/>
  <c r="C33" i="7"/>
  <c r="D14" i="7"/>
  <c r="D31" i="7"/>
  <c r="F15" i="7"/>
  <c r="G10" i="7"/>
  <c r="F34" i="7"/>
  <c r="E32" i="7"/>
  <c r="E29" i="7"/>
  <c r="F13" i="7"/>
  <c r="E21" i="7"/>
  <c r="C5" i="7"/>
  <c r="F209" i="4" a="1"/>
  <c r="I209" i="4" s="1"/>
  <c r="I15" i="6"/>
  <c r="AE14" i="7"/>
  <c r="AX14" i="7" s="1"/>
  <c r="BA14" i="7" s="1"/>
  <c r="BD14" i="7" s="1"/>
  <c r="AE13" i="7"/>
  <c r="AX13" i="7" s="1"/>
  <c r="BA13" i="7" s="1"/>
  <c r="BD13" i="7" s="1"/>
  <c r="AE16" i="7"/>
  <c r="AX16" i="7" s="1"/>
  <c r="BA16" i="7" s="1"/>
  <c r="BD16" i="7" s="1"/>
  <c r="AE32" i="7"/>
  <c r="AX32" i="7" s="1"/>
  <c r="BA32" i="7" s="1"/>
  <c r="BD32" i="7" s="1"/>
  <c r="AE27" i="7"/>
  <c r="AX27" i="7" s="1"/>
  <c r="BA27" i="7" s="1"/>
  <c r="BD27" i="7" s="1"/>
  <c r="AE39" i="7"/>
  <c r="AX39" i="7" s="1"/>
  <c r="BA39" i="7" s="1"/>
  <c r="BD39" i="7" s="1"/>
  <c r="AE18" i="7"/>
  <c r="AX18" i="7" s="1"/>
  <c r="BA18" i="7" s="1"/>
  <c r="BD18" i="7" s="1"/>
  <c r="AE34" i="7"/>
  <c r="AX34" i="7" s="1"/>
  <c r="BA34" i="7" s="1"/>
  <c r="BD34" i="7" s="1"/>
  <c r="AE5" i="7"/>
  <c r="AE29" i="7"/>
  <c r="AX29" i="7" s="1"/>
  <c r="BA29" i="7" s="1"/>
  <c r="BD29" i="7" s="1"/>
  <c r="AE6" i="7"/>
  <c r="AX6" i="7" s="1"/>
  <c r="BA6" i="7" s="1"/>
  <c r="BD6" i="7" s="1"/>
  <c r="AE36" i="7"/>
  <c r="AX36" i="7" s="1"/>
  <c r="BA36" i="7" s="1"/>
  <c r="BD36" i="7" s="1"/>
  <c r="AE31" i="7"/>
  <c r="AX31" i="7" s="1"/>
  <c r="BA31" i="7" s="1"/>
  <c r="BD31" i="7" s="1"/>
  <c r="AE8" i="7"/>
  <c r="AX8" i="7" s="1"/>
  <c r="BA8" i="7" s="1"/>
  <c r="BD8" i="7" s="1"/>
  <c r="AE22" i="7"/>
  <c r="AX22" i="7" s="1"/>
  <c r="BA22" i="7" s="1"/>
  <c r="BD22" i="7" s="1"/>
  <c r="AE38" i="7"/>
  <c r="AX38" i="7" s="1"/>
  <c r="BA38" i="7" s="1"/>
  <c r="BD38" i="7" s="1"/>
  <c r="AE17" i="7"/>
  <c r="AX17" i="7" s="1"/>
  <c r="BA17" i="7" s="1"/>
  <c r="BD17" i="7" s="1"/>
  <c r="AE33" i="7"/>
  <c r="AX33" i="7" s="1"/>
  <c r="BA33" i="7" s="1"/>
  <c r="BD33" i="7" s="1"/>
  <c r="AE28" i="7"/>
  <c r="AX28" i="7" s="1"/>
  <c r="BA28" i="7" s="1"/>
  <c r="BD28" i="7" s="1"/>
  <c r="AE7" i="7"/>
  <c r="AX7" i="7" s="1"/>
  <c r="BA7" i="7" s="1"/>
  <c r="BD7" i="7" s="1"/>
  <c r="AE19" i="7"/>
  <c r="AX19" i="7" s="1"/>
  <c r="BA19" i="7" s="1"/>
  <c r="BD19" i="7" s="1"/>
  <c r="AE12" i="7"/>
  <c r="AX12" i="7" s="1"/>
  <c r="BA12" i="7" s="1"/>
  <c r="BD12" i="7" s="1"/>
  <c r="AE23" i="7"/>
  <c r="AX23" i="7" s="1"/>
  <c r="BA23" i="7" s="1"/>
  <c r="BD23" i="7" s="1"/>
  <c r="AE26" i="7"/>
  <c r="AX26" i="7" s="1"/>
  <c r="BA26" i="7" s="1"/>
  <c r="BD26" i="7" s="1"/>
  <c r="AE9" i="7"/>
  <c r="AX9" i="7" s="1"/>
  <c r="BA9" i="7" s="1"/>
  <c r="BD9" i="7" s="1"/>
  <c r="AE21" i="7"/>
  <c r="AX21" i="7" s="1"/>
  <c r="BA21" i="7" s="1"/>
  <c r="BD21" i="7" s="1"/>
  <c r="AE37" i="7"/>
  <c r="AX37" i="7" s="1"/>
  <c r="BA37" i="7" s="1"/>
  <c r="BD37" i="7" s="1"/>
  <c r="AE11" i="7"/>
  <c r="AX11" i="7" s="1"/>
  <c r="BA11" i="7" s="1"/>
  <c r="BD11" i="7" s="1"/>
  <c r="P6" i="7"/>
  <c r="M10" i="7"/>
  <c r="N10" i="7"/>
  <c r="O10" i="7"/>
  <c r="O20" i="7"/>
  <c r="O5" i="7"/>
  <c r="M20" i="7"/>
  <c r="O28" i="7"/>
  <c r="P28" i="7"/>
  <c r="M26" i="7"/>
  <c r="N5" i="7"/>
  <c r="N12" i="7"/>
  <c r="N26" i="7"/>
  <c r="P12" i="7"/>
  <c r="O26" i="7"/>
  <c r="P36" i="7"/>
  <c r="O12" i="7"/>
  <c r="P26" i="7"/>
  <c r="P20" i="7"/>
  <c r="P5" i="7"/>
  <c r="N6" i="7"/>
  <c r="N28" i="7"/>
  <c r="P10" i="7"/>
  <c r="M12" i="7"/>
  <c r="Q12" i="7" s="1"/>
  <c r="N20" i="7"/>
  <c r="M5" i="7"/>
  <c r="Q5" i="7" s="1"/>
  <c r="N36" i="7"/>
  <c r="M6" i="7"/>
  <c r="M36" i="7"/>
  <c r="O6" i="7"/>
  <c r="O36" i="7"/>
  <c r="M28" i="7"/>
  <c r="F9" i="2"/>
  <c r="G34" i="2"/>
  <c r="G72" i="2" s="1"/>
  <c r="G23" i="2"/>
  <c r="G63" i="2" s="1"/>
  <c r="G19" i="2"/>
  <c r="H15" i="6"/>
  <c r="E27" i="2"/>
  <c r="E64" i="2" s="1"/>
  <c r="G20" i="6"/>
  <c r="E20" i="2"/>
  <c r="E55" i="2"/>
  <c r="E65" i="2" s="1"/>
  <c r="E170" i="4"/>
  <c r="F168" i="4" s="1" a="1"/>
  <c r="G168" i="4" s="1"/>
  <c r="I17" i="5"/>
  <c r="G18" i="5" s="1"/>
  <c r="H18" i="5" s="1"/>
  <c r="O56" i="2"/>
  <c r="G111" i="2" s="1"/>
  <c r="G112" i="2"/>
  <c r="K112" i="2"/>
  <c r="AI56" i="2"/>
  <c r="K111" i="2" s="1"/>
  <c r="H114" i="2"/>
  <c r="T57" i="2"/>
  <c r="E11" i="4"/>
  <c r="F114" i="2"/>
  <c r="J57" i="2"/>
  <c r="I114" i="2"/>
  <c r="Y57" i="2"/>
  <c r="H17" i="5"/>
  <c r="Q20" i="7" l="1"/>
  <c r="BX47" i="1"/>
  <c r="BP47" i="1"/>
  <c r="BB47" i="1"/>
  <c r="BF47" i="1"/>
  <c r="BH47" i="1"/>
  <c r="CC47" i="1"/>
  <c r="CE47" i="1"/>
  <c r="CB47" i="1"/>
  <c r="BU47" i="1"/>
  <c r="BM47" i="1"/>
  <c r="BW47" i="1"/>
  <c r="BT47" i="1"/>
  <c r="BY47" i="1"/>
  <c r="BE47" i="1"/>
  <c r="CA47" i="1"/>
  <c r="BO47" i="1"/>
  <c r="BL47" i="1"/>
  <c r="BS47" i="1"/>
  <c r="CG47" i="1"/>
  <c r="BK47" i="1"/>
  <c r="BG47" i="1"/>
  <c r="BD47" i="1"/>
  <c r="BI47" i="1"/>
  <c r="BQ47" i="1"/>
  <c r="BZ47" i="1"/>
  <c r="CD47" i="1"/>
  <c r="BA47" i="1"/>
  <c r="BR47" i="1"/>
  <c r="BV47" i="1"/>
  <c r="BC47" i="1"/>
  <c r="CF47" i="1"/>
  <c r="BJ47" i="1"/>
  <c r="BN47" i="1"/>
  <c r="AE49" i="1"/>
  <c r="AQ49" i="1"/>
  <c r="AP49" i="1"/>
  <c r="AA49" i="1"/>
  <c r="AL49" i="1"/>
  <c r="AT49" i="1"/>
  <c r="V49" i="1"/>
  <c r="AN49" i="1"/>
  <c r="O49" i="1"/>
  <c r="AF49" i="1"/>
  <c r="Q49" i="1"/>
  <c r="P49" i="1"/>
  <c r="AD49" i="1"/>
  <c r="Z49" i="1"/>
  <c r="T49" i="1"/>
  <c r="AB49" i="1"/>
  <c r="Y49" i="1"/>
  <c r="X49" i="1"/>
  <c r="AH49" i="1"/>
  <c r="AJ49" i="1"/>
  <c r="AO49" i="1"/>
  <c r="E78" i="1"/>
  <c r="E80" i="1" s="1"/>
  <c r="R49" i="1"/>
  <c r="AG49" i="1"/>
  <c r="AI49" i="1"/>
  <c r="AU49" i="1"/>
  <c r="AS49" i="1"/>
  <c r="AR49" i="1"/>
  <c r="AM49" i="1"/>
  <c r="U49" i="1"/>
  <c r="S49" i="1"/>
  <c r="W49" i="1"/>
  <c r="AK49" i="1"/>
  <c r="AC49" i="1"/>
  <c r="AI14" i="6"/>
  <c r="P32" i="7" s="1"/>
  <c r="AI11" i="6"/>
  <c r="AI13" i="6"/>
  <c r="O32" i="7" s="1"/>
  <c r="AI12" i="6"/>
  <c r="N32" i="7" s="1"/>
  <c r="AI16" i="6"/>
  <c r="Z12" i="6"/>
  <c r="N23" i="7" s="1"/>
  <c r="Z13" i="6"/>
  <c r="O23" i="7" s="1"/>
  <c r="Z16" i="6"/>
  <c r="Z11" i="6"/>
  <c r="Z14" i="6"/>
  <c r="P23" i="7" s="1"/>
  <c r="Y16" i="2"/>
  <c r="AE24" i="7" s="1"/>
  <c r="AX24" i="7" s="1"/>
  <c r="BA24" i="7" s="1"/>
  <c r="BD24" i="7" s="1"/>
  <c r="V14" i="6"/>
  <c r="P19" i="7" s="1"/>
  <c r="V11" i="6"/>
  <c r="V12" i="6"/>
  <c r="N19" i="7" s="1"/>
  <c r="V16" i="6"/>
  <c r="V13" i="6"/>
  <c r="O19" i="7" s="1"/>
  <c r="H96" i="2"/>
  <c r="Q96" i="2" s="1"/>
  <c r="U16" i="2"/>
  <c r="AE20" i="7" s="1"/>
  <c r="AX20" i="7" s="1"/>
  <c r="BA20" i="7" s="1"/>
  <c r="BD20" i="7" s="1"/>
  <c r="P11" i="6"/>
  <c r="P13" i="6"/>
  <c r="O13" i="7" s="1"/>
  <c r="P16" i="6"/>
  <c r="P14" i="6"/>
  <c r="P13" i="7" s="1"/>
  <c r="P12" i="6"/>
  <c r="N13" i="7" s="1"/>
  <c r="J14" i="6"/>
  <c r="P7" i="7" s="1"/>
  <c r="J13" i="6"/>
  <c r="O7" i="7" s="1"/>
  <c r="J11" i="6"/>
  <c r="J16" i="6"/>
  <c r="J12" i="6"/>
  <c r="N7" i="7" s="1"/>
  <c r="D6" i="2"/>
  <c r="K96" i="2"/>
  <c r="T96" i="2" s="1"/>
  <c r="AJ16" i="2"/>
  <c r="AE35" i="7" s="1"/>
  <c r="AX35" i="7" s="1"/>
  <c r="BA35" i="7" s="1"/>
  <c r="BD35" i="7" s="1"/>
  <c r="AK11" i="6"/>
  <c r="AK12" i="6"/>
  <c r="N34" i="7" s="1"/>
  <c r="AK16" i="6"/>
  <c r="AK13" i="6"/>
  <c r="O34" i="7" s="1"/>
  <c r="AK14" i="6"/>
  <c r="P34" i="7" s="1"/>
  <c r="AL14" i="6"/>
  <c r="P35" i="7" s="1"/>
  <c r="AL16" i="6"/>
  <c r="AL13" i="6"/>
  <c r="O35" i="7" s="1"/>
  <c r="AL12" i="6"/>
  <c r="N35" i="7" s="1"/>
  <c r="AL11" i="6"/>
  <c r="AD14" i="6"/>
  <c r="P27" i="7" s="1"/>
  <c r="AD12" i="6"/>
  <c r="N27" i="7" s="1"/>
  <c r="AD16" i="6"/>
  <c r="AD11" i="6"/>
  <c r="AD13" i="6"/>
  <c r="O27" i="7" s="1"/>
  <c r="R16" i="6"/>
  <c r="R11" i="6"/>
  <c r="R13" i="6"/>
  <c r="O15" i="7" s="1"/>
  <c r="R14" i="6"/>
  <c r="P15" i="7" s="1"/>
  <c r="R12" i="6"/>
  <c r="N15" i="7" s="1"/>
  <c r="T16" i="6"/>
  <c r="T14" i="6"/>
  <c r="P17" i="7" s="1"/>
  <c r="T13" i="6"/>
  <c r="O17" i="7" s="1"/>
  <c r="T12" i="6"/>
  <c r="N17" i="7" s="1"/>
  <c r="T11" i="6"/>
  <c r="U14" i="6"/>
  <c r="P18" i="7" s="1"/>
  <c r="U16" i="6"/>
  <c r="U11" i="6"/>
  <c r="U13" i="6"/>
  <c r="O18" i="7" s="1"/>
  <c r="U12" i="6"/>
  <c r="N18" i="7" s="1"/>
  <c r="K12" i="6"/>
  <c r="N8" i="7" s="1"/>
  <c r="K16" i="6"/>
  <c r="K11" i="6"/>
  <c r="K14" i="6"/>
  <c r="P8" i="7" s="1"/>
  <c r="K13" i="6"/>
  <c r="O8" i="7" s="1"/>
  <c r="AJ13" i="6"/>
  <c r="O33" i="7" s="1"/>
  <c r="AJ11" i="6"/>
  <c r="AJ16" i="6"/>
  <c r="AJ14" i="6"/>
  <c r="P33" i="7" s="1"/>
  <c r="AJ12" i="6"/>
  <c r="N33" i="7" s="1"/>
  <c r="X13" i="6"/>
  <c r="O21" i="7" s="1"/>
  <c r="X14" i="6"/>
  <c r="P21" i="7" s="1"/>
  <c r="X12" i="6"/>
  <c r="N21" i="7" s="1"/>
  <c r="X16" i="6"/>
  <c r="X11" i="6"/>
  <c r="S16" i="6"/>
  <c r="S11" i="6"/>
  <c r="S12" i="6"/>
  <c r="N16" i="7" s="1"/>
  <c r="S13" i="6"/>
  <c r="O16" i="7" s="1"/>
  <c r="S14" i="6"/>
  <c r="P16" i="7" s="1"/>
  <c r="AO13" i="6"/>
  <c r="O38" i="7" s="1"/>
  <c r="AO14" i="6"/>
  <c r="P38" i="7" s="1"/>
  <c r="AO11" i="6"/>
  <c r="AO16" i="6"/>
  <c r="AO12" i="6"/>
  <c r="N38" i="7" s="1"/>
  <c r="AF13" i="6"/>
  <c r="O29" i="7" s="1"/>
  <c r="AF14" i="6"/>
  <c r="P29" i="7" s="1"/>
  <c r="AF11" i="6"/>
  <c r="AF16" i="6"/>
  <c r="AF12" i="6"/>
  <c r="N29" i="7" s="1"/>
  <c r="J96" i="2"/>
  <c r="S96" i="2" s="1"/>
  <c r="AE16" i="2"/>
  <c r="AE30" i="7" s="1"/>
  <c r="AX30" i="7" s="1"/>
  <c r="BA30" i="7" s="1"/>
  <c r="BD30" i="7" s="1"/>
  <c r="AA14" i="6"/>
  <c r="P24" i="7" s="1"/>
  <c r="AA16" i="6"/>
  <c r="AA12" i="6"/>
  <c r="N24" i="7" s="1"/>
  <c r="AA11" i="6"/>
  <c r="AA13" i="6"/>
  <c r="O24" i="7" s="1"/>
  <c r="I96" i="2"/>
  <c r="R96" i="2" s="1"/>
  <c r="Z16" i="2"/>
  <c r="AE25" i="7" s="1"/>
  <c r="AX25" i="7" s="1"/>
  <c r="BA25" i="7" s="1"/>
  <c r="BD25" i="7" s="1"/>
  <c r="AG14" i="6"/>
  <c r="P30" i="7" s="1"/>
  <c r="AG13" i="6"/>
  <c r="O30" i="7" s="1"/>
  <c r="AG12" i="6"/>
  <c r="N30" i="7" s="1"/>
  <c r="AG16" i="6"/>
  <c r="AG11" i="6"/>
  <c r="N11" i="6"/>
  <c r="N16" i="6"/>
  <c r="N12" i="6"/>
  <c r="N11" i="7" s="1"/>
  <c r="N14" i="6"/>
  <c r="P11" i="7" s="1"/>
  <c r="N13" i="6"/>
  <c r="O11" i="7" s="1"/>
  <c r="AN12" i="6"/>
  <c r="N37" i="7" s="1"/>
  <c r="AN11" i="6"/>
  <c r="M37" i="7" s="1"/>
  <c r="AN14" i="6"/>
  <c r="AN13" i="6"/>
  <c r="O37" i="7" s="1"/>
  <c r="AN16" i="6"/>
  <c r="L14" i="6"/>
  <c r="P9" i="7" s="1"/>
  <c r="L11" i="6"/>
  <c r="L13" i="6"/>
  <c r="O9" i="7" s="1"/>
  <c r="L12" i="6"/>
  <c r="N9" i="7" s="1"/>
  <c r="L16" i="6"/>
  <c r="K16" i="2"/>
  <c r="F96" i="2"/>
  <c r="O96" i="2" s="1"/>
  <c r="Q13" i="6"/>
  <c r="O14" i="7" s="1"/>
  <c r="Q12" i="6"/>
  <c r="N14" i="7" s="1"/>
  <c r="Q14" i="6"/>
  <c r="P14" i="7" s="1"/>
  <c r="Q11" i="6"/>
  <c r="Q16" i="6"/>
  <c r="G96" i="2"/>
  <c r="P96" i="2" s="1"/>
  <c r="P16" i="2"/>
  <c r="AE15" i="7" s="1"/>
  <c r="AX15" i="7" s="1"/>
  <c r="BA15" i="7" s="1"/>
  <c r="BD15" i="7" s="1"/>
  <c r="AB13" i="6"/>
  <c r="O25" i="7" s="1"/>
  <c r="AB14" i="6"/>
  <c r="P25" i="7" s="1"/>
  <c r="AB11" i="6"/>
  <c r="AB12" i="6"/>
  <c r="N25" i="7" s="1"/>
  <c r="AB16" i="6"/>
  <c r="AH13" i="6"/>
  <c r="O31" i="7" s="1"/>
  <c r="AH12" i="6"/>
  <c r="N31" i="7" s="1"/>
  <c r="AH11" i="6"/>
  <c r="AH16" i="6"/>
  <c r="AH14" i="6"/>
  <c r="P31" i="7" s="1"/>
  <c r="L96" i="2"/>
  <c r="U96" i="2" s="1"/>
  <c r="AP12" i="6"/>
  <c r="N39" i="7" s="1"/>
  <c r="AP13" i="6"/>
  <c r="O39" i="7" s="1"/>
  <c r="AP11" i="6"/>
  <c r="M39" i="7" s="1"/>
  <c r="AP14" i="6"/>
  <c r="AP16" i="6"/>
  <c r="Y16" i="6"/>
  <c r="Y12" i="6"/>
  <c r="N22" i="7" s="1"/>
  <c r="Y13" i="6"/>
  <c r="O22" i="7" s="1"/>
  <c r="Y14" i="6"/>
  <c r="P22" i="7" s="1"/>
  <c r="Y11" i="6"/>
  <c r="AM10" i="6"/>
  <c r="AK10" i="2" s="1"/>
  <c r="AK9" i="2" s="1"/>
  <c r="AK13" i="2" s="1"/>
  <c r="AK34" i="2" s="1"/>
  <c r="AM17" i="6"/>
  <c r="AM18" i="6"/>
  <c r="AM19" i="6"/>
  <c r="W19" i="6"/>
  <c r="W17" i="6"/>
  <c r="W18" i="6"/>
  <c r="W10" i="6"/>
  <c r="U10" i="2" s="1"/>
  <c r="U9" i="2" s="1"/>
  <c r="U13" i="2" s="1"/>
  <c r="U34" i="2" s="1"/>
  <c r="O18" i="6"/>
  <c r="O17" i="6"/>
  <c r="O19" i="6"/>
  <c r="AC10" i="6"/>
  <c r="AA10" i="2" s="1"/>
  <c r="AA9" i="2" s="1"/>
  <c r="AA13" i="2" s="1"/>
  <c r="AA34" i="2" s="1"/>
  <c r="AC18" i="6"/>
  <c r="AC17" i="6"/>
  <c r="AC19" i="6"/>
  <c r="AC15" i="6" s="1"/>
  <c r="AE10" i="6"/>
  <c r="AC10" i="2" s="1"/>
  <c r="AC9" i="2" s="1"/>
  <c r="AC13" i="2" s="1"/>
  <c r="AC34" i="2" s="1"/>
  <c r="AE18" i="6"/>
  <c r="AE19" i="6"/>
  <c r="AE17" i="6"/>
  <c r="AE15" i="6" s="1"/>
  <c r="M17" i="6"/>
  <c r="M18" i="6"/>
  <c r="M19" i="6"/>
  <c r="M10" i="6"/>
  <c r="K10" i="2" s="1"/>
  <c r="K9" i="2" s="1"/>
  <c r="K13" i="2" s="1"/>
  <c r="K34" i="2" s="1"/>
  <c r="J5" i="7"/>
  <c r="BE5" i="7" s="1"/>
  <c r="J6" i="7"/>
  <c r="BE6" i="7" s="1"/>
  <c r="BF6" i="7" s="1"/>
  <c r="P209" i="4"/>
  <c r="AD209" i="4"/>
  <c r="AH209" i="4"/>
  <c r="AI209" i="4"/>
  <c r="Q209" i="4"/>
  <c r="R209" i="4"/>
  <c r="W209" i="4"/>
  <c r="L209" i="4"/>
  <c r="U209" i="4"/>
  <c r="M209" i="4"/>
  <c r="O209" i="4"/>
  <c r="AG209" i="4"/>
  <c r="X209" i="4"/>
  <c r="AM209" i="4"/>
  <c r="H209" i="4"/>
  <c r="AL209" i="4"/>
  <c r="N209" i="4"/>
  <c r="V209" i="4"/>
  <c r="AF209" i="4"/>
  <c r="F209" i="4"/>
  <c r="J209" i="4"/>
  <c r="AE209" i="4"/>
  <c r="AB209" i="4"/>
  <c r="AA209" i="4"/>
  <c r="AN209" i="4"/>
  <c r="S209" i="4"/>
  <c r="T209" i="4"/>
  <c r="AC209" i="4"/>
  <c r="AK209" i="4"/>
  <c r="G209" i="4"/>
  <c r="G130" i="4" s="1"/>
  <c r="Y209" i="4"/>
  <c r="AJ209" i="4"/>
  <c r="Z209" i="4"/>
  <c r="K209" i="4"/>
  <c r="AG168" i="4"/>
  <c r="M168" i="4"/>
  <c r="K168" i="4"/>
  <c r="AL168" i="4"/>
  <c r="AN168" i="4"/>
  <c r="Q10" i="7"/>
  <c r="Z168" i="4"/>
  <c r="Y168" i="4"/>
  <c r="AE20" i="6"/>
  <c r="AC27" i="2"/>
  <c r="AC64" i="2" s="1"/>
  <c r="F27" i="2"/>
  <c r="H20" i="6"/>
  <c r="T5" i="7" a="1"/>
  <c r="X168" i="4"/>
  <c r="Q36" i="7"/>
  <c r="AJ168" i="4"/>
  <c r="F13" i="2"/>
  <c r="Q6" i="7"/>
  <c r="AD168" i="4"/>
  <c r="Q26" i="7"/>
  <c r="G27" i="2"/>
  <c r="G64" i="2" s="1"/>
  <c r="I20" i="6"/>
  <c r="S168" i="4"/>
  <c r="W168" i="4"/>
  <c r="U168" i="4"/>
  <c r="G20" i="2"/>
  <c r="G55" i="2"/>
  <c r="Q28" i="7"/>
  <c r="AX5" i="7"/>
  <c r="BA5" i="7" s="1"/>
  <c r="BD5" i="7" s="1"/>
  <c r="H168" i="4"/>
  <c r="V168" i="4"/>
  <c r="O168" i="4"/>
  <c r="J168" i="4"/>
  <c r="AE168" i="4"/>
  <c r="E18" i="5"/>
  <c r="AI168" i="4"/>
  <c r="AM168" i="4"/>
  <c r="Q168" i="4"/>
  <c r="I168" i="4"/>
  <c r="I130" i="4" s="1"/>
  <c r="H250" i="4" s="1"/>
  <c r="AH168" i="4"/>
  <c r="AF168" i="4"/>
  <c r="L168" i="4"/>
  <c r="F168" i="4"/>
  <c r="E69" i="2"/>
  <c r="E77" i="2"/>
  <c r="E68" i="2"/>
  <c r="E89" i="2" s="1"/>
  <c r="AC168" i="4"/>
  <c r="P168" i="4"/>
  <c r="R168" i="4"/>
  <c r="AA168" i="4"/>
  <c r="I18" i="5"/>
  <c r="G19" i="5" s="1"/>
  <c r="AK168" i="4"/>
  <c r="AB168" i="4"/>
  <c r="T168" i="4"/>
  <c r="N168" i="4"/>
  <c r="Y56" i="2"/>
  <c r="I111" i="2" s="1"/>
  <c r="I112" i="2"/>
  <c r="J56" i="2"/>
  <c r="F111" i="2" s="1"/>
  <c r="F112" i="2"/>
  <c r="H112" i="2"/>
  <c r="T56" i="2"/>
  <c r="H111" i="2" s="1"/>
  <c r="M15" i="6" l="1"/>
  <c r="AA27" i="2"/>
  <c r="AA64" i="2" s="1"/>
  <c r="AC20" i="6"/>
  <c r="O15" i="6"/>
  <c r="W15" i="6"/>
  <c r="AM15" i="6"/>
  <c r="Y10" i="6"/>
  <c r="W10" i="2" s="1"/>
  <c r="W9" i="2" s="1"/>
  <c r="W13" i="2" s="1"/>
  <c r="M22" i="7"/>
  <c r="Q22" i="7" s="1"/>
  <c r="Y19" i="6"/>
  <c r="Y18" i="6"/>
  <c r="Y17" i="6"/>
  <c r="Y15" i="6" s="1"/>
  <c r="AP19" i="6"/>
  <c r="AP18" i="6"/>
  <c r="AP17" i="6"/>
  <c r="AP15" i="6" s="1"/>
  <c r="AP10" i="6"/>
  <c r="AN10" i="2" s="1"/>
  <c r="AN9" i="2" s="1"/>
  <c r="P39" i="7"/>
  <c r="Q39" i="7" s="1"/>
  <c r="AH19" i="6"/>
  <c r="AH17" i="6"/>
  <c r="AH18" i="6"/>
  <c r="AH10" i="6"/>
  <c r="AF10" i="2" s="1"/>
  <c r="AF9" i="2" s="1"/>
  <c r="AF13" i="2" s="1"/>
  <c r="M31" i="7"/>
  <c r="Q31" i="7" s="1"/>
  <c r="AB19" i="6"/>
  <c r="AB18" i="6"/>
  <c r="AB17" i="6"/>
  <c r="AB15" i="6" s="1"/>
  <c r="AB10" i="6"/>
  <c r="Z10" i="2" s="1"/>
  <c r="Z9" i="2" s="1"/>
  <c r="Z13" i="2" s="1"/>
  <c r="M25" i="7"/>
  <c r="Q25" i="7" s="1"/>
  <c r="Q19" i="6"/>
  <c r="Q17" i="6"/>
  <c r="Q18" i="6"/>
  <c r="Q10" i="6"/>
  <c r="O10" i="2" s="1"/>
  <c r="O9" i="2" s="1"/>
  <c r="M14" i="7"/>
  <c r="Q14" i="7" s="1"/>
  <c r="AE10" i="7"/>
  <c r="D16" i="2"/>
  <c r="L18" i="6"/>
  <c r="L19" i="6"/>
  <c r="L17" i="6"/>
  <c r="L15" i="6" s="1"/>
  <c r="L10" i="6"/>
  <c r="J10" i="2" s="1"/>
  <c r="J9" i="2" s="1"/>
  <c r="M9" i="7"/>
  <c r="Q9" i="7" s="1"/>
  <c r="AN17" i="6"/>
  <c r="AN19" i="6"/>
  <c r="AN18" i="6"/>
  <c r="AN10" i="6"/>
  <c r="AL10" i="2" s="1"/>
  <c r="AL9" i="2" s="1"/>
  <c r="AL13" i="2" s="1"/>
  <c r="P37" i="7"/>
  <c r="Q37" i="7" s="1"/>
  <c r="N19" i="6"/>
  <c r="N18" i="6"/>
  <c r="N17" i="6"/>
  <c r="N15" i="6" s="1"/>
  <c r="N10" i="6"/>
  <c r="L10" i="2" s="1"/>
  <c r="L9" i="2" s="1"/>
  <c r="L13" i="2" s="1"/>
  <c r="M11" i="7"/>
  <c r="Q11" i="7" s="1"/>
  <c r="AG10" i="6"/>
  <c r="AE10" i="2" s="1"/>
  <c r="AE9" i="2" s="1"/>
  <c r="AE13" i="2" s="1"/>
  <c r="M30" i="7"/>
  <c r="Q30" i="7" s="1"/>
  <c r="AG19" i="6"/>
  <c r="AG18" i="6"/>
  <c r="AG17" i="6"/>
  <c r="AG15" i="6" s="1"/>
  <c r="AA10" i="6"/>
  <c r="Y10" i="2" s="1"/>
  <c r="Y9" i="2" s="1"/>
  <c r="M24" i="7"/>
  <c r="Q24" i="7" s="1"/>
  <c r="AA17" i="6"/>
  <c r="AA18" i="6"/>
  <c r="AA19" i="6"/>
  <c r="AF18" i="6"/>
  <c r="AF19" i="6"/>
  <c r="AF17" i="6"/>
  <c r="AF15" i="6" s="1"/>
  <c r="AF10" i="6"/>
  <c r="AD10" i="2" s="1"/>
  <c r="AD9" i="2" s="1"/>
  <c r="M29" i="7"/>
  <c r="Q29" i="7" s="1"/>
  <c r="AO19" i="6"/>
  <c r="AO17" i="6"/>
  <c r="AO18" i="6"/>
  <c r="AO10" i="6"/>
  <c r="AM10" i="2" s="1"/>
  <c r="AM9" i="2" s="1"/>
  <c r="AM13" i="2" s="1"/>
  <c r="M38" i="7"/>
  <c r="Q38" i="7" s="1"/>
  <c r="S10" i="6"/>
  <c r="Q10" i="2" s="1"/>
  <c r="Q9" i="2" s="1"/>
  <c r="Q13" i="2" s="1"/>
  <c r="M16" i="7"/>
  <c r="Q16" i="7" s="1"/>
  <c r="S19" i="6"/>
  <c r="S17" i="6"/>
  <c r="S18" i="6"/>
  <c r="X10" i="6"/>
  <c r="V10" i="2" s="1"/>
  <c r="V9" i="2" s="1"/>
  <c r="V13" i="2" s="1"/>
  <c r="M21" i="7"/>
  <c r="Q21" i="7" s="1"/>
  <c r="X19" i="6"/>
  <c r="X18" i="6"/>
  <c r="X17" i="6"/>
  <c r="X15" i="6" s="1"/>
  <c r="AJ19" i="6"/>
  <c r="AJ17" i="6"/>
  <c r="AJ18" i="6"/>
  <c r="AJ10" i="6"/>
  <c r="AH10" i="2" s="1"/>
  <c r="AH9" i="2" s="1"/>
  <c r="AH13" i="2" s="1"/>
  <c r="M33" i="7"/>
  <c r="Q33" i="7" s="1"/>
  <c r="K10" i="6"/>
  <c r="I10" i="2" s="1"/>
  <c r="I9" i="2" s="1"/>
  <c r="I13" i="2" s="1"/>
  <c r="M8" i="7"/>
  <c r="Q8" i="7" s="1"/>
  <c r="K17" i="6"/>
  <c r="K19" i="6"/>
  <c r="K18" i="6"/>
  <c r="U10" i="6"/>
  <c r="S10" i="2" s="1"/>
  <c r="S9" i="2" s="1"/>
  <c r="S13" i="2" s="1"/>
  <c r="M18" i="7"/>
  <c r="Q18" i="7" s="1"/>
  <c r="U17" i="6"/>
  <c r="U18" i="6"/>
  <c r="U19" i="6"/>
  <c r="T10" i="6"/>
  <c r="R10" i="2" s="1"/>
  <c r="R9" i="2" s="1"/>
  <c r="R13" i="2" s="1"/>
  <c r="M17" i="7"/>
  <c r="Q17" i="7" s="1"/>
  <c r="T18" i="6"/>
  <c r="T17" i="6"/>
  <c r="T19" i="6"/>
  <c r="R10" i="6"/>
  <c r="P10" i="2" s="1"/>
  <c r="P9" i="2" s="1"/>
  <c r="P13" i="2" s="1"/>
  <c r="M15" i="7"/>
  <c r="Q15" i="7" s="1"/>
  <c r="R17" i="6"/>
  <c r="R19" i="6"/>
  <c r="R18" i="6"/>
  <c r="AD10" i="6"/>
  <c r="AB10" i="2" s="1"/>
  <c r="AB9" i="2" s="1"/>
  <c r="AB13" i="2" s="1"/>
  <c r="M27" i="7"/>
  <c r="Q27" i="7" s="1"/>
  <c r="AD18" i="6"/>
  <c r="AD17" i="6"/>
  <c r="AD19" i="6"/>
  <c r="AL10" i="6"/>
  <c r="AJ10" i="2" s="1"/>
  <c r="AJ9" i="2" s="1"/>
  <c r="AJ13" i="2" s="1"/>
  <c r="M35" i="7"/>
  <c r="Q35" i="7" s="1"/>
  <c r="AL18" i="6"/>
  <c r="AL19" i="6"/>
  <c r="AL17" i="6"/>
  <c r="AL15" i="6" s="1"/>
  <c r="AK18" i="6"/>
  <c r="AK19" i="6"/>
  <c r="AK17" i="6"/>
  <c r="AK15" i="6" s="1"/>
  <c r="AK10" i="6"/>
  <c r="AI10" i="2" s="1"/>
  <c r="AI9" i="2" s="1"/>
  <c r="M34" i="7"/>
  <c r="Q34" i="7" s="1"/>
  <c r="J17" i="6"/>
  <c r="J19" i="6"/>
  <c r="J18" i="6"/>
  <c r="J10" i="6"/>
  <c r="H10" i="2" s="1"/>
  <c r="M7" i="7"/>
  <c r="Q7" i="7" s="1"/>
  <c r="P19" i="6"/>
  <c r="P18" i="6"/>
  <c r="P17" i="6"/>
  <c r="P15" i="6" s="1"/>
  <c r="P10" i="6"/>
  <c r="N10" i="2" s="1"/>
  <c r="N9" i="2" s="1"/>
  <c r="N13" i="2" s="1"/>
  <c r="M13" i="7"/>
  <c r="Q13" i="7" s="1"/>
  <c r="V19" i="6"/>
  <c r="V17" i="6"/>
  <c r="V18" i="6"/>
  <c r="V10" i="6"/>
  <c r="T10" i="2" s="1"/>
  <c r="T9" i="2" s="1"/>
  <c r="M19" i="7"/>
  <c r="Q19" i="7" s="1"/>
  <c r="Z10" i="6"/>
  <c r="X10" i="2" s="1"/>
  <c r="X9" i="2" s="1"/>
  <c r="X13" i="2" s="1"/>
  <c r="M23" i="7"/>
  <c r="Q23" i="7" s="1"/>
  <c r="Z19" i="6"/>
  <c r="Z17" i="6"/>
  <c r="Z18" i="6"/>
  <c r="AI18" i="6"/>
  <c r="AI17" i="6"/>
  <c r="AI19" i="6"/>
  <c r="AI10" i="6"/>
  <c r="AG10" i="2" s="1"/>
  <c r="AG9" i="2" s="1"/>
  <c r="AG13" i="2" s="1"/>
  <c r="M32" i="7"/>
  <c r="Q32" i="7" s="1"/>
  <c r="BO48" i="1"/>
  <c r="BO50" i="1" s="1"/>
  <c r="I21" i="7"/>
  <c r="AC51" i="1"/>
  <c r="BW48" i="1"/>
  <c r="BW50" i="1" s="1"/>
  <c r="I29" i="7"/>
  <c r="AK51" i="1"/>
  <c r="BI48" i="1"/>
  <c r="I15" i="7"/>
  <c r="W51" i="1"/>
  <c r="BE48" i="1"/>
  <c r="BE50" i="1" s="1"/>
  <c r="I11" i="7"/>
  <c r="S51" i="1"/>
  <c r="BG48" i="1"/>
  <c r="BG50" i="1" s="1"/>
  <c r="I13" i="7"/>
  <c r="U51" i="1"/>
  <c r="BY48" i="1"/>
  <c r="BY50" i="1" s="1"/>
  <c r="I31" i="7"/>
  <c r="AM51" i="1"/>
  <c r="CD48" i="1"/>
  <c r="CD50" i="1" s="1"/>
  <c r="I36" i="7"/>
  <c r="AR51" i="1"/>
  <c r="CE48" i="1"/>
  <c r="CE50" i="1" s="1"/>
  <c r="I37" i="7"/>
  <c r="AS51" i="1"/>
  <c r="CG48" i="1"/>
  <c r="CG50" i="1" s="1"/>
  <c r="I39" i="7"/>
  <c r="AU51" i="1"/>
  <c r="BU48" i="1"/>
  <c r="BU50" i="1" s="1"/>
  <c r="I27" i="7"/>
  <c r="AI51" i="1"/>
  <c r="BS48" i="1"/>
  <c r="I25" i="7"/>
  <c r="AG51" i="1"/>
  <c r="BD48" i="1"/>
  <c r="BD50" i="1" s="1"/>
  <c r="I10" i="7"/>
  <c r="R51" i="1"/>
  <c r="CA48" i="1"/>
  <c r="I33" i="7"/>
  <c r="AO51" i="1"/>
  <c r="BV48" i="1"/>
  <c r="I28" i="7"/>
  <c r="AJ51" i="1"/>
  <c r="BT48" i="1"/>
  <c r="I26" i="7"/>
  <c r="AH51" i="1"/>
  <c r="BJ48" i="1"/>
  <c r="I16" i="7"/>
  <c r="X51" i="1"/>
  <c r="BK48" i="1"/>
  <c r="BK50" i="1" s="1"/>
  <c r="I17" i="7"/>
  <c r="Y51" i="1"/>
  <c r="BN48" i="1"/>
  <c r="I20" i="7"/>
  <c r="AB51" i="1"/>
  <c r="BF48" i="1"/>
  <c r="I12" i="7"/>
  <c r="T51" i="1"/>
  <c r="BL48" i="1"/>
  <c r="BL50" i="1" s="1"/>
  <c r="I18" i="7"/>
  <c r="Z51" i="1"/>
  <c r="BP48" i="1"/>
  <c r="BP50" i="1" s="1"/>
  <c r="I22" i="7"/>
  <c r="AD51" i="1"/>
  <c r="BB48" i="1"/>
  <c r="BB50" i="1" s="1"/>
  <c r="I8" i="7"/>
  <c r="P51" i="1"/>
  <c r="BC48" i="1"/>
  <c r="I9" i="7"/>
  <c r="Q51" i="1"/>
  <c r="BR48" i="1"/>
  <c r="BR50" i="1" s="1"/>
  <c r="I24" i="7"/>
  <c r="AF51" i="1"/>
  <c r="BA48" i="1"/>
  <c r="BA50" i="1" s="1"/>
  <c r="I7" i="7"/>
  <c r="O51" i="1"/>
  <c r="BZ48" i="1"/>
  <c r="I32" i="7"/>
  <c r="AN51" i="1"/>
  <c r="BH48" i="1"/>
  <c r="I14" i="7"/>
  <c r="V51" i="1"/>
  <c r="CF48" i="1"/>
  <c r="I38" i="7"/>
  <c r="AT51" i="1"/>
  <c r="BX48" i="1"/>
  <c r="BX50" i="1" s="1"/>
  <c r="I30" i="7"/>
  <c r="AL51" i="1"/>
  <c r="BM48" i="1"/>
  <c r="BM50" i="1" s="1"/>
  <c r="I19" i="7"/>
  <c r="AA51" i="1"/>
  <c r="CB48" i="1"/>
  <c r="I34" i="7"/>
  <c r="AP51" i="1"/>
  <c r="CC48" i="1"/>
  <c r="CC50" i="1" s="1"/>
  <c r="I35" i="7"/>
  <c r="AQ51" i="1"/>
  <c r="BQ48" i="1"/>
  <c r="BQ50" i="1" s="1"/>
  <c r="I23" i="7"/>
  <c r="AE51" i="1"/>
  <c r="BN50" i="1"/>
  <c r="BJ50" i="1"/>
  <c r="CF50" i="1"/>
  <c r="BC50" i="1"/>
  <c r="BV50" i="1"/>
  <c r="BZ50" i="1"/>
  <c r="BI50" i="1"/>
  <c r="BS50" i="1"/>
  <c r="CA50" i="1"/>
  <c r="BT50" i="1"/>
  <c r="CB50" i="1"/>
  <c r="BH50" i="1"/>
  <c r="BF50" i="1"/>
  <c r="K130" i="4"/>
  <c r="X130" i="4"/>
  <c r="W250" i="4" s="1"/>
  <c r="X21" i="2" s="1"/>
  <c r="Q130" i="4"/>
  <c r="Q50" i="2" s="1"/>
  <c r="AH130" i="4"/>
  <c r="AH50" i="2" s="1"/>
  <c r="O130" i="4"/>
  <c r="N250" i="4" s="1"/>
  <c r="O21" i="2" s="1"/>
  <c r="G101" i="2" s="1"/>
  <c r="V130" i="4"/>
  <c r="U250" i="4" s="1"/>
  <c r="V21" i="2" s="1"/>
  <c r="S130" i="4"/>
  <c r="R250" i="4" s="1"/>
  <c r="S21" i="2" s="1"/>
  <c r="T130" i="4"/>
  <c r="T50" i="2" s="1"/>
  <c r="AC130" i="4"/>
  <c r="AC50" i="2" s="1"/>
  <c r="W130" i="4"/>
  <c r="V250" i="4" s="1"/>
  <c r="W21" i="2" s="1"/>
  <c r="AI130" i="4"/>
  <c r="F130" i="4"/>
  <c r="L130" i="4"/>
  <c r="L50" i="2" s="1"/>
  <c r="AD130" i="4"/>
  <c r="AC250" i="4" s="1"/>
  <c r="AD21" i="2" s="1"/>
  <c r="J101" i="2" s="1"/>
  <c r="R130" i="4"/>
  <c r="Q250" i="4" s="1"/>
  <c r="R21" i="2" s="1"/>
  <c r="AF130" i="4"/>
  <c r="AE250" i="4" s="1"/>
  <c r="AF21" i="2" s="1"/>
  <c r="P130" i="4"/>
  <c r="P50" i="2" s="1"/>
  <c r="N130" i="4"/>
  <c r="N50" i="2" s="1"/>
  <c r="Z130" i="4"/>
  <c r="Y250" i="4" s="1"/>
  <c r="Z21" i="2" s="1"/>
  <c r="U130" i="4"/>
  <c r="U50" i="2" s="1"/>
  <c r="H130" i="4"/>
  <c r="AG130" i="4"/>
  <c r="M130" i="4"/>
  <c r="L250" i="4" s="1"/>
  <c r="Y130" i="4"/>
  <c r="Y50" i="2" s="1"/>
  <c r="AM130" i="4"/>
  <c r="AM50" i="2" s="1"/>
  <c r="I50" i="2"/>
  <c r="AK130" i="4"/>
  <c r="AL130" i="4"/>
  <c r="AA130" i="4"/>
  <c r="AA50" i="2" s="1"/>
  <c r="J130" i="4"/>
  <c r="J50" i="2" s="1"/>
  <c r="G50" i="2"/>
  <c r="F250" i="4"/>
  <c r="AA6" i="7" s="1"/>
  <c r="AB130" i="4"/>
  <c r="AJ130" i="4"/>
  <c r="AI250" i="4" s="1"/>
  <c r="AA35" i="7" s="1"/>
  <c r="AN130" i="4"/>
  <c r="AE130" i="4"/>
  <c r="AE50" i="2" s="1"/>
  <c r="I19" i="5"/>
  <c r="G20" i="5" s="1"/>
  <c r="F64" i="2"/>
  <c r="F19" i="2"/>
  <c r="F34" i="2"/>
  <c r="F72" i="2" s="1"/>
  <c r="BF5" i="7"/>
  <c r="T6" i="7"/>
  <c r="T30" i="7"/>
  <c r="T22" i="7"/>
  <c r="T11" i="7"/>
  <c r="T25" i="7"/>
  <c r="T35" i="7"/>
  <c r="T29" i="7"/>
  <c r="T9" i="7"/>
  <c r="T28" i="7"/>
  <c r="T20" i="7"/>
  <c r="T12" i="7"/>
  <c r="T36" i="7"/>
  <c r="T34" i="7"/>
  <c r="T26" i="7"/>
  <c r="T39" i="7"/>
  <c r="T21" i="7"/>
  <c r="T13" i="7"/>
  <c r="T5" i="7"/>
  <c r="T10" i="7"/>
  <c r="E90" i="2"/>
  <c r="E78" i="2"/>
  <c r="E91" i="2"/>
  <c r="H19" i="5"/>
  <c r="E19" i="5"/>
  <c r="I21" i="2"/>
  <c r="AA8" i="7"/>
  <c r="X15" i="2" l="1"/>
  <c r="X14" i="2" s="1"/>
  <c r="X39" i="2" s="1"/>
  <c r="J23" i="7"/>
  <c r="BE23" i="7" s="1"/>
  <c r="BF23" i="7" s="1"/>
  <c r="AJ15" i="2"/>
  <c r="AJ14" i="2" s="1"/>
  <c r="AJ39" i="2" s="1"/>
  <c r="J35" i="7"/>
  <c r="BE35" i="7" s="1"/>
  <c r="BF35" i="7" s="1"/>
  <c r="AI15" i="2"/>
  <c r="AI14" i="2" s="1"/>
  <c r="J34" i="7"/>
  <c r="BE34" i="7" s="1"/>
  <c r="BF34" i="7" s="1"/>
  <c r="T15" i="2"/>
  <c r="T14" i="2" s="1"/>
  <c r="J19" i="7"/>
  <c r="BE19" i="7" s="1"/>
  <c r="BF19" i="7" s="1"/>
  <c r="AE15" i="2"/>
  <c r="AE14" i="2" s="1"/>
  <c r="AE39" i="2" s="1"/>
  <c r="J30" i="7"/>
  <c r="BE30" i="7" s="1"/>
  <c r="BF30" i="7" s="1"/>
  <c r="AM15" i="2"/>
  <c r="AM14" i="2" s="1"/>
  <c r="AM39" i="2" s="1"/>
  <c r="J38" i="7"/>
  <c r="BE38" i="7" s="1"/>
  <c r="BF38" i="7" s="1"/>
  <c r="O15" i="2"/>
  <c r="O14" i="2" s="1"/>
  <c r="J14" i="7"/>
  <c r="BE14" i="7" s="1"/>
  <c r="BF14" i="7" s="1"/>
  <c r="AG15" i="2"/>
  <c r="AG14" i="2" s="1"/>
  <c r="AG39" i="2" s="1"/>
  <c r="J32" i="7"/>
  <c r="BE32" i="7" s="1"/>
  <c r="BF32" i="7" s="1"/>
  <c r="L54" i="1"/>
  <c r="H15" i="2"/>
  <c r="J7" i="7"/>
  <c r="Y15" i="2"/>
  <c r="Y14" i="2" s="1"/>
  <c r="J24" i="7"/>
  <c r="BE24" i="7" s="1"/>
  <c r="BF24" i="7" s="1"/>
  <c r="J15" i="2"/>
  <c r="J14" i="2" s="1"/>
  <c r="J9" i="7"/>
  <c r="BE9" i="7" s="1"/>
  <c r="BF9" i="7" s="1"/>
  <c r="I15" i="2"/>
  <c r="I14" i="2" s="1"/>
  <c r="I39" i="2" s="1"/>
  <c r="J8" i="7"/>
  <c r="BE8" i="7" s="1"/>
  <c r="BF8" i="7" s="1"/>
  <c r="W15" i="2"/>
  <c r="W14" i="2" s="1"/>
  <c r="W39" i="2" s="1"/>
  <c r="J22" i="7"/>
  <c r="BE22" i="7" s="1"/>
  <c r="BF22" i="7" s="1"/>
  <c r="S15" i="2"/>
  <c r="S14" i="2" s="1"/>
  <c r="S39" i="2" s="1"/>
  <c r="J18" i="7"/>
  <c r="BE18" i="7" s="1"/>
  <c r="BF18" i="7" s="1"/>
  <c r="M15" i="2"/>
  <c r="M14" i="2" s="1"/>
  <c r="J12" i="7"/>
  <c r="BE12" i="7" s="1"/>
  <c r="BF12" i="7" s="1"/>
  <c r="U15" i="2"/>
  <c r="U14" i="2" s="1"/>
  <c r="J20" i="7"/>
  <c r="BE20" i="7" s="1"/>
  <c r="BF20" i="7" s="1"/>
  <c r="R15" i="2"/>
  <c r="R14" i="2" s="1"/>
  <c r="R39" i="2" s="1"/>
  <c r="J17" i="7"/>
  <c r="BE17" i="7" s="1"/>
  <c r="BF17" i="7" s="1"/>
  <c r="Q15" i="2"/>
  <c r="Q14" i="2" s="1"/>
  <c r="Q39" i="2" s="1"/>
  <c r="J16" i="7"/>
  <c r="BE16" i="7" s="1"/>
  <c r="BF16" i="7" s="1"/>
  <c r="AA15" i="2"/>
  <c r="AA14" i="2" s="1"/>
  <c r="J26" i="7"/>
  <c r="BE26" i="7" s="1"/>
  <c r="BF26" i="7" s="1"/>
  <c r="AC15" i="2"/>
  <c r="AC14" i="2" s="1"/>
  <c r="J28" i="7"/>
  <c r="BE28" i="7" s="1"/>
  <c r="BF28" i="7" s="1"/>
  <c r="AH15" i="2"/>
  <c r="AH14" i="2" s="1"/>
  <c r="AH39" i="2" s="1"/>
  <c r="J33" i="7"/>
  <c r="BE33" i="7" s="1"/>
  <c r="BF33" i="7" s="1"/>
  <c r="K15" i="2"/>
  <c r="K14" i="2" s="1"/>
  <c r="J10" i="7"/>
  <c r="BE10" i="7" s="1"/>
  <c r="Z15" i="2"/>
  <c r="Z14" i="2" s="1"/>
  <c r="Z39" i="2" s="1"/>
  <c r="J25" i="7"/>
  <c r="BE25" i="7" s="1"/>
  <c r="BF25" i="7" s="1"/>
  <c r="AB15" i="2"/>
  <c r="AB14" i="2" s="1"/>
  <c r="AB39" i="2" s="1"/>
  <c r="J27" i="7"/>
  <c r="BE27" i="7" s="1"/>
  <c r="BF27" i="7" s="1"/>
  <c r="AN15" i="2"/>
  <c r="AN14" i="2" s="1"/>
  <c r="J39" i="7"/>
  <c r="BE39" i="7" s="1"/>
  <c r="BF39" i="7" s="1"/>
  <c r="AL15" i="2"/>
  <c r="AL14" i="2" s="1"/>
  <c r="AL39" i="2" s="1"/>
  <c r="J37" i="7"/>
  <c r="BE37" i="7" s="1"/>
  <c r="BF37" i="7" s="1"/>
  <c r="AK15" i="2"/>
  <c r="AK14" i="2" s="1"/>
  <c r="J36" i="7"/>
  <c r="BE36" i="7" s="1"/>
  <c r="BF36" i="7" s="1"/>
  <c r="AF15" i="2"/>
  <c r="AF14" i="2" s="1"/>
  <c r="AF39" i="2" s="1"/>
  <c r="J31" i="7"/>
  <c r="BE31" i="7" s="1"/>
  <c r="BF31" i="7" s="1"/>
  <c r="N15" i="2"/>
  <c r="N14" i="2" s="1"/>
  <c r="N39" i="2" s="1"/>
  <c r="J13" i="7"/>
  <c r="BE13" i="7" s="1"/>
  <c r="BF13" i="7" s="1"/>
  <c r="L15" i="2"/>
  <c r="L14" i="2" s="1"/>
  <c r="L39" i="2" s="1"/>
  <c r="J11" i="7"/>
  <c r="BE11" i="7" s="1"/>
  <c r="BF11" i="7" s="1"/>
  <c r="P15" i="2"/>
  <c r="P14" i="2" s="1"/>
  <c r="P39" i="2" s="1"/>
  <c r="J15" i="7"/>
  <c r="BE15" i="7" s="1"/>
  <c r="BF15" i="7" s="1"/>
  <c r="AD15" i="2"/>
  <c r="AD14" i="2" s="1"/>
  <c r="J29" i="7"/>
  <c r="BE29" i="7" s="1"/>
  <c r="BF29" i="7" s="1"/>
  <c r="V15" i="2"/>
  <c r="V14" i="2" s="1"/>
  <c r="V39" i="2" s="1"/>
  <c r="J21" i="7"/>
  <c r="BE21" i="7" s="1"/>
  <c r="BF21" i="7" s="1"/>
  <c r="AG34" i="2"/>
  <c r="AI15" i="6"/>
  <c r="Z15" i="6"/>
  <c r="X34" i="2"/>
  <c r="H97" i="2"/>
  <c r="T13" i="2"/>
  <c r="V15" i="6"/>
  <c r="N34" i="2"/>
  <c r="N27" i="2"/>
  <c r="N64" i="2" s="1"/>
  <c r="P20" i="6"/>
  <c r="H9" i="2"/>
  <c r="D10" i="2"/>
  <c r="J15" i="6"/>
  <c r="K97" i="2"/>
  <c r="AI13" i="2"/>
  <c r="AK20" i="6"/>
  <c r="AI27" i="2"/>
  <c r="AL20" i="6"/>
  <c r="AJ27" i="2"/>
  <c r="AJ64" i="2" s="1"/>
  <c r="AJ34" i="2"/>
  <c r="AJ72" i="2" s="1"/>
  <c r="AD15" i="6"/>
  <c r="AB34" i="2"/>
  <c r="R15" i="6"/>
  <c r="P34" i="2"/>
  <c r="T15" i="6"/>
  <c r="R34" i="2"/>
  <c r="U15" i="6"/>
  <c r="S34" i="2"/>
  <c r="S19" i="2"/>
  <c r="K15" i="6"/>
  <c r="I34" i="2"/>
  <c r="AH34" i="2"/>
  <c r="AH72" i="2" s="1"/>
  <c r="AJ15" i="6"/>
  <c r="V27" i="2"/>
  <c r="V64" i="2" s="1"/>
  <c r="X20" i="6"/>
  <c r="V34" i="2"/>
  <c r="S15" i="6"/>
  <c r="Q34" i="2"/>
  <c r="AM34" i="2"/>
  <c r="AO15" i="6"/>
  <c r="J97" i="2"/>
  <c r="AD13" i="2"/>
  <c r="AF20" i="6"/>
  <c r="AD27" i="2"/>
  <c r="AA15" i="6"/>
  <c r="I97" i="2"/>
  <c r="Y13" i="2"/>
  <c r="AG20" i="6"/>
  <c r="AE27" i="2"/>
  <c r="AE64" i="2" s="1"/>
  <c r="AE34" i="2"/>
  <c r="AE72" i="2" s="1"/>
  <c r="L34" i="2"/>
  <c r="L27" i="2"/>
  <c r="L64" i="2" s="1"/>
  <c r="N20" i="6"/>
  <c r="AL34" i="2"/>
  <c r="AN15" i="6"/>
  <c r="F97" i="2"/>
  <c r="J13" i="2"/>
  <c r="J27" i="2"/>
  <c r="L20" i="6"/>
  <c r="AX10" i="7"/>
  <c r="BA10" i="7" s="1"/>
  <c r="BD10" i="7" s="1"/>
  <c r="BN11" i="7" s="1"/>
  <c r="AE40" i="7"/>
  <c r="G97" i="2"/>
  <c r="O13" i="2"/>
  <c r="Q15" i="6"/>
  <c r="Z34" i="2"/>
  <c r="Z27" i="2"/>
  <c r="Z64" i="2" s="1"/>
  <c r="AB20" i="6"/>
  <c r="AF34" i="2"/>
  <c r="AH15" i="6"/>
  <c r="L97" i="2"/>
  <c r="AN13" i="2"/>
  <c r="AP20" i="6"/>
  <c r="AN27" i="2"/>
  <c r="W27" i="2"/>
  <c r="W64" i="2" s="1"/>
  <c r="Y20" i="6"/>
  <c r="W34" i="2"/>
  <c r="AK27" i="2"/>
  <c r="AK64" i="2" s="1"/>
  <c r="AM20" i="6"/>
  <c r="W20" i="6"/>
  <c r="U27" i="2"/>
  <c r="U64" i="2" s="1"/>
  <c r="O20" i="6"/>
  <c r="M27" i="2"/>
  <c r="M64" i="2" s="1"/>
  <c r="K27" i="2"/>
  <c r="K64" i="2" s="1"/>
  <c r="M20" i="6"/>
  <c r="AA23" i="7"/>
  <c r="AA18" i="7"/>
  <c r="P250" i="4"/>
  <c r="AA16" i="7" s="1"/>
  <c r="X50" i="2"/>
  <c r="AA14" i="7"/>
  <c r="AA21" i="7"/>
  <c r="O50" i="2"/>
  <c r="AG250" i="4"/>
  <c r="AH21" i="2" s="1"/>
  <c r="K50" i="2"/>
  <c r="J250" i="4"/>
  <c r="V50" i="2"/>
  <c r="S50" i="2"/>
  <c r="AB250" i="4"/>
  <c r="AC21" i="2" s="1"/>
  <c r="M250" i="4"/>
  <c r="N21" i="2" s="1"/>
  <c r="AA25" i="7"/>
  <c r="S250" i="4"/>
  <c r="T21" i="2" s="1"/>
  <c r="H101" i="2" s="1"/>
  <c r="AA22" i="7"/>
  <c r="W50" i="2"/>
  <c r="Z50" i="2"/>
  <c r="AA29" i="7"/>
  <c r="AA17" i="7"/>
  <c r="G21" i="2"/>
  <c r="G22" i="2" s="1"/>
  <c r="G26" i="2" s="1"/>
  <c r="G28" i="2" s="1"/>
  <c r="G29" i="2" s="1"/>
  <c r="AL250" i="4"/>
  <c r="AA38" i="7" s="1"/>
  <c r="AF50" i="2"/>
  <c r="K250" i="4"/>
  <c r="AA11" i="7" s="1"/>
  <c r="AA31" i="7"/>
  <c r="R50" i="2"/>
  <c r="F50" i="2"/>
  <c r="F51" i="2" s="1"/>
  <c r="E250" i="4"/>
  <c r="AD50" i="2"/>
  <c r="AH250" i="4"/>
  <c r="AI50" i="2"/>
  <c r="O250" i="4"/>
  <c r="AA15" i="7" s="1"/>
  <c r="T250" i="4"/>
  <c r="I250" i="4"/>
  <c r="M21" i="2"/>
  <c r="AA12" i="7"/>
  <c r="X250" i="4"/>
  <c r="AF250" i="4"/>
  <c r="AG50" i="2"/>
  <c r="M50" i="2"/>
  <c r="H50" i="2"/>
  <c r="G250" i="4"/>
  <c r="AL50" i="2"/>
  <c r="AK250" i="4"/>
  <c r="AJ250" i="4"/>
  <c r="AK50" i="2"/>
  <c r="AJ21" i="2"/>
  <c r="Z250" i="4"/>
  <c r="AN50" i="2"/>
  <c r="AM250" i="4"/>
  <c r="AA250" i="4"/>
  <c r="AB50" i="2"/>
  <c r="AD250" i="4"/>
  <c r="AJ50" i="2"/>
  <c r="I20" i="5"/>
  <c r="G21" i="5" s="1"/>
  <c r="E130" i="4"/>
  <c r="F62" i="2"/>
  <c r="G62" i="2"/>
  <c r="G65" i="2" s="1"/>
  <c r="F55" i="2"/>
  <c r="F20" i="2"/>
  <c r="H20" i="5"/>
  <c r="E20" i="5"/>
  <c r="X19" i="2" l="1"/>
  <c r="AE19" i="2"/>
  <c r="AE20" i="2" s="1"/>
  <c r="AF19" i="2"/>
  <c r="AF20" i="2" s="1"/>
  <c r="AG19" i="2"/>
  <c r="AG55" i="2" s="1"/>
  <c r="AG72" i="2"/>
  <c r="AH62" i="2" s="1"/>
  <c r="AL19" i="2"/>
  <c r="AL20" i="2" s="1"/>
  <c r="AJ19" i="2"/>
  <c r="AJ22" i="2" s="1"/>
  <c r="V19" i="2"/>
  <c r="V55" i="2" s="1"/>
  <c r="V72" i="2"/>
  <c r="W72" i="2"/>
  <c r="Z19" i="2"/>
  <c r="Z22" i="2" s="1"/>
  <c r="AH19" i="2"/>
  <c r="AH22" i="2" s="1"/>
  <c r="L19" i="2"/>
  <c r="L55" i="2" s="1"/>
  <c r="AB19" i="2"/>
  <c r="AB55" i="2" s="1"/>
  <c r="L72" i="2"/>
  <c r="I19" i="2"/>
  <c r="AB72" i="2"/>
  <c r="AM19" i="2"/>
  <c r="AM20" i="2" s="1"/>
  <c r="I72" i="2"/>
  <c r="AM72" i="2"/>
  <c r="AF72" i="2"/>
  <c r="AF62" i="2" s="1"/>
  <c r="Q72" i="2"/>
  <c r="R19" i="2"/>
  <c r="R20" i="2" s="1"/>
  <c r="P72" i="2"/>
  <c r="X72" i="2"/>
  <c r="X62" i="2" s="1"/>
  <c r="P19" i="2"/>
  <c r="P55" i="2" s="1"/>
  <c r="Q19" i="2"/>
  <c r="S72" i="2"/>
  <c r="N19" i="2"/>
  <c r="N22" i="2" s="1"/>
  <c r="W19" i="2"/>
  <c r="W20" i="2" s="1"/>
  <c r="N72" i="2"/>
  <c r="Z72" i="2"/>
  <c r="AL72" i="2"/>
  <c r="R72" i="2"/>
  <c r="R62" i="2" s="1"/>
  <c r="L105" i="2"/>
  <c r="AN64" i="2"/>
  <c r="L119" i="2" s="1"/>
  <c r="L98" i="2"/>
  <c r="AN34" i="2"/>
  <c r="AN19" i="2"/>
  <c r="AF27" i="2"/>
  <c r="AF64" i="2" s="1"/>
  <c r="AH20" i="6"/>
  <c r="T31" i="7"/>
  <c r="AF22" i="2"/>
  <c r="Z20" i="2"/>
  <c r="Z55" i="2"/>
  <c r="Q20" i="6"/>
  <c r="O27" i="2"/>
  <c r="T14" i="7"/>
  <c r="G98" i="2"/>
  <c r="O34" i="2"/>
  <c r="O19" i="2"/>
  <c r="J64" i="2"/>
  <c r="F119" i="2" s="1"/>
  <c r="F105" i="2"/>
  <c r="F98" i="2"/>
  <c r="J34" i="2"/>
  <c r="J19" i="2"/>
  <c r="AL27" i="2"/>
  <c r="AL64" i="2" s="1"/>
  <c r="AN20" i="6"/>
  <c r="T37" i="7"/>
  <c r="I98" i="2"/>
  <c r="Y34" i="2"/>
  <c r="Y19" i="2"/>
  <c r="Y27" i="2"/>
  <c r="AA20" i="6"/>
  <c r="T24" i="7"/>
  <c r="J105" i="2"/>
  <c r="AD64" i="2"/>
  <c r="J119" i="2" s="1"/>
  <c r="AD34" i="2"/>
  <c r="J98" i="2"/>
  <c r="AD19" i="2"/>
  <c r="AO20" i="6"/>
  <c r="AM27" i="2"/>
  <c r="AM64" i="2" s="1"/>
  <c r="T38" i="7"/>
  <c r="AM55" i="2"/>
  <c r="Q20" i="2"/>
  <c r="Q55" i="2"/>
  <c r="Q27" i="2"/>
  <c r="Q64" i="2" s="1"/>
  <c r="S20" i="6"/>
  <c r="T16" i="7"/>
  <c r="V20" i="2"/>
  <c r="V22" i="2"/>
  <c r="AJ20" i="6"/>
  <c r="AH27" i="2"/>
  <c r="AH64" i="2" s="1"/>
  <c r="T33" i="7"/>
  <c r="I55" i="2"/>
  <c r="I20" i="2"/>
  <c r="I22" i="2"/>
  <c r="I27" i="2"/>
  <c r="I64" i="2" s="1"/>
  <c r="K20" i="6"/>
  <c r="T8" i="7"/>
  <c r="S20" i="2"/>
  <c r="S55" i="2"/>
  <c r="S22" i="2"/>
  <c r="U20" i="6"/>
  <c r="S27" i="2"/>
  <c r="S64" i="2" s="1"/>
  <c r="T18" i="7"/>
  <c r="T20" i="6"/>
  <c r="R27" i="2"/>
  <c r="R64" i="2" s="1"/>
  <c r="T17" i="7"/>
  <c r="P20" i="2"/>
  <c r="R20" i="6"/>
  <c r="P27" i="2"/>
  <c r="P64" i="2" s="1"/>
  <c r="T15" i="7"/>
  <c r="AB27" i="2"/>
  <c r="AB64" i="2" s="1"/>
  <c r="AD20" i="6"/>
  <c r="T27" i="7"/>
  <c r="AJ20" i="2"/>
  <c r="AJ55" i="2"/>
  <c r="AI64" i="2"/>
  <c r="K119" i="2" s="1"/>
  <c r="K105" i="2"/>
  <c r="K98" i="2"/>
  <c r="AI34" i="2"/>
  <c r="AI19" i="2"/>
  <c r="H27" i="2"/>
  <c r="J20" i="6"/>
  <c r="T7" i="7"/>
  <c r="H13" i="2"/>
  <c r="D9" i="2"/>
  <c r="V20" i="6"/>
  <c r="T27" i="2"/>
  <c r="T19" i="7"/>
  <c r="H98" i="2"/>
  <c r="T34" i="2"/>
  <c r="T19" i="2"/>
  <c r="T22" i="2" s="1"/>
  <c r="H102" i="2" s="1"/>
  <c r="X20" i="2"/>
  <c r="X55" i="2"/>
  <c r="X22" i="2"/>
  <c r="X27" i="2"/>
  <c r="X64" i="2" s="1"/>
  <c r="Z20" i="6"/>
  <c r="T23" i="7"/>
  <c r="AI20" i="6"/>
  <c r="AG27" i="2"/>
  <c r="AG64" i="2" s="1"/>
  <c r="T32" i="7"/>
  <c r="J99" i="2"/>
  <c r="AD39" i="2"/>
  <c r="AK39" i="2"/>
  <c r="AK72" i="2" s="1"/>
  <c r="AK19" i="2"/>
  <c r="L99" i="2"/>
  <c r="AN39" i="2"/>
  <c r="BF10" i="7"/>
  <c r="K39" i="2"/>
  <c r="K72" i="2" s="1"/>
  <c r="K19" i="2"/>
  <c r="AC39" i="2"/>
  <c r="AC72" i="2" s="1"/>
  <c r="AC19" i="2"/>
  <c r="AA39" i="2"/>
  <c r="AA72" i="2" s="1"/>
  <c r="AA19" i="2"/>
  <c r="U39" i="2"/>
  <c r="U72" i="2" s="1"/>
  <c r="U19" i="2"/>
  <c r="M39" i="2"/>
  <c r="M72" i="2" s="1"/>
  <c r="M19" i="2"/>
  <c r="F99" i="2"/>
  <c r="J39" i="2"/>
  <c r="I99" i="2"/>
  <c r="Y39" i="2"/>
  <c r="J41" i="7"/>
  <c r="BE7" i="7"/>
  <c r="BF7" i="7" s="1"/>
  <c r="D15" i="2"/>
  <c r="H14" i="2"/>
  <c r="BN10" i="7"/>
  <c r="L55" i="1"/>
  <c r="D19" i="1" s="1"/>
  <c r="D18" i="1"/>
  <c r="G99" i="2"/>
  <c r="O39" i="2"/>
  <c r="T39" i="2"/>
  <c r="H99" i="2"/>
  <c r="K99" i="2"/>
  <c r="AI39" i="2"/>
  <c r="Q21" i="2"/>
  <c r="Q22" i="2" s="1"/>
  <c r="AA28" i="7"/>
  <c r="AA33" i="7"/>
  <c r="K21" i="2"/>
  <c r="AA10" i="7"/>
  <c r="AA13" i="7"/>
  <c r="AA19" i="7"/>
  <c r="AM21" i="2"/>
  <c r="AM22" i="2" s="1"/>
  <c r="L21" i="2"/>
  <c r="P21" i="2"/>
  <c r="F21" i="2"/>
  <c r="F22" i="2" s="1"/>
  <c r="AA5" i="7"/>
  <c r="G44" i="2"/>
  <c r="G51" i="2" s="1"/>
  <c r="F36" i="2"/>
  <c r="F32" i="2" s="1"/>
  <c r="F41" i="2" s="1"/>
  <c r="F38" i="2" s="1"/>
  <c r="AI21" i="2"/>
  <c r="AA34" i="7"/>
  <c r="U21" i="2"/>
  <c r="AA20" i="7"/>
  <c r="AA9" i="7"/>
  <c r="J21" i="2"/>
  <c r="AA32" i="7"/>
  <c r="AG21" i="2"/>
  <c r="AA7" i="7"/>
  <c r="H21" i="2"/>
  <c r="AN250" i="4"/>
  <c r="AA40" i="7" s="1"/>
  <c r="Y21" i="2"/>
  <c r="AA24" i="7"/>
  <c r="AA26" i="7"/>
  <c r="AA21" i="2"/>
  <c r="AK21" i="2"/>
  <c r="AK22" i="2" s="1"/>
  <c r="AA36" i="7"/>
  <c r="AL21" i="2"/>
  <c r="AL22" i="2" s="1"/>
  <c r="AA37" i="7"/>
  <c r="AE21" i="2"/>
  <c r="AA30" i="7"/>
  <c r="I21" i="5"/>
  <c r="I22" i="5" s="1"/>
  <c r="AB21" i="2"/>
  <c r="AA27" i="7"/>
  <c r="AA39" i="7"/>
  <c r="AN21" i="2"/>
  <c r="D130" i="4"/>
  <c r="E21" i="2"/>
  <c r="E22" i="2" s="1"/>
  <c r="E26" i="2" s="1"/>
  <c r="E28" i="2" s="1"/>
  <c r="E29" i="2" s="1"/>
  <c r="G77" i="2"/>
  <c r="G68" i="2"/>
  <c r="H21" i="5"/>
  <c r="E21" i="5"/>
  <c r="AF55" i="2" l="1"/>
  <c r="AE55" i="2"/>
  <c r="AE22" i="2"/>
  <c r="AL55" i="2"/>
  <c r="Q62" i="2"/>
  <c r="AG22" i="2"/>
  <c r="P22" i="2"/>
  <c r="AH55" i="2"/>
  <c r="AH20" i="2"/>
  <c r="AG20" i="2"/>
  <c r="AA22" i="2"/>
  <c r="AC62" i="2"/>
  <c r="L22" i="2"/>
  <c r="N20" i="2"/>
  <c r="N55" i="2"/>
  <c r="W62" i="2"/>
  <c r="L20" i="2"/>
  <c r="AM62" i="2"/>
  <c r="R22" i="2"/>
  <c r="R55" i="2"/>
  <c r="K22" i="2"/>
  <c r="AB20" i="2"/>
  <c r="AG62" i="2"/>
  <c r="W55" i="2"/>
  <c r="U22" i="2"/>
  <c r="S62" i="2"/>
  <c r="BF41" i="7"/>
  <c r="BF42" i="7" s="1"/>
  <c r="W22" i="2"/>
  <c r="BH5" i="7" a="1"/>
  <c r="H39" i="2"/>
  <c r="BN9" i="7"/>
  <c r="D14" i="2"/>
  <c r="M20" i="2"/>
  <c r="M55" i="2"/>
  <c r="M22" i="2"/>
  <c r="N62" i="2"/>
  <c r="M62" i="2"/>
  <c r="U20" i="2"/>
  <c r="U55" i="2"/>
  <c r="V62" i="2"/>
  <c r="AA20" i="2"/>
  <c r="AA55" i="2"/>
  <c r="AB62" i="2"/>
  <c r="AA62" i="2"/>
  <c r="AC20" i="2"/>
  <c r="AC55" i="2"/>
  <c r="AC22" i="2"/>
  <c r="K20" i="2"/>
  <c r="K55" i="2"/>
  <c r="L62" i="2"/>
  <c r="AK55" i="2"/>
  <c r="AK20" i="2"/>
  <c r="AL62" i="2"/>
  <c r="AK62" i="2"/>
  <c r="H100" i="2"/>
  <c r="T55" i="2"/>
  <c r="H110" i="2" s="1"/>
  <c r="T20" i="2"/>
  <c r="T72" i="2"/>
  <c r="H105" i="2"/>
  <c r="T64" i="2"/>
  <c r="H119" i="2" s="1"/>
  <c r="H34" i="2"/>
  <c r="D13" i="2"/>
  <c r="H19" i="2"/>
  <c r="H64" i="2"/>
  <c r="D27" i="2"/>
  <c r="K100" i="2"/>
  <c r="AI55" i="2"/>
  <c r="K110" i="2" s="1"/>
  <c r="AI20" i="2"/>
  <c r="AI72" i="2"/>
  <c r="J100" i="2"/>
  <c r="AD20" i="2"/>
  <c r="AD55" i="2"/>
  <c r="J110" i="2" s="1"/>
  <c r="AD22" i="2"/>
  <c r="J102" i="2" s="1"/>
  <c r="AD72" i="2"/>
  <c r="I105" i="2"/>
  <c r="Y64" i="2"/>
  <c r="I119" i="2" s="1"/>
  <c r="Y20" i="2"/>
  <c r="Y55" i="2"/>
  <c r="I110" i="2" s="1"/>
  <c r="I100" i="2"/>
  <c r="Y72" i="2"/>
  <c r="J20" i="2"/>
  <c r="J55" i="2"/>
  <c r="F110" i="2" s="1"/>
  <c r="F100" i="2"/>
  <c r="J72" i="2"/>
  <c r="G100" i="2"/>
  <c r="O20" i="2"/>
  <c r="O55" i="2"/>
  <c r="G110" i="2" s="1"/>
  <c r="O22" i="2"/>
  <c r="G102" i="2" s="1"/>
  <c r="O72" i="2"/>
  <c r="G105" i="2"/>
  <c r="O64" i="2"/>
  <c r="G119" i="2" s="1"/>
  <c r="L100" i="2"/>
  <c r="AN20" i="2"/>
  <c r="AN55" i="2"/>
  <c r="L110" i="2" s="1"/>
  <c r="AN72" i="2"/>
  <c r="AN62" i="2" s="1"/>
  <c r="L117" i="2" s="1"/>
  <c r="H44" i="2"/>
  <c r="H51" i="2" s="1"/>
  <c r="H36" i="2" s="1"/>
  <c r="H32" i="2" s="1"/>
  <c r="G36" i="2"/>
  <c r="G32" i="2" s="1"/>
  <c r="G41" i="2" s="1"/>
  <c r="G38" i="2" s="1"/>
  <c r="K101" i="2"/>
  <c r="AI22" i="2"/>
  <c r="K102" i="2" s="1"/>
  <c r="G22" i="5"/>
  <c r="H22" i="5" s="1"/>
  <c r="F101" i="2"/>
  <c r="J22" i="2"/>
  <c r="I101" i="2"/>
  <c r="Y22" i="2"/>
  <c r="I102" i="2" s="1"/>
  <c r="L101" i="2"/>
  <c r="AN22" i="2"/>
  <c r="L102" i="2" s="1"/>
  <c r="AB22" i="2"/>
  <c r="D21" i="2"/>
  <c r="G91" i="2"/>
  <c r="G90" i="2"/>
  <c r="G23" i="5"/>
  <c r="I23" i="5"/>
  <c r="H72" i="2" l="1"/>
  <c r="H62" i="2" s="1"/>
  <c r="H41" i="2"/>
  <c r="H38" i="2" s="1"/>
  <c r="P62" i="2"/>
  <c r="O62" i="2"/>
  <c r="G117" i="2" s="1"/>
  <c r="J62" i="2"/>
  <c r="F117" i="2" s="1"/>
  <c r="K62" i="2"/>
  <c r="Z62" i="2"/>
  <c r="Y62" i="2"/>
  <c r="I117" i="2" s="1"/>
  <c r="AD62" i="2"/>
  <c r="J117" i="2" s="1"/>
  <c r="AE62" i="2"/>
  <c r="AJ62" i="2"/>
  <c r="AI62" i="2"/>
  <c r="K117" i="2" s="1"/>
  <c r="H55" i="2"/>
  <c r="D19" i="2"/>
  <c r="D20" i="2" s="1"/>
  <c r="D83" i="2" s="1"/>
  <c r="D15" i="1" s="1"/>
  <c r="BN19" i="7" s="1"/>
  <c r="H20" i="2"/>
  <c r="H22" i="2"/>
  <c r="D22" i="2" s="1"/>
  <c r="T62" i="2"/>
  <c r="H117" i="2" s="1"/>
  <c r="U62" i="2"/>
  <c r="BH36" i="7"/>
  <c r="BI36" i="7" s="1"/>
  <c r="BH8" i="7"/>
  <c r="BI8" i="7" s="1"/>
  <c r="BH27" i="7"/>
  <c r="BI27" i="7" s="1"/>
  <c r="BH22" i="7"/>
  <c r="BI22" i="7" s="1"/>
  <c r="BH12" i="7"/>
  <c r="BI12" i="7" s="1"/>
  <c r="BH38" i="7"/>
  <c r="BI38" i="7" s="1"/>
  <c r="BH9" i="7"/>
  <c r="BI9" i="7" s="1"/>
  <c r="BH16" i="7"/>
  <c r="BI16" i="7" s="1"/>
  <c r="BH30" i="7"/>
  <c r="BI30" i="7" s="1"/>
  <c r="BH32" i="7"/>
  <c r="BI32" i="7" s="1"/>
  <c r="BH14" i="7"/>
  <c r="BI14" i="7" s="1"/>
  <c r="BH23" i="7"/>
  <c r="BI23" i="7" s="1"/>
  <c r="BH20" i="7"/>
  <c r="BI20" i="7" s="1"/>
  <c r="BH24" i="7"/>
  <c r="BI24" i="7" s="1"/>
  <c r="BH10" i="7"/>
  <c r="BI10" i="7" s="1"/>
  <c r="BH39" i="7"/>
  <c r="BI39" i="7" s="1"/>
  <c r="BH33" i="7"/>
  <c r="BI33" i="7" s="1"/>
  <c r="BH28" i="7"/>
  <c r="BI28" i="7" s="1"/>
  <c r="BH34" i="7"/>
  <c r="BI34" i="7" s="1"/>
  <c r="BH35" i="7"/>
  <c r="BI35" i="7" s="1"/>
  <c r="BH31" i="7"/>
  <c r="BI31" i="7" s="1"/>
  <c r="BH15" i="7"/>
  <c r="BI15" i="7" s="1"/>
  <c r="BH13" i="7"/>
  <c r="BI13" i="7" s="1"/>
  <c r="BH25" i="7"/>
  <c r="BI25" i="7" s="1"/>
  <c r="BH17" i="7"/>
  <c r="BI17" i="7" s="1"/>
  <c r="BH21" i="7"/>
  <c r="BI21" i="7" s="1"/>
  <c r="BH6" i="7"/>
  <c r="BI6" i="7" s="1"/>
  <c r="BH5" i="7"/>
  <c r="BI5" i="7" s="1"/>
  <c r="BH11" i="7"/>
  <c r="BI11" i="7" s="1"/>
  <c r="BH37" i="7"/>
  <c r="BI37" i="7" s="1"/>
  <c r="BH29" i="7"/>
  <c r="BI29" i="7" s="1"/>
  <c r="BH18" i="7"/>
  <c r="BI18" i="7" s="1"/>
  <c r="BH19" i="7"/>
  <c r="BI19" i="7" s="1"/>
  <c r="BH26" i="7"/>
  <c r="BI26" i="7" s="1"/>
  <c r="BH7" i="7"/>
  <c r="BI7" i="7" s="1"/>
  <c r="I44" i="2"/>
  <c r="I51" i="2" s="1"/>
  <c r="J44" i="2" s="1"/>
  <c r="J51" i="2" s="1"/>
  <c r="J36" i="2" s="1"/>
  <c r="J32" i="2" s="1"/>
  <c r="J41" i="2" s="1"/>
  <c r="J38" i="2" s="1"/>
  <c r="E22" i="5"/>
  <c r="F102" i="2"/>
  <c r="H23" i="5"/>
  <c r="E23" i="5"/>
  <c r="G24" i="5"/>
  <c r="I24" i="5"/>
  <c r="I62" i="2" l="1"/>
  <c r="K44" i="2"/>
  <c r="K51" i="2" s="1"/>
  <c r="L44" i="2" s="1"/>
  <c r="L51" i="2" s="1"/>
  <c r="I36" i="2"/>
  <c r="I32" i="2" s="1"/>
  <c r="I41" i="2" s="1"/>
  <c r="I38" i="2" s="1"/>
  <c r="G25" i="5"/>
  <c r="I25" i="5"/>
  <c r="H24" i="5"/>
  <c r="E24" i="5"/>
  <c r="K36" i="2" l="1"/>
  <c r="K32" i="2" s="1"/>
  <c r="K41" i="2" s="1"/>
  <c r="K38" i="2" s="1"/>
  <c r="H25" i="5"/>
  <c r="E25" i="5"/>
  <c r="G26" i="5"/>
  <c r="I26" i="5"/>
  <c r="M44" i="2"/>
  <c r="M51" i="2" s="1"/>
  <c r="L36" i="2"/>
  <c r="L32" i="2" s="1"/>
  <c r="L41" i="2" s="1"/>
  <c r="L38" i="2" s="1"/>
  <c r="H26" i="5" l="1"/>
  <c r="E26" i="5"/>
  <c r="G27" i="5"/>
  <c r="I27" i="5"/>
  <c r="M36" i="2"/>
  <c r="M32" i="2" s="1"/>
  <c r="M41" i="2" s="1"/>
  <c r="M38" i="2" s="1"/>
  <c r="N44" i="2"/>
  <c r="N51" i="2" s="1"/>
  <c r="H27" i="5" l="1"/>
  <c r="E27" i="5"/>
  <c r="O44" i="2"/>
  <c r="O51" i="2" s="1"/>
  <c r="N36" i="2"/>
  <c r="N32" i="2" s="1"/>
  <c r="N41" i="2" s="1"/>
  <c r="N38" i="2" s="1"/>
  <c r="G28" i="5"/>
  <c r="H28" i="5" l="1"/>
  <c r="E28" i="5"/>
  <c r="P44" i="2"/>
  <c r="P51" i="2" s="1"/>
  <c r="O36" i="2"/>
  <c r="O32" i="2" s="1"/>
  <c r="O41" i="2" s="1"/>
  <c r="O38" i="2" s="1"/>
  <c r="I28" i="5"/>
  <c r="G29" i="5" l="1"/>
  <c r="P36" i="2"/>
  <c r="P32" i="2" s="1"/>
  <c r="P41" i="2" s="1"/>
  <c r="P38" i="2" s="1"/>
  <c r="Q44" i="2"/>
  <c r="Q51" i="2" s="1"/>
  <c r="R44" i="2" l="1"/>
  <c r="R51" i="2" s="1"/>
  <c r="Q36" i="2"/>
  <c r="Q32" i="2" s="1"/>
  <c r="Q41" i="2" s="1"/>
  <c r="Q38" i="2" s="1"/>
  <c r="E29" i="5"/>
  <c r="H29" i="5"/>
  <c r="I29" i="5"/>
  <c r="S44" i="2" l="1"/>
  <c r="S51" i="2" s="1"/>
  <c r="R36" i="2"/>
  <c r="R32" i="2" s="1"/>
  <c r="R41" i="2" s="1"/>
  <c r="R38" i="2" s="1"/>
  <c r="G30" i="5"/>
  <c r="I30" i="5" s="1"/>
  <c r="H30" i="5" l="1"/>
  <c r="E30" i="5"/>
  <c r="G31" i="5"/>
  <c r="I31" i="5" s="1"/>
  <c r="S36" i="2"/>
  <c r="S32" i="2" s="1"/>
  <c r="S41" i="2" s="1"/>
  <c r="S38" i="2" s="1"/>
  <c r="T44" i="2"/>
  <c r="T51" i="2" s="1"/>
  <c r="G32" i="5" l="1"/>
  <c r="I32" i="5" s="1"/>
  <c r="U44" i="2"/>
  <c r="U51" i="2" s="1"/>
  <c r="T36" i="2"/>
  <c r="T32" i="2" s="1"/>
  <c r="T41" i="2" s="1"/>
  <c r="T38" i="2" s="1"/>
  <c r="H31" i="5"/>
  <c r="E31" i="5"/>
  <c r="V44" i="2" l="1"/>
  <c r="V51" i="2" s="1"/>
  <c r="U36" i="2"/>
  <c r="U32" i="2" s="1"/>
  <c r="U41" i="2" s="1"/>
  <c r="U38" i="2" s="1"/>
  <c r="G33" i="5"/>
  <c r="I33" i="5" s="1"/>
  <c r="E32" i="5"/>
  <c r="H32" i="5"/>
  <c r="G34" i="5" l="1"/>
  <c r="H33" i="5"/>
  <c r="E33" i="5"/>
  <c r="V36" i="2"/>
  <c r="V32" i="2" s="1"/>
  <c r="V41" i="2" s="1"/>
  <c r="V38" i="2" s="1"/>
  <c r="W44" i="2"/>
  <c r="W51" i="2" s="1"/>
  <c r="X44" i="2" l="1"/>
  <c r="X51" i="2" s="1"/>
  <c r="W36" i="2"/>
  <c r="W32" i="2" s="1"/>
  <c r="W41" i="2" s="1"/>
  <c r="W38" i="2" s="1"/>
  <c r="H34" i="5"/>
  <c r="E34" i="5"/>
  <c r="I34" i="5"/>
  <c r="G35" i="5" l="1"/>
  <c r="I35" i="5" s="1"/>
  <c r="X36" i="2"/>
  <c r="X32" i="2" s="1"/>
  <c r="X41" i="2" s="1"/>
  <c r="X38" i="2" s="1"/>
  <c r="Y44" i="2"/>
  <c r="Y51" i="2" s="1"/>
  <c r="G36" i="5" l="1"/>
  <c r="I36" i="5" s="1"/>
  <c r="E35" i="5"/>
  <c r="H35" i="5"/>
  <c r="Z44" i="2"/>
  <c r="Z51" i="2" s="1"/>
  <c r="Y36" i="2"/>
  <c r="Y32" i="2" s="1"/>
  <c r="Y41" i="2" s="1"/>
  <c r="Y38" i="2" s="1"/>
  <c r="G37" i="5" l="1"/>
  <c r="I37" i="5" s="1"/>
  <c r="H36" i="5"/>
  <c r="E36" i="5"/>
  <c r="Z36" i="2"/>
  <c r="Z32" i="2" s="1"/>
  <c r="Z41" i="2" s="1"/>
  <c r="Z38" i="2" s="1"/>
  <c r="AA44" i="2"/>
  <c r="AA51" i="2" s="1"/>
  <c r="G38" i="5" l="1"/>
  <c r="I38" i="5" s="1"/>
  <c r="AA36" i="2"/>
  <c r="AA32" i="2" s="1"/>
  <c r="AA41" i="2" s="1"/>
  <c r="AA38" i="2" s="1"/>
  <c r="AB44" i="2"/>
  <c r="AB51" i="2" s="1"/>
  <c r="H37" i="5"/>
  <c r="E37" i="5"/>
  <c r="AB36" i="2" l="1"/>
  <c r="AB32" i="2" s="1"/>
  <c r="AB41" i="2" s="1"/>
  <c r="AB38" i="2" s="1"/>
  <c r="AC44" i="2"/>
  <c r="AC51" i="2" s="1"/>
  <c r="G39" i="5"/>
  <c r="I39" i="5" s="1"/>
  <c r="H38" i="5"/>
  <c r="E38" i="5"/>
  <c r="G40" i="5" l="1"/>
  <c r="AC36" i="2"/>
  <c r="AC32" i="2" s="1"/>
  <c r="AC41" i="2" s="1"/>
  <c r="AC38" i="2" s="1"/>
  <c r="AD44" i="2"/>
  <c r="AD51" i="2" s="1"/>
  <c r="E39" i="5"/>
  <c r="H39" i="5"/>
  <c r="AE44" i="2" l="1"/>
  <c r="AE51" i="2" s="1"/>
  <c r="AD36" i="2"/>
  <c r="AD32" i="2" s="1"/>
  <c r="AD41" i="2" s="1"/>
  <c r="AD38" i="2" s="1"/>
  <c r="E40" i="5"/>
  <c r="H40" i="5"/>
  <c r="I40" i="5"/>
  <c r="AF44" i="2" l="1"/>
  <c r="AF51" i="2" s="1"/>
  <c r="AE36" i="2"/>
  <c r="AE32" i="2" s="1"/>
  <c r="AE41" i="2" s="1"/>
  <c r="AE38" i="2" s="1"/>
  <c r="G41" i="5"/>
  <c r="E41" i="5" l="1"/>
  <c r="H41" i="5"/>
  <c r="AF36" i="2"/>
  <c r="AF32" i="2" s="1"/>
  <c r="AF41" i="2" s="1"/>
  <c r="AF38" i="2" s="1"/>
  <c r="AG44" i="2"/>
  <c r="AG51" i="2" s="1"/>
  <c r="I41" i="5"/>
  <c r="G42" i="5" l="1"/>
  <c r="I42" i="5" s="1"/>
  <c r="AH44" i="2"/>
  <c r="AH51" i="2" s="1"/>
  <c r="AG36" i="2"/>
  <c r="AG32" i="2" s="1"/>
  <c r="AG41" i="2" s="1"/>
  <c r="AG38" i="2" s="1"/>
  <c r="G43" i="5" l="1"/>
  <c r="I43" i="5" s="1"/>
  <c r="AI44" i="2"/>
  <c r="AI51" i="2" s="1"/>
  <c r="AH36" i="2"/>
  <c r="AH32" i="2" s="1"/>
  <c r="AH41" i="2" s="1"/>
  <c r="AH38" i="2" s="1"/>
  <c r="H42" i="5"/>
  <c r="E42" i="5"/>
  <c r="AJ44" i="2" l="1"/>
  <c r="AJ51" i="2" s="1"/>
  <c r="AI36" i="2"/>
  <c r="AI32" i="2" s="1"/>
  <c r="AI41" i="2" s="1"/>
  <c r="AI38" i="2" s="1"/>
  <c r="G44" i="5"/>
  <c r="I44" i="5" s="1"/>
  <c r="E43" i="5"/>
  <c r="H43" i="5"/>
  <c r="G45" i="5" l="1"/>
  <c r="AK44" i="2"/>
  <c r="AK51" i="2" s="1"/>
  <c r="AJ36" i="2"/>
  <c r="AJ32" i="2" s="1"/>
  <c r="AJ41" i="2" s="1"/>
  <c r="AJ38" i="2" s="1"/>
  <c r="H44" i="5"/>
  <c r="E44" i="5"/>
  <c r="H45" i="5" l="1"/>
  <c r="E45" i="5"/>
  <c r="I45" i="5"/>
  <c r="AK36" i="2"/>
  <c r="AK32" i="2" s="1"/>
  <c r="AK41" i="2" s="1"/>
  <c r="AK38" i="2" s="1"/>
  <c r="AL44" i="2"/>
  <c r="AL51" i="2" s="1"/>
  <c r="F25" i="2" l="1" a="1"/>
  <c r="G46" i="5"/>
  <c r="I46" i="5" s="1"/>
  <c r="AM44" i="2"/>
  <c r="AM51" i="2" s="1"/>
  <c r="AL36" i="2"/>
  <c r="AL32" i="2" s="1"/>
  <c r="AL41" i="2" s="1"/>
  <c r="AL38" i="2" s="1"/>
  <c r="I25" i="2" l="1"/>
  <c r="I23" i="2" s="1"/>
  <c r="G25" i="2"/>
  <c r="J25" i="2"/>
  <c r="J23" i="2" s="1"/>
  <c r="F25" i="2"/>
  <c r="H25" i="2"/>
  <c r="H23" i="2" s="1"/>
  <c r="K25" i="2"/>
  <c r="K23" i="2" s="1"/>
  <c r="M25" i="2"/>
  <c r="M23" i="2" s="1"/>
  <c r="L25" i="2"/>
  <c r="L23" i="2" s="1"/>
  <c r="N25" i="2"/>
  <c r="N23" i="2" s="1"/>
  <c r="O25" i="2"/>
  <c r="O23" i="2" s="1"/>
  <c r="P25" i="2"/>
  <c r="P23" i="2" s="1"/>
  <c r="Q25" i="2"/>
  <c r="Q23" i="2" s="1"/>
  <c r="R25" i="2"/>
  <c r="R23" i="2" s="1"/>
  <c r="S25" i="2"/>
  <c r="S23" i="2" s="1"/>
  <c r="T25" i="2"/>
  <c r="T23" i="2" s="1"/>
  <c r="U25" i="2"/>
  <c r="U23" i="2" s="1"/>
  <c r="V25" i="2"/>
  <c r="V23" i="2" s="1"/>
  <c r="W25" i="2"/>
  <c r="W23" i="2" s="1"/>
  <c r="X25" i="2"/>
  <c r="X23" i="2" s="1"/>
  <c r="Y25" i="2"/>
  <c r="Y23" i="2" s="1"/>
  <c r="Z25" i="2"/>
  <c r="Z23" i="2" s="1"/>
  <c r="AA25" i="2"/>
  <c r="AA23" i="2" s="1"/>
  <c r="AB25" i="2"/>
  <c r="AB23" i="2" s="1"/>
  <c r="AC25" i="2"/>
  <c r="AC23" i="2" s="1"/>
  <c r="AD25" i="2"/>
  <c r="AD23" i="2" s="1"/>
  <c r="AE25" i="2"/>
  <c r="AE23" i="2" s="1"/>
  <c r="AF25" i="2"/>
  <c r="AF23" i="2" s="1"/>
  <c r="AG25" i="2"/>
  <c r="AG23" i="2" s="1"/>
  <c r="AH25" i="2"/>
  <c r="AH23" i="2" s="1"/>
  <c r="AI25" i="2"/>
  <c r="AI23" i="2" s="1"/>
  <c r="AJ25" i="2"/>
  <c r="AJ23" i="2" s="1"/>
  <c r="AK25" i="2"/>
  <c r="AK23" i="2" s="1"/>
  <c r="AL25" i="2"/>
  <c r="AL23" i="2" s="1"/>
  <c r="AM25" i="2"/>
  <c r="AM23" i="2" s="1"/>
  <c r="AN25" i="2"/>
  <c r="AN23" i="2" s="1"/>
  <c r="AN63" i="2" s="1"/>
  <c r="H46" i="5"/>
  <c r="H47" i="5" s="1"/>
  <c r="E46" i="5"/>
  <c r="E47" i="5" s="1"/>
  <c r="G47" i="5"/>
  <c r="AN44" i="2"/>
  <c r="AN51" i="2" s="1"/>
  <c r="AN36" i="2" s="1"/>
  <c r="AN32" i="2" s="1"/>
  <c r="AN41" i="2" s="1"/>
  <c r="AN38" i="2" s="1"/>
  <c r="AM36" i="2"/>
  <c r="AM32" i="2" s="1"/>
  <c r="AM41" i="2" s="1"/>
  <c r="AM38" i="2" s="1"/>
  <c r="AN26" i="2" l="1"/>
  <c r="AN28" i="2" s="1"/>
  <c r="L103" i="2"/>
  <c r="M63" i="2"/>
  <c r="M65" i="2" s="1"/>
  <c r="M26" i="2"/>
  <c r="M28" i="2" s="1"/>
  <c r="M29" i="2" s="1"/>
  <c r="AK63" i="2"/>
  <c r="AK65" i="2" s="1"/>
  <c r="AK26" i="2"/>
  <c r="AK28" i="2" s="1"/>
  <c r="AK29" i="2" s="1"/>
  <c r="U63" i="2"/>
  <c r="U65" i="2" s="1"/>
  <c r="U26" i="2"/>
  <c r="U28" i="2" s="1"/>
  <c r="U29" i="2" s="1"/>
  <c r="K63" i="2"/>
  <c r="K65" i="2" s="1"/>
  <c r="K26" i="2"/>
  <c r="K28" i="2" s="1"/>
  <c r="K29" i="2" s="1"/>
  <c r="AB26" i="2"/>
  <c r="AB28" i="2" s="1"/>
  <c r="AB29" i="2" s="1"/>
  <c r="AB63" i="2"/>
  <c r="AB65" i="2" s="1"/>
  <c r="H63" i="2"/>
  <c r="H65" i="2" s="1"/>
  <c r="H26" i="2"/>
  <c r="H28" i="2" s="1"/>
  <c r="H29" i="2" s="1"/>
  <c r="S63" i="2"/>
  <c r="S65" i="2" s="1"/>
  <c r="S26" i="2"/>
  <c r="S28" i="2" s="1"/>
  <c r="S29" i="2" s="1"/>
  <c r="AG63" i="2"/>
  <c r="AG65" i="2" s="1"/>
  <c r="AG26" i="2"/>
  <c r="AG28" i="2" s="1"/>
  <c r="AG29" i="2" s="1"/>
  <c r="Y63" i="2"/>
  <c r="I103" i="2"/>
  <c r="Y26" i="2"/>
  <c r="Q63" i="2"/>
  <c r="Q65" i="2" s="1"/>
  <c r="Q26" i="2"/>
  <c r="Q28" i="2" s="1"/>
  <c r="Q29" i="2" s="1"/>
  <c r="F23" i="2"/>
  <c r="D25" i="2"/>
  <c r="F103" i="2"/>
  <c r="J63" i="2"/>
  <c r="J26" i="2"/>
  <c r="AC26" i="2"/>
  <c r="AC28" i="2" s="1"/>
  <c r="AC29" i="2" s="1"/>
  <c r="AC63" i="2"/>
  <c r="AC65" i="2" s="1"/>
  <c r="L26" i="2"/>
  <c r="L28" i="2" s="1"/>
  <c r="L29" i="2" s="1"/>
  <c r="L63" i="2"/>
  <c r="L65" i="2" s="1"/>
  <c r="AJ26" i="2"/>
  <c r="AJ28" i="2" s="1"/>
  <c r="AJ29" i="2" s="1"/>
  <c r="AJ63" i="2"/>
  <c r="AJ65" i="2" s="1"/>
  <c r="T63" i="2"/>
  <c r="H103" i="2"/>
  <c r="T26" i="2"/>
  <c r="AI63" i="2"/>
  <c r="K103" i="2"/>
  <c r="AI26" i="2"/>
  <c r="AF63" i="2"/>
  <c r="AF65" i="2" s="1"/>
  <c r="AF26" i="2"/>
  <c r="AF28" i="2" s="1"/>
  <c r="AF29" i="2" s="1"/>
  <c r="X63" i="2"/>
  <c r="X65" i="2" s="1"/>
  <c r="X26" i="2"/>
  <c r="X28" i="2" s="1"/>
  <c r="X29" i="2" s="1"/>
  <c r="AM63" i="2"/>
  <c r="AM65" i="2" s="1"/>
  <c r="AM26" i="2"/>
  <c r="AM28" i="2" s="1"/>
  <c r="AM29" i="2" s="1"/>
  <c r="AE63" i="2"/>
  <c r="AE65" i="2" s="1"/>
  <c r="AE26" i="2"/>
  <c r="AE28" i="2" s="1"/>
  <c r="AE29" i="2" s="1"/>
  <c r="W63" i="2"/>
  <c r="W65" i="2" s="1"/>
  <c r="W26" i="2"/>
  <c r="W28" i="2" s="1"/>
  <c r="W29" i="2" s="1"/>
  <c r="G103" i="2"/>
  <c r="O63" i="2"/>
  <c r="O26" i="2"/>
  <c r="AA63" i="2"/>
  <c r="AA65" i="2" s="1"/>
  <c r="AA26" i="2"/>
  <c r="AA28" i="2" s="1"/>
  <c r="AA29" i="2" s="1"/>
  <c r="AH63" i="2"/>
  <c r="AH65" i="2" s="1"/>
  <c r="AH26" i="2"/>
  <c r="AH28" i="2" s="1"/>
  <c r="AH29" i="2" s="1"/>
  <c r="Z63" i="2"/>
  <c r="Z65" i="2" s="1"/>
  <c r="Z26" i="2"/>
  <c r="Z28" i="2" s="1"/>
  <c r="Z29" i="2" s="1"/>
  <c r="R63" i="2"/>
  <c r="R65" i="2" s="1"/>
  <c r="R26" i="2"/>
  <c r="R28" i="2" s="1"/>
  <c r="R29" i="2" s="1"/>
  <c r="P63" i="2"/>
  <c r="P65" i="2" s="1"/>
  <c r="P26" i="2"/>
  <c r="P28" i="2" s="1"/>
  <c r="P29" i="2" s="1"/>
  <c r="AL63" i="2"/>
  <c r="AL65" i="2" s="1"/>
  <c r="AL26" i="2"/>
  <c r="AL28" i="2" s="1"/>
  <c r="AL29" i="2" s="1"/>
  <c r="J103" i="2"/>
  <c r="AD63" i="2"/>
  <c r="AD26" i="2"/>
  <c r="V63" i="2"/>
  <c r="V65" i="2" s="1"/>
  <c r="V26" i="2"/>
  <c r="V28" i="2" s="1"/>
  <c r="V29" i="2" s="1"/>
  <c r="N63" i="2"/>
  <c r="N65" i="2" s="1"/>
  <c r="N26" i="2"/>
  <c r="N28" i="2" s="1"/>
  <c r="N29" i="2" s="1"/>
  <c r="I63" i="2"/>
  <c r="I65" i="2" s="1"/>
  <c r="I26" i="2"/>
  <c r="I28" i="2" s="1"/>
  <c r="I29" i="2" s="1"/>
  <c r="L118" i="2"/>
  <c r="AN65" i="2"/>
  <c r="L104" i="2" l="1"/>
  <c r="AJ77" i="2"/>
  <c r="AJ68" i="2"/>
  <c r="AG77" i="2"/>
  <c r="AG68" i="2"/>
  <c r="K77" i="2"/>
  <c r="K68" i="2"/>
  <c r="AL68" i="2"/>
  <c r="AL77" i="2"/>
  <c r="AH68" i="2"/>
  <c r="AH77" i="2"/>
  <c r="AI28" i="2"/>
  <c r="K104" i="2"/>
  <c r="L68" i="2"/>
  <c r="L77" i="2"/>
  <c r="F63" i="2"/>
  <c r="F65" i="2" s="1"/>
  <c r="F26" i="2"/>
  <c r="D23" i="2"/>
  <c r="W68" i="2"/>
  <c r="W77" i="2"/>
  <c r="N68" i="2"/>
  <c r="N77" i="2"/>
  <c r="S77" i="2"/>
  <c r="S68" i="2"/>
  <c r="U68" i="2"/>
  <c r="U77" i="2"/>
  <c r="AF77" i="2"/>
  <c r="AF68" i="2"/>
  <c r="P68" i="2"/>
  <c r="P77" i="2"/>
  <c r="AI65" i="2"/>
  <c r="K118" i="2"/>
  <c r="AC68" i="2"/>
  <c r="AC77" i="2"/>
  <c r="Q68" i="2"/>
  <c r="Q77" i="2"/>
  <c r="AM77" i="2"/>
  <c r="AM68" i="2"/>
  <c r="T28" i="2"/>
  <c r="H104" i="2"/>
  <c r="Y28" i="2"/>
  <c r="I104" i="2"/>
  <c r="H68" i="2"/>
  <c r="H77" i="2"/>
  <c r="AK77" i="2"/>
  <c r="AK68" i="2"/>
  <c r="Z68" i="2"/>
  <c r="Z77" i="2"/>
  <c r="AE77" i="2"/>
  <c r="AE68" i="2"/>
  <c r="AA77" i="2"/>
  <c r="AA68" i="2"/>
  <c r="J104" i="2"/>
  <c r="AD28" i="2"/>
  <c r="R68" i="2"/>
  <c r="R77" i="2"/>
  <c r="G118" i="2"/>
  <c r="O65" i="2"/>
  <c r="J28" i="2"/>
  <c r="F104" i="2"/>
  <c r="AB77" i="2"/>
  <c r="AB68" i="2"/>
  <c r="I77" i="2"/>
  <c r="I68" i="2"/>
  <c r="V77" i="2"/>
  <c r="V68" i="2"/>
  <c r="G104" i="2"/>
  <c r="O28" i="2"/>
  <c r="J118" i="2"/>
  <c r="AD65" i="2"/>
  <c r="X68" i="2"/>
  <c r="X77" i="2"/>
  <c r="T65" i="2"/>
  <c r="H118" i="2"/>
  <c r="F118" i="2"/>
  <c r="J65" i="2"/>
  <c r="Y65" i="2"/>
  <c r="I118" i="2"/>
  <c r="M68" i="2"/>
  <c r="M77" i="2"/>
  <c r="AN29" i="2"/>
  <c r="L106" i="2"/>
  <c r="L120" i="2"/>
  <c r="AN77" i="2"/>
  <c r="AN68" i="2"/>
  <c r="R91" i="2" l="1"/>
  <c r="R90" i="2"/>
  <c r="I90" i="2"/>
  <c r="I91" i="2"/>
  <c r="T29" i="2"/>
  <c r="H106" i="2"/>
  <c r="AI68" i="2"/>
  <c r="AI77" i="2"/>
  <c r="K120" i="2"/>
  <c r="S90" i="2"/>
  <c r="S91" i="2"/>
  <c r="L91" i="2"/>
  <c r="L90" i="2"/>
  <c r="V91" i="2"/>
  <c r="V90" i="2"/>
  <c r="M90" i="2"/>
  <c r="M91" i="2"/>
  <c r="Z90" i="2"/>
  <c r="Z91" i="2"/>
  <c r="P90" i="2"/>
  <c r="P91" i="2"/>
  <c r="N91" i="2"/>
  <c r="N90" i="2"/>
  <c r="K90" i="2"/>
  <c r="K91" i="2"/>
  <c r="J106" i="2"/>
  <c r="AD29" i="2"/>
  <c r="AM90" i="2"/>
  <c r="AM91" i="2"/>
  <c r="H120" i="2"/>
  <c r="T68" i="2"/>
  <c r="T77" i="2"/>
  <c r="I106" i="2"/>
  <c r="Y29" i="2"/>
  <c r="AD77" i="2"/>
  <c r="AD68" i="2"/>
  <c r="J120" i="2"/>
  <c r="J77" i="2"/>
  <c r="J68" i="2"/>
  <c r="F120" i="2"/>
  <c r="O29" i="2"/>
  <c r="G106" i="2"/>
  <c r="H91" i="2"/>
  <c r="H90" i="2"/>
  <c r="Q91" i="2"/>
  <c r="Q90" i="2"/>
  <c r="W90" i="2"/>
  <c r="W91" i="2"/>
  <c r="K106" i="2"/>
  <c r="AI29" i="2"/>
  <c r="AG90" i="2"/>
  <c r="AG91" i="2"/>
  <c r="F28" i="2"/>
  <c r="D26" i="2"/>
  <c r="F69" i="2"/>
  <c r="F68" i="2"/>
  <c r="F77" i="2"/>
  <c r="J29" i="2"/>
  <c r="F106" i="2"/>
  <c r="AA90" i="2"/>
  <c r="AA91" i="2"/>
  <c r="AF90" i="2"/>
  <c r="AF91" i="2"/>
  <c r="AH91" i="2"/>
  <c r="AH90" i="2"/>
  <c r="AE91" i="2"/>
  <c r="AE90" i="2"/>
  <c r="AL91" i="2"/>
  <c r="AL90" i="2"/>
  <c r="X90" i="2"/>
  <c r="X91" i="2"/>
  <c r="Y77" i="2"/>
  <c r="I120" i="2"/>
  <c r="Y68" i="2"/>
  <c r="AB91" i="2"/>
  <c r="AB90" i="2"/>
  <c r="AK90" i="2"/>
  <c r="AK91" i="2"/>
  <c r="G120" i="2"/>
  <c r="O68" i="2"/>
  <c r="O77" i="2"/>
  <c r="AC91" i="2"/>
  <c r="AC90" i="2"/>
  <c r="U91" i="2"/>
  <c r="U90" i="2"/>
  <c r="AJ90" i="2"/>
  <c r="AJ91" i="2"/>
  <c r="AN91" i="2"/>
  <c r="AN90" i="2"/>
  <c r="AC89" i="2" l="1"/>
  <c r="G69" i="2"/>
  <c r="AL89" i="2"/>
  <c r="O91" i="2"/>
  <c r="O90" i="2"/>
  <c r="T91" i="2"/>
  <c r="T90" i="2"/>
  <c r="K89" i="2"/>
  <c r="AM89" i="2"/>
  <c r="AI89" i="2"/>
  <c r="AF89" i="2"/>
  <c r="F29" i="2"/>
  <c r="D28" i="2"/>
  <c r="D29" i="2" s="1"/>
  <c r="Y90" i="2"/>
  <c r="Y91" i="2"/>
  <c r="J91" i="2"/>
  <c r="J90" i="2"/>
  <c r="H89" i="2"/>
  <c r="F89" i="2"/>
  <c r="G89" i="2"/>
  <c r="I89" i="2"/>
  <c r="M89" i="2"/>
  <c r="L89" i="2"/>
  <c r="J89" i="2"/>
  <c r="N89" i="2"/>
  <c r="O89" i="2"/>
  <c r="P89" i="2"/>
  <c r="R89" i="2"/>
  <c r="Q89" i="2"/>
  <c r="S89" i="2"/>
  <c r="U89" i="2"/>
  <c r="T89" i="2"/>
  <c r="W89" i="2"/>
  <c r="Z89" i="2"/>
  <c r="AE89" i="2"/>
  <c r="Y89" i="2"/>
  <c r="D81" i="2"/>
  <c r="D11" i="1" s="1"/>
  <c r="BN17" i="7" s="1"/>
  <c r="AK89" i="2"/>
  <c r="AJ89" i="2"/>
  <c r="X89" i="2"/>
  <c r="AN89" i="2"/>
  <c r="V89" i="2"/>
  <c r="AD89" i="2"/>
  <c r="AG89" i="2"/>
  <c r="D82" i="2"/>
  <c r="BN18" i="7" s="1"/>
  <c r="AH89" i="2"/>
  <c r="AB89" i="2"/>
  <c r="F90" i="2"/>
  <c r="F78" i="2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Q78" i="2" s="1"/>
  <c r="R78" i="2" s="1"/>
  <c r="S78" i="2" s="1"/>
  <c r="T78" i="2" s="1"/>
  <c r="U78" i="2" s="1"/>
  <c r="V78" i="2" s="1"/>
  <c r="W78" i="2" s="1"/>
  <c r="X78" i="2" s="1"/>
  <c r="Y78" i="2" s="1"/>
  <c r="Z78" i="2" s="1"/>
  <c r="AA78" i="2" s="1"/>
  <c r="AB78" i="2" s="1"/>
  <c r="AC78" i="2" s="1"/>
  <c r="AD78" i="2" s="1"/>
  <c r="AE78" i="2" s="1"/>
  <c r="AF78" i="2" s="1"/>
  <c r="AG78" i="2" s="1"/>
  <c r="AH78" i="2" s="1"/>
  <c r="AI78" i="2" s="1"/>
  <c r="AJ78" i="2" s="1"/>
  <c r="AK78" i="2" s="1"/>
  <c r="AL78" i="2" s="1"/>
  <c r="AM78" i="2" s="1"/>
  <c r="AN78" i="2" s="1"/>
  <c r="F91" i="2"/>
  <c r="AA89" i="2"/>
  <c r="AD91" i="2"/>
  <c r="AD90" i="2"/>
  <c r="AI91" i="2"/>
  <c r="AI90" i="2"/>
  <c r="D84" i="2" l="1"/>
  <c r="D16" i="1" s="1"/>
  <c r="BN20" i="7"/>
  <c r="H69" i="2"/>
  <c r="I69" i="2" l="1"/>
  <c r="J69" i="2" l="1"/>
  <c r="K69" i="2" l="1"/>
  <c r="L69" i="2" l="1"/>
  <c r="M69" i="2" l="1"/>
  <c r="N69" i="2" l="1"/>
  <c r="O69" i="2" l="1"/>
  <c r="P69" i="2" l="1"/>
  <c r="Q69" i="2" l="1"/>
  <c r="R69" i="2" l="1"/>
  <c r="S69" i="2" l="1"/>
  <c r="T69" i="2" l="1"/>
  <c r="U69" i="2" l="1"/>
  <c r="V69" i="2" l="1"/>
  <c r="W69" i="2" l="1"/>
  <c r="X69" i="2" l="1"/>
  <c r="Y69" i="2" l="1"/>
  <c r="Z69" i="2" l="1"/>
  <c r="AA69" i="2" l="1"/>
  <c r="AB69" i="2" l="1"/>
  <c r="AC69" i="2" l="1"/>
  <c r="AD69" i="2" l="1"/>
  <c r="AE69" i="2" l="1"/>
  <c r="AF69" i="2" l="1"/>
  <c r="AG69" i="2" l="1"/>
  <c r="AH69" i="2" l="1"/>
  <c r="AI69" i="2" l="1"/>
  <c r="AJ69" i="2" l="1"/>
  <c r="AK69" i="2" l="1"/>
  <c r="AL69" i="2" l="1"/>
  <c r="AM69" i="2" l="1"/>
  <c r="AN69" i="2" l="1"/>
  <c r="AL87" i="2" s="1"/>
  <c r="AD87" i="2" l="1"/>
  <c r="AJ87" i="2"/>
  <c r="AF87" i="2"/>
  <c r="AH87" i="2"/>
  <c r="AM87" i="2"/>
  <c r="AN87" i="2"/>
  <c r="D85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K87" i="2"/>
  <c r="AI87" i="2"/>
  <c r="AE87" i="2"/>
  <c r="AG87" i="2"/>
  <c r="AC87" i="2"/>
  <c r="D87" i="2" l="1"/>
  <c r="D12" i="1" s="1"/>
  <c r="BN21" i="7" s="1"/>
  <c r="D14" i="1"/>
  <c r="D86" i="2"/>
</calcChain>
</file>

<file path=xl/comments1.xml><?xml version="1.0" encoding="utf-8"?>
<comments xmlns="http://schemas.openxmlformats.org/spreadsheetml/2006/main">
  <authors>
    <author>Eduardo Sá</author>
  </authors>
  <commentList>
    <comment ref="K21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https://exame.com/invest/minhas-financas/preco-medio-da-refeicao-fora-de-casa-no-pais-chega-a-r-4660/
</t>
        </r>
      </text>
    </comment>
    <comment ref="K25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=Vagas ocupadas (ano) * Demanda atendida*Valor médio gasto por hóspede em um dia de hospedagem
</t>
        </r>
      </text>
    </comment>
    <comment ref="C65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Como não há CCT para o município de Pedro II , adotou-se como referencia a CCT do SINDHOGASTRO de 2024; 
Fonte? https://sindicatodahotelaria.com.br/convencoes-coletivas/convencoes-coletivas-teresina-e-demais-cidades/</t>
        </r>
      </text>
    </comment>
    <comment ref="L108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verificar valor para 2024
</t>
        </r>
      </text>
    </comment>
    <comment ref="K157" authorId="0" shapeId="0">
      <text>
        <r>
          <rPr>
            <b/>
            <sz val="9"/>
            <color indexed="81"/>
            <rFont val="Segoe UI"/>
            <family val="2"/>
          </rPr>
          <t>Eduardo Sá:
Exemplo: Agência de Viagens</t>
        </r>
      </text>
    </comment>
  </commentList>
</comments>
</file>

<file path=xl/comments2.xml><?xml version="1.0" encoding="utf-8"?>
<comments xmlns="http://schemas.openxmlformats.org/spreadsheetml/2006/main">
  <authors>
    <author>Eduardo Sá</author>
  </authors>
  <commentList>
    <comment ref="C8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PIS – Programa de Integração Social:
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Cofins – Contribuição para o Financiamento da Seguridade Social: 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ISS – Imposto sobre Serviços de Qualquer Natureza - alíquota de 2% a 5% a depender do município;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ICMS – Imposto sobre Operações Relativas à Circulação de Mercadorias e Sobre Prestações de Serviços de Transporte Interestadual e Intermunicipal e de Comunicação: alíquota depende do estado e requer verificação.</t>
        </r>
      </text>
    </comment>
    <comment ref="D17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da base de Cálculo
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Eduardo Sá:</t>
        </r>
        <r>
          <rPr>
            <sz val="9"/>
            <color indexed="81"/>
            <rFont val="Segoe UI"/>
            <family val="2"/>
          </rPr>
          <t xml:space="preserve">
Alíquota de Presunção
que incide sobre o Faturamento Bruto
</t>
        </r>
      </text>
    </comment>
  </commentList>
</comments>
</file>

<file path=xl/sharedStrings.xml><?xml version="1.0" encoding="utf-8"?>
<sst xmlns="http://schemas.openxmlformats.org/spreadsheetml/2006/main" count="988" uniqueCount="717">
  <si>
    <t>Premissas Gerais</t>
  </si>
  <si>
    <t xml:space="preserve">RECEITA </t>
  </si>
  <si>
    <t xml:space="preserve">Prazo da concessão </t>
  </si>
  <si>
    <t xml:space="preserve">Receita Bruta Mensal </t>
  </si>
  <si>
    <t xml:space="preserve">CAPEX </t>
  </si>
  <si>
    <t xml:space="preserve">Início </t>
  </si>
  <si>
    <t xml:space="preserve">financiado </t>
  </si>
  <si>
    <t>Fim</t>
  </si>
  <si>
    <t>Mês</t>
  </si>
  <si>
    <t xml:space="preserve">Temporada </t>
  </si>
  <si>
    <t>Demanda por mês</t>
  </si>
  <si>
    <t>Qtde. Meses</t>
  </si>
  <si>
    <t>Total da Temporada</t>
  </si>
  <si>
    <t>capital próprio</t>
  </si>
  <si>
    <t>Temporada</t>
  </si>
  <si>
    <t>Alta</t>
  </si>
  <si>
    <t>WACC real</t>
  </si>
  <si>
    <t>%Outorga</t>
  </si>
  <si>
    <t>%occ</t>
  </si>
  <si>
    <t>Média</t>
  </si>
  <si>
    <t>VPL</t>
  </si>
  <si>
    <t>Preço dos quartos plenos</t>
  </si>
  <si>
    <t>Baixa</t>
  </si>
  <si>
    <t>Payback</t>
  </si>
  <si>
    <t>Prazo de Obras</t>
  </si>
  <si>
    <t>Ano 01 e 02</t>
  </si>
  <si>
    <t xml:space="preserve">Receita Mensal </t>
  </si>
  <si>
    <t>A- Demanda Efetiva de Diárias (ano)</t>
  </si>
  <si>
    <t>Ano de geração liquida de caixa</t>
  </si>
  <si>
    <t>Carência Outorga</t>
  </si>
  <si>
    <t>Ano 03</t>
  </si>
  <si>
    <t>(=) Preço* Número de quartos * 30 * %ocupação</t>
  </si>
  <si>
    <t>B- Oferta Total de diárias (ano)</t>
  </si>
  <si>
    <t>Exp. Máx. Cx. Firma (real)</t>
  </si>
  <si>
    <t>1º ano gerador de outorga</t>
  </si>
  <si>
    <t>%occ Média anual do hotel (A/B)</t>
  </si>
  <si>
    <t>Mg. EBITDA</t>
  </si>
  <si>
    <t>1º ano de efetivo pgto.</t>
  </si>
  <si>
    <t>Mg. Líquida</t>
  </si>
  <si>
    <t xml:space="preserve">Receita Anual </t>
  </si>
  <si>
    <t xml:space="preserve">OPEX Médio </t>
  </si>
  <si>
    <t>Valor de IPTU</t>
  </si>
  <si>
    <t>fonte: guia de pgto IPTU 2023 (emitido em fevereiro de 2024)</t>
  </si>
  <si>
    <t>Receita Anual Auferida - Hospedagem</t>
  </si>
  <si>
    <t>(=) soma das receitas mensais</t>
  </si>
  <si>
    <t>Compartihamento do Faturamento do Restaurante= Aliquota de compartilhamento do faturamento * estimativa de faturamento</t>
  </si>
  <si>
    <t>Anual</t>
  </si>
  <si>
    <t xml:space="preserve">Subsídio </t>
  </si>
  <si>
    <t>Mensal</t>
  </si>
  <si>
    <t>Receita Anual Auferida - Arrendamento</t>
  </si>
  <si>
    <t>Valor médio da Refeição - combo comercial (R$)</t>
  </si>
  <si>
    <t>Quantidade de refeições no Hotel (hósp/dia)</t>
  </si>
  <si>
    <t>Valor médio  gasto (R$/hósp/dia)</t>
  </si>
  <si>
    <t>Demanda hospedada atendida (%)</t>
  </si>
  <si>
    <t>Estimativa de faturamento do Restaurante</t>
  </si>
  <si>
    <t>PREMISSAS GERAIS DE OCUPAÇÃO</t>
  </si>
  <si>
    <t>Compartihamento do Faturamento do Restaurante</t>
  </si>
  <si>
    <t>Estimativa de receita com restaurante arrendado</t>
  </si>
  <si>
    <t xml:space="preserve">Sazonalidade </t>
  </si>
  <si>
    <t>Janeiro</t>
  </si>
  <si>
    <t>Fevereiro</t>
  </si>
  <si>
    <t>Consolidação RB Anual</t>
  </si>
  <si>
    <t>Março</t>
  </si>
  <si>
    <t>CARNAVAL</t>
  </si>
  <si>
    <t>Abril</t>
  </si>
  <si>
    <t>SEMANA SANTA</t>
  </si>
  <si>
    <t>Hospedagem</t>
  </si>
  <si>
    <t>Maio</t>
  </si>
  <si>
    <t>Arrendamento Restaurante</t>
  </si>
  <si>
    <t>Junho</t>
  </si>
  <si>
    <t>FESTEJO LOCAL</t>
  </si>
  <si>
    <t>Receita Anual</t>
  </si>
  <si>
    <t>Julho</t>
  </si>
  <si>
    <t>FÉRIAS</t>
  </si>
  <si>
    <t>Agosto</t>
  </si>
  <si>
    <t>Receita Total (35 anos)</t>
  </si>
  <si>
    <t>Receita Média Anual</t>
  </si>
  <si>
    <t>Setembro</t>
  </si>
  <si>
    <t>Receita Anual Média</t>
  </si>
  <si>
    <t>Outubro</t>
  </si>
  <si>
    <t>Receita Mensal Média</t>
  </si>
  <si>
    <t>Novembro</t>
  </si>
  <si>
    <t>Total</t>
  </si>
  <si>
    <t>Dezembro</t>
  </si>
  <si>
    <t>Opex</t>
  </si>
  <si>
    <t>Taxa de ocupação por Temporada</t>
  </si>
  <si>
    <t>Qtde. meses da temporada</t>
  </si>
  <si>
    <t>FOPAG  Direta</t>
  </si>
  <si>
    <t>Serviço de Terceiros</t>
  </si>
  <si>
    <t>Energia</t>
  </si>
  <si>
    <t>Água</t>
  </si>
  <si>
    <t>Demais despesas</t>
  </si>
  <si>
    <t>Leitos</t>
  </si>
  <si>
    <t>Qtde. Quartos</t>
  </si>
  <si>
    <t>Diária quarto pleno (Média temporada)</t>
  </si>
  <si>
    <t>Opex Médio (Anual)</t>
  </si>
  <si>
    <t>acréscimo para alta temporada</t>
  </si>
  <si>
    <t>Opex Médio (Mensal)</t>
  </si>
  <si>
    <t>desconto para baixa temporada</t>
  </si>
  <si>
    <t>FOPAG</t>
  </si>
  <si>
    <t>Quantidade</t>
  </si>
  <si>
    <t>Peso</t>
  </si>
  <si>
    <t>Salário Bruto</t>
  </si>
  <si>
    <t>Encargos Básicos (Sociais e Trabalhistas)</t>
  </si>
  <si>
    <t>Custo do Funcionário</t>
  </si>
  <si>
    <t xml:space="preserve">Custo Total 
</t>
  </si>
  <si>
    <t>Disponibilidade de UH e vagas</t>
  </si>
  <si>
    <t>Tipo de UH - Suítes</t>
  </si>
  <si>
    <t>Dia</t>
  </si>
  <si>
    <t>Ano</t>
  </si>
  <si>
    <t>Gerente-Geral</t>
  </si>
  <si>
    <t xml:space="preserve">UH disponíveis </t>
  </si>
  <si>
    <t>Auxiliar Administrativo</t>
  </si>
  <si>
    <t>Vagas /leitos</t>
  </si>
  <si>
    <t>Estagiários</t>
  </si>
  <si>
    <t>Camareira</t>
  </si>
  <si>
    <t>Parâmetros FOPAG</t>
  </si>
  <si>
    <t>Recepcionista</t>
  </si>
  <si>
    <t>SM 2024</t>
  </si>
  <si>
    <t>Lavadeiras</t>
  </si>
  <si>
    <t>Piso da categoria de referência</t>
  </si>
  <si>
    <t>Segurança</t>
  </si>
  <si>
    <t>Diferença</t>
  </si>
  <si>
    <t>Serviços Gerais /Limpeza</t>
  </si>
  <si>
    <t>SM 2025</t>
  </si>
  <si>
    <t>Governo prevê salário mínimo de R$ 1.502 em 2025 e R$ 1.772 em 2028 – Noticias R7</t>
  </si>
  <si>
    <t>Simulação de Piso</t>
  </si>
  <si>
    <t>Total Mensal</t>
  </si>
  <si>
    <t>Total Anual</t>
  </si>
  <si>
    <t>OPEX (DATA BASE 2024)</t>
  </si>
  <si>
    <t>Serviços de Terceiros</t>
  </si>
  <si>
    <t>Descrição</t>
  </si>
  <si>
    <t>Método de Cálculo</t>
  </si>
  <si>
    <t>Valor Mensal</t>
  </si>
  <si>
    <t>Valor Anual</t>
  </si>
  <si>
    <t>Estimativa</t>
  </si>
  <si>
    <t>Manutenção</t>
  </si>
  <si>
    <t>Manutenção Geral</t>
  </si>
  <si>
    <t>Provisão</t>
  </si>
  <si>
    <t>Jardinagem</t>
  </si>
  <si>
    <t xml:space="preserve">Manutenção Mobiliário (mensal) </t>
  </si>
  <si>
    <t>Insumos Lavanderia/Hospedagem/Administração/ Enxoval</t>
  </si>
  <si>
    <t>T.I</t>
  </si>
  <si>
    <t>Uniformes, fardamentos e EPI</t>
  </si>
  <si>
    <t>Marketing</t>
  </si>
  <si>
    <t>Internet</t>
  </si>
  <si>
    <t xml:space="preserve">Contabilidade </t>
  </si>
  <si>
    <t>Jurídico</t>
  </si>
  <si>
    <t>TOTAL</t>
  </si>
  <si>
    <t>Uniformes</t>
  </si>
  <si>
    <t>Preços Referenciais</t>
  </si>
  <si>
    <t>Setor</t>
  </si>
  <si>
    <t>Itens Uniforme</t>
  </si>
  <si>
    <t>Valor Item</t>
  </si>
  <si>
    <t>Valor  Uniforme</t>
  </si>
  <si>
    <t>Quantidade de Funcionários</t>
  </si>
  <si>
    <t>Valor Total Categoria</t>
  </si>
  <si>
    <t>Acomodação</t>
  </si>
  <si>
    <t>Valor da acomodação (5 dias)</t>
  </si>
  <si>
    <t xml:space="preserve">taxas e impostos </t>
  </si>
  <si>
    <t>Valor total</t>
  </si>
  <si>
    <t>Diária</t>
  </si>
  <si>
    <t>Serviços gerais e Limpeza</t>
  </si>
  <si>
    <t>Uniforme</t>
  </si>
  <si>
    <t>Pousada Neblina</t>
  </si>
  <si>
    <t>Tenis Beira Rio</t>
  </si>
  <si>
    <t xml:space="preserve">Apartamento </t>
  </si>
  <si>
    <t>Chalé 08 - Serra dos Matões</t>
  </si>
  <si>
    <t>Rede para cabelo, com laço</t>
  </si>
  <si>
    <t>Casa de Férias</t>
  </si>
  <si>
    <t>Canrobert Village</t>
  </si>
  <si>
    <t>Calça Vigilante+ Coturno Militar + Camiseta Segurança+ Cinto</t>
  </si>
  <si>
    <t>Casa em Pedro II</t>
  </si>
  <si>
    <t>Tonfa injetada</t>
  </si>
  <si>
    <t>Casa em pedro II (Opção 2)</t>
  </si>
  <si>
    <t>Porta Tonfa</t>
  </si>
  <si>
    <t>Cabana em Pedro II</t>
  </si>
  <si>
    <t>Camisa Social Fem.</t>
  </si>
  <si>
    <t>Calça Social</t>
  </si>
  <si>
    <t>Conjunto de Camiseta Básica Branca e Bermuda Branca</t>
  </si>
  <si>
    <t>Pesquisa Realizada no Site Booking.com e AirBnb em 22 de setembro de 2024 para a data de 4/11 a  9/11 de 2024 e de 1 a 6 de novembro, respectivamente</t>
  </si>
  <si>
    <t>Estimativa de consumo de energia (variável)</t>
  </si>
  <si>
    <t>Todos os estabelecimentos possuem classificação acima de 8</t>
  </si>
  <si>
    <t>UH</t>
  </si>
  <si>
    <t>Equipamento</t>
  </si>
  <si>
    <t>Potência (W)</t>
  </si>
  <si>
    <t>Uso Diário (H/dia)</t>
  </si>
  <si>
    <t>Dias usados (Mês)</t>
  </si>
  <si>
    <t>Consumo (kWh/Mês)</t>
  </si>
  <si>
    <t>Valor unitário</t>
  </si>
  <si>
    <t xml:space="preserve">Suíte </t>
  </si>
  <si>
    <t>Eletrodoméstico</t>
  </si>
  <si>
    <t xml:space="preserve"> Lâmpadas led alta potência 20w luz branca 1400lm - geral </t>
  </si>
  <si>
    <t xml:space="preserve"> Lâmpadas led alta potência 20w luz branca 1400lm - Banheiro</t>
  </si>
  <si>
    <t xml:space="preserve">Ar condicionado 12 mil BTUS </t>
  </si>
  <si>
    <t xml:space="preserve">Televisão Smart 32'' </t>
  </si>
  <si>
    <t xml:space="preserve">Frigobar 45 Litros </t>
  </si>
  <si>
    <t>Energia - Fixa</t>
  </si>
  <si>
    <t>Verde</t>
  </si>
  <si>
    <t>Valor</t>
  </si>
  <si>
    <t>Tipo</t>
  </si>
  <si>
    <t>Amarela</t>
  </si>
  <si>
    <t>Tarifa</t>
  </si>
  <si>
    <t>Público</t>
  </si>
  <si>
    <t>Vermelha 1</t>
  </si>
  <si>
    <t xml:space="preserve">Consumo </t>
  </si>
  <si>
    <t>kWh</t>
  </si>
  <si>
    <t>Vermelha 2</t>
  </si>
  <si>
    <t>Bandeira Tarifária</t>
  </si>
  <si>
    <t>R$</t>
  </si>
  <si>
    <t>Energia - Variável</t>
  </si>
  <si>
    <t>Consumo Médio Mensal - Suíte</t>
  </si>
  <si>
    <t>kWh - Mensal</t>
  </si>
  <si>
    <t>Custo Energia (Variável/Mês)</t>
  </si>
  <si>
    <t>Custo Fixo (mensal)</t>
  </si>
  <si>
    <t>(=) Qtde. de quarto ocupados no mês * consumo médio por quarto * (tarifa + bandeira)</t>
  </si>
  <si>
    <t>Total por temporada</t>
  </si>
  <si>
    <t>Qtde. meses</t>
  </si>
  <si>
    <t>Média por mês de temporada</t>
  </si>
  <si>
    <t>Média mensal</t>
  </si>
  <si>
    <t>Estimativa de consumo A&amp;E</t>
  </si>
  <si>
    <t>Água e Esgoto</t>
  </si>
  <si>
    <t>Tarifa - Água</t>
  </si>
  <si>
    <t>M³ (Público)</t>
  </si>
  <si>
    <t>Tarifa - Esgoto</t>
  </si>
  <si>
    <t>M³/Hóspede/Mês</t>
  </si>
  <si>
    <t>Utilização de fornecimento público</t>
  </si>
  <si>
    <t>%</t>
  </si>
  <si>
    <t>Consumo de água (M3)</t>
  </si>
  <si>
    <t>Custo de água e esgoto</t>
  </si>
  <si>
    <t>(=) Qtde. de hóspede (dia) *Consumo médio mensal por hóspede</t>
  </si>
  <si>
    <t>Ano 0</t>
  </si>
  <si>
    <t>Ano 1</t>
  </si>
  <si>
    <t>Comissionamento de Parceiro de vendas</t>
  </si>
  <si>
    <t>Prazos médios de Capital de Giro</t>
  </si>
  <si>
    <t xml:space="preserve">Descrição </t>
  </si>
  <si>
    <t>Unid.</t>
  </si>
  <si>
    <t>Contas a receber</t>
  </si>
  <si>
    <t>Dias</t>
  </si>
  <si>
    <t>Estoques</t>
  </si>
  <si>
    <t>Fornecedores</t>
  </si>
  <si>
    <t>Contas Auxiliares</t>
  </si>
  <si>
    <t>Dias do ano</t>
  </si>
  <si>
    <t>Meses</t>
  </si>
  <si>
    <t>Receita com Arrendamento do Restaurante</t>
  </si>
  <si>
    <t>Qtde. de Quartos</t>
  </si>
  <si>
    <t>%occ na temporada</t>
  </si>
  <si>
    <t>quartos ocupados</t>
  </si>
  <si>
    <t>Leitos Ocupados (mês)</t>
  </si>
  <si>
    <t>Vagas ocupadas (ano)</t>
  </si>
  <si>
    <t>% de subutilização</t>
  </si>
  <si>
    <t>Vagas ocupadas efetivamente</t>
  </si>
  <si>
    <t>Hotel Rimo Pedro II - Demonstrações Financeiras</t>
  </si>
  <si>
    <t>1. Receita Bruta (+)</t>
  </si>
  <si>
    <t xml:space="preserve">1.1. Hospedagem </t>
  </si>
  <si>
    <t>1.2 Arrendamento do Restaurante</t>
  </si>
  <si>
    <t xml:space="preserve">2. Deduções da Receita Bruta (-) </t>
  </si>
  <si>
    <t>2.1 Impostos sobre a receita bruta</t>
  </si>
  <si>
    <t xml:space="preserve">2.2 Comissionamento do Parceiro de Vendas </t>
  </si>
  <si>
    <t>2.3 Créditos de PIS/COFINS (+)</t>
  </si>
  <si>
    <t>3. Receita Operacional Líquida (=)</t>
  </si>
  <si>
    <t xml:space="preserve"> 4. Custos e Despesas Operacionais (-)</t>
  </si>
  <si>
    <t>4.1 Opex (-)</t>
  </si>
  <si>
    <t>4.2 Outorga Variável (-)</t>
  </si>
  <si>
    <t>4.3 Seguros e Garantias</t>
  </si>
  <si>
    <t>4.4 IPTU (-)</t>
  </si>
  <si>
    <t>5. EBITDA (=)</t>
  </si>
  <si>
    <t>Margem EBITDA (% da receita líquida)</t>
  </si>
  <si>
    <t>5.1 Depreciação e Amortização (-)</t>
  </si>
  <si>
    <t xml:space="preserve">6. EBIT </t>
  </si>
  <si>
    <t>6.1 Resultado financeiro (+/-)</t>
  </si>
  <si>
    <t>6.2 Receita Financeira</t>
  </si>
  <si>
    <t>6.3 Despesa Financeira</t>
  </si>
  <si>
    <t>7. EBT (LAIR)</t>
  </si>
  <si>
    <t>7.1 Impostos Correntes  -  CSSL e IRPJ (-)</t>
  </si>
  <si>
    <t>8. Lucro ou Prejuízo Líquido</t>
  </si>
  <si>
    <t>Margem Líquida (% da receita líquida)</t>
  </si>
  <si>
    <t>Balanço Patrimonial (BP)</t>
  </si>
  <si>
    <t>Ativo</t>
  </si>
  <si>
    <t>Caixa</t>
  </si>
  <si>
    <t>Contas a Receber</t>
  </si>
  <si>
    <t>Crédito Tributário</t>
  </si>
  <si>
    <t>Imobilizado e Intangível</t>
  </si>
  <si>
    <t>Passivo e Patrimônio Líquido</t>
  </si>
  <si>
    <t>Contas a Pagar</t>
  </si>
  <si>
    <t>Outorga a Pagar</t>
  </si>
  <si>
    <t>Equity + Dívida</t>
  </si>
  <si>
    <t>Cálculo Imobilizado</t>
  </si>
  <si>
    <t>Imobilizado BoP</t>
  </si>
  <si>
    <t>Adição</t>
  </si>
  <si>
    <t>Capex</t>
  </si>
  <si>
    <t>Outorga Fixa</t>
  </si>
  <si>
    <t>Amortização / Depreciação CAPEX</t>
  </si>
  <si>
    <t xml:space="preserve">Reinvestimento </t>
  </si>
  <si>
    <t>Amortização/Depreciação de Reinvestimento</t>
  </si>
  <si>
    <t>Imobilziado EoP</t>
  </si>
  <si>
    <t>DFC indireto</t>
  </si>
  <si>
    <t>(=) EBITDA</t>
  </si>
  <si>
    <t>(-) Investimentos</t>
  </si>
  <si>
    <t>Capex Total</t>
  </si>
  <si>
    <t>Capex - Investimento</t>
  </si>
  <si>
    <t>Capex Reinvestimento</t>
  </si>
  <si>
    <t>Outorga Fixa e Reembolso Estudos</t>
  </si>
  <si>
    <t>Subsídio Governo do Piauí</t>
  </si>
  <si>
    <r>
      <t xml:space="preserve">(+/-) </t>
    </r>
    <r>
      <rPr>
        <b/>
        <sz val="9"/>
        <color theme="1"/>
        <rFont val="Arial (body)"/>
        <charset val="1"/>
      </rPr>
      <t>Δ</t>
    </r>
    <r>
      <rPr>
        <b/>
        <sz val="9"/>
        <color theme="1"/>
        <rFont val="Arial (body)"/>
        <family val="2"/>
      </rPr>
      <t xml:space="preserve"> Kgiro</t>
    </r>
  </si>
  <si>
    <t xml:space="preserve">(+/-) Resultado Financeiro </t>
  </si>
  <si>
    <t xml:space="preserve">(-) IRPJ/CSLL </t>
  </si>
  <si>
    <t>(=) FCFE real (maio/2025)</t>
  </si>
  <si>
    <t>FCFE real</t>
  </si>
  <si>
    <t>FCFE Acum Real</t>
  </si>
  <si>
    <t>Contas Auxiliares:</t>
  </si>
  <si>
    <t>Kgiro</t>
  </si>
  <si>
    <t>Créditos Tributários</t>
  </si>
  <si>
    <t xml:space="preserve">Mid Year Factor </t>
  </si>
  <si>
    <t>Fator de Desconto</t>
  </si>
  <si>
    <t>FCFE descontado</t>
  </si>
  <si>
    <t>FCFE descontado Acum</t>
  </si>
  <si>
    <t>Indicadores Gerais</t>
  </si>
  <si>
    <t>TIR</t>
  </si>
  <si>
    <t>Data Exp Máxima</t>
  </si>
  <si>
    <t>Primeiro ano de geração líquida de caixa</t>
  </si>
  <si>
    <t>VPL Acumulado</t>
  </si>
  <si>
    <t>FCFE Descontado Positivo</t>
  </si>
  <si>
    <t>FCFE Descontado Negativo</t>
  </si>
  <si>
    <t>Resumo DRE (A cada 5 anos)</t>
  </si>
  <si>
    <t>Resumo DFC (A cada 5 anos)</t>
  </si>
  <si>
    <t>SEGUROS E GARANTIAS</t>
  </si>
  <si>
    <t>Garantia de Execução</t>
  </si>
  <si>
    <t>Risco de engenharia</t>
  </si>
  <si>
    <t>Risco Operacional</t>
  </si>
  <si>
    <t>Responsabilidade civil</t>
  </si>
  <si>
    <t xml:space="preserve">Total </t>
  </si>
  <si>
    <t xml:space="preserve">    Valor do Contrato</t>
  </si>
  <si>
    <t xml:space="preserve">      % Contrato</t>
  </si>
  <si>
    <t xml:space="preserve">      %Prêmio</t>
  </si>
  <si>
    <t xml:space="preserve">       Prêmio Estimado</t>
  </si>
  <si>
    <t>Risco Engenharia</t>
  </si>
  <si>
    <r>
      <t>Custo Seguro R.E = (CAPEX * %Assegurado</t>
    </r>
    <r>
      <rPr>
        <i/>
        <vertAlign val="superscript"/>
        <sz val="8"/>
        <color theme="1"/>
        <rFont val="Arial"/>
        <family val="2"/>
      </rPr>
      <t xml:space="preserve"> (CAPEX)</t>
    </r>
    <r>
      <rPr>
        <i/>
        <sz val="8"/>
        <color theme="1"/>
        <rFont val="Arial"/>
        <family val="2"/>
      </rPr>
      <t xml:space="preserve"> * % Prêmio) * (1+%IOF)</t>
    </r>
  </si>
  <si>
    <t>%Assegurado</t>
  </si>
  <si>
    <t>%Prêmio</t>
  </si>
  <si>
    <t>IOF</t>
  </si>
  <si>
    <t>Custo Seguro R.E</t>
  </si>
  <si>
    <t>Custo Seguro R.O = %Prêmio*(Capex Ativo * % sobre o Capex ativo )</t>
  </si>
  <si>
    <t xml:space="preserve">Custo Seguro R.O </t>
  </si>
  <si>
    <t>Custo Seguro R.C = %Prêmio*(Capex Ativo * % sobre o Capex ativo )</t>
  </si>
  <si>
    <t>Capex Ativo</t>
  </si>
  <si>
    <t>%sobre capex ativo</t>
  </si>
  <si>
    <t>Custo Seguro R.C</t>
  </si>
  <si>
    <t xml:space="preserve">SEGUROS </t>
  </si>
  <si>
    <t xml:space="preserve">CRITÉRIO </t>
  </si>
  <si>
    <t>VALOR SEGURADO (Ano 1)</t>
  </si>
  <si>
    <t>PRÊMIO</t>
  </si>
  <si>
    <t>2,5% do valor do contrato</t>
  </si>
  <si>
    <t>100% do Capex com obras no ano</t>
  </si>
  <si>
    <t>4% do Capex ativo</t>
  </si>
  <si>
    <t>Custo de Capital (WACC)</t>
  </si>
  <si>
    <t>Parâmetros de Valuation</t>
  </si>
  <si>
    <t xml:space="preserve">Variável </t>
  </si>
  <si>
    <t>Fonte de Dados</t>
  </si>
  <si>
    <t>Observação</t>
  </si>
  <si>
    <t xml:space="preserve">Risk Free (USA) </t>
  </si>
  <si>
    <t>Histórico Risco País</t>
  </si>
  <si>
    <t>MEDIANA</t>
  </si>
  <si>
    <t>FOCUS</t>
  </si>
  <si>
    <t>Média Geom.</t>
  </si>
  <si>
    <t>Risk Free (USA)</t>
  </si>
  <si>
    <t>Rf</t>
  </si>
  <si>
    <t>We</t>
  </si>
  <si>
    <t>Base Dados Damodaran (maio 2025) - Equity</t>
  </si>
  <si>
    <t>Coluna 5 - Categoria Hotel/Gaming</t>
  </si>
  <si>
    <t>Damodaran</t>
  </si>
  <si>
    <t>10 year US treasury - 01/05/2025 em "ERP in 2025" ou T bond. Rate (Coluna C)  em 01/05/2025</t>
  </si>
  <si>
    <t>Beta desalavancado</t>
  </si>
  <si>
    <t>βd</t>
  </si>
  <si>
    <t>Wd</t>
  </si>
  <si>
    <t>Base Dados Damodaran (maio 2025) - Debt</t>
  </si>
  <si>
    <t>Coluna 6 - Categoria Hotel/Gaming</t>
  </si>
  <si>
    <t>Kroll</t>
  </si>
  <si>
    <t>Recommended U.S. Equity Risk Premium and Corresponding Risk-Free Rates (kroll.com)</t>
  </si>
  <si>
    <t>D / E</t>
  </si>
  <si>
    <t xml:space="preserve">Base de Dados Damodaran - Betas </t>
  </si>
  <si>
    <t>Beta alavancado</t>
  </si>
  <si>
    <t>βa</t>
  </si>
  <si>
    <t>Damodaran e Kroll consultoria</t>
  </si>
  <si>
    <t>Valor máximo entre as indicações</t>
  </si>
  <si>
    <t xml:space="preserve">Beta Desalavancado </t>
  </si>
  <si>
    <t>Unlevered Beta - Coluna F - Hotel/gaming</t>
  </si>
  <si>
    <t>Risk Premium</t>
  </si>
  <si>
    <t>ERP</t>
  </si>
  <si>
    <t>Média entre as indicações</t>
  </si>
  <si>
    <t>Estrutura de capital</t>
  </si>
  <si>
    <t>Country Risk</t>
  </si>
  <si>
    <t>Rc</t>
  </si>
  <si>
    <t xml:space="preserve">Rc </t>
  </si>
  <si>
    <t>IPEA DATA - Mediana Risco País - ultimos 12 meses disponíveis (31 ago 2023 a 31 jul 2024);  Damoradaran</t>
  </si>
  <si>
    <t>Máximo entre os valores indicados</t>
  </si>
  <si>
    <t>D/E ratio - coluna D</t>
  </si>
  <si>
    <t>Ke em US$</t>
  </si>
  <si>
    <t>(=)Rf+βa*ERP+Rc</t>
  </si>
  <si>
    <t>T</t>
  </si>
  <si>
    <t>Base de Dados Damodan  - Corporate Tax Rate</t>
  </si>
  <si>
    <t>--------</t>
  </si>
  <si>
    <t xml:space="preserve">Risk Premium </t>
  </si>
  <si>
    <t>Inflação longo prazo USA</t>
  </si>
  <si>
    <t>(f)</t>
  </si>
  <si>
    <t>Inflação Eua</t>
  </si>
  <si>
    <t xml:space="preserve">Inflação Histórica do EUA por ano </t>
  </si>
  <si>
    <t>ERP - 01/05/2024 em "ERP in 2025" ou ERP (T12 m)  - coluna i  01/05/2024 em Historical ERP</t>
  </si>
  <si>
    <t>Inflação longo prazo BR</t>
  </si>
  <si>
    <t>(g)</t>
  </si>
  <si>
    <t xml:space="preserve">Inflação Brasil </t>
  </si>
  <si>
    <t>IPCA - IBGE e boletim focus</t>
  </si>
  <si>
    <t xml:space="preserve">Média Geométrica das expectativas de mercado </t>
  </si>
  <si>
    <t>Diferencial de inflação</t>
  </si>
  <si>
    <t>d= (1+g)/(1+f)-1</t>
  </si>
  <si>
    <t>Metodologia SABESP</t>
  </si>
  <si>
    <t>Site Arsesp - Consultas-Audiencias-Publicas</t>
  </si>
  <si>
    <t>Pesquisar por "cálculo do custo médio ponderado de capital" no filtro por assunto</t>
  </si>
  <si>
    <t xml:space="preserve">Equity risk premium (ERP) COLUNA C -united states </t>
  </si>
  <si>
    <t>Ke em R$</t>
  </si>
  <si>
    <t>p = Ke US$* d</t>
  </si>
  <si>
    <t>Pre Cost of debt</t>
  </si>
  <si>
    <t>h</t>
  </si>
  <si>
    <t>EMBI+</t>
  </si>
  <si>
    <t>Ipeadata -Mediana dos últimos 12 meses disponíveis</t>
  </si>
  <si>
    <t>Income Tax Rate</t>
  </si>
  <si>
    <t>(i)</t>
  </si>
  <si>
    <t>Country risk premium - Coluna D</t>
  </si>
  <si>
    <t>Kd after taxes</t>
  </si>
  <si>
    <t>j=h*(1-i)</t>
  </si>
  <si>
    <t>Equity (We)</t>
  </si>
  <si>
    <t>k</t>
  </si>
  <si>
    <t>Inflação BR</t>
  </si>
  <si>
    <t>Debt (Wd)</t>
  </si>
  <si>
    <t>l</t>
  </si>
  <si>
    <t>Série Histórica</t>
  </si>
  <si>
    <t>Média dos ultimos dois anos (2022-2023), conforme o IBGE</t>
  </si>
  <si>
    <t>WACC</t>
  </si>
  <si>
    <t>m = (p*k) + (j*l)</t>
  </si>
  <si>
    <t>Focus Bacen</t>
  </si>
  <si>
    <t>Média Geométrica das expectativas de inflação conforme o Boletim focus, mantendo a expectativa de 2027 constante até o fim da concessão</t>
  </si>
  <si>
    <t>Inflação EUA</t>
  </si>
  <si>
    <t>Expectativas de inflação nos EUA seguem inalteradas (suno.com.br)</t>
  </si>
  <si>
    <t>Significado</t>
  </si>
  <si>
    <t>CAPEX e Depreciação</t>
  </si>
  <si>
    <t>Resumo</t>
  </si>
  <si>
    <t>Qtd</t>
  </si>
  <si>
    <t>R$ Total</t>
  </si>
  <si>
    <t>CAPEX + REINVESTIMENTO (JUl/2024)</t>
  </si>
  <si>
    <t>ANOS</t>
  </si>
  <si>
    <t>Cama solteiro</t>
  </si>
  <si>
    <t>https://www.magazineluiza.com.br/cama-box-solteiro-reconflex-conjugada-fenix-55x88x188cm/p/237083000/co/cjso/?&amp;seller_id=magazineluiza&amp;utm_source=google&amp;utm_medium=cpc&amp;utm_term=73837&amp;utm_campaign=google_eco_per_ven_pla_mo_apo_1p_moveis&amp;utm_content=&amp;partner_id=73837&amp;gclsrc=aw.ds&amp;gclid=EAIaIQobChMIz66vod7biQMVuBBECB3vPigMEAQYASABEgIKlvD_BwE</t>
  </si>
  <si>
    <t>Movel cabec</t>
  </si>
  <si>
    <t>https://produto.mercadolivre.com.br/MLB-3102257106-mesa-de-cabeceira-criado-para-quarto-retro-alice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5082132220&amp;matt_product_id=MLB3102257106&amp;matt_product_partition_id=1963044459753&amp;matt_target_id=aud-2009166904988:pla-1963044459753&amp;cq_src=google_ads&amp;cq_cmp=14302215531&amp;cq_net=g&amp;cq_plt=gp&amp;cq_med=pla&amp;gad_source=1&amp;gclid=EAIaIQobChMIy92QsN7biQMVp2FIAB1i9jxHEAQYCCABEgJON_D_BwE</t>
  </si>
  <si>
    <t>Armário</t>
  </si>
  <si>
    <t>https://www.amazon.com.br/Solteiro-Gavetas-Coimbra-Atacama-Aram%C3%B3veis/dp/B0CG2C12RK/ref=asc_df_B0CG2C12RK/?tag=googleshopp00-20&amp;linkCode=df0&amp;hvadid=709968340954&amp;hvpos=&amp;hvnetw=g&amp;hvrand=5847029545021136100&amp;hvpone=&amp;hvptwo=&amp;hvqmt=&amp;hvdev=c&amp;hvdvcmdl=&amp;hvlocint=&amp;hvlocphy=9101555&amp;hvtargid=pla-2211163066079&amp;psc=1&amp;mcid=3c034600e6a83541b9792bf665a5fd68&amp;gad_source=1</t>
  </si>
  <si>
    <t>Reinvestimento</t>
  </si>
  <si>
    <t>Painel tv</t>
  </si>
  <si>
    <t>https://www.amazon.com.br/Painel-Polegadas-Nicho-Not%C3%A1vel-M%C3%B3veis/dp/B08WLZZTBJ/ref=asc_df_B08WLZZTBJ/?tag=googleshopp00-20&amp;linkCode=df0&amp;hvadid=709968341269&amp;hvpos=&amp;hvnetw=g&amp;hvrand=11829679873824661718&amp;hvpone=&amp;hvptwo=&amp;hvqmt=&amp;hvdev=c&amp;hvdvcmdl=&amp;hvlocint=&amp;hvlocphy=9101555&amp;hvtargid=pla-1412287651358&amp;psc=1&amp;mcid=5e9e077825333cc89c38a4105460d7fa&amp;gad_source=1</t>
  </si>
  <si>
    <t>Inst. móveis e eletrod.</t>
  </si>
  <si>
    <t>Armario inox</t>
  </si>
  <si>
    <t>https://produto.mercadolivre.com.br/MLB-2975393334-estante-aco-5-prateleiras-cromada-aramada-170-cm-desmontavel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700812106&amp;matt_product_id=MLB2975393334&amp;matt_product_partition_id=1960832236233&amp;matt_target_id=aud-2009166904988:pla-1960832236233&amp;cq_src=google_ads&amp;cq_cmp=14302215534&amp;cq_net=g&amp;cq_plt=gp&amp;cq_med=pla&amp;gad_source=1&amp;gclid=EAIaIQobChMIlu_g697biQMV-TtECB1HpikBEAQYBCABEgLTl_D_BwE</t>
  </si>
  <si>
    <t>Edificações</t>
  </si>
  <si>
    <t>Prateleira inox</t>
  </si>
  <si>
    <t>https://www.magazineluiza.com.br/prateleira-aco-inox-parede-decoracao-57x21-inox-laurindos/p/fccaaghfej/de/prha/?seller_id=redepinhal&amp;srsltid=AfmBOoruNCZ5-JmVdUAu06FV988LzwvyzjLorqneW_Nr2UJVBDitIbb4W6I</t>
  </si>
  <si>
    <t>Mesa esc</t>
  </si>
  <si>
    <t>https://www.mercadolivre.com.br/escrivaninha-steel-mobile-star-mdf-de-120cm-x-74cm-x-45cm-pretoimbuia/p/MLB27820924?pdp_filters=item_id%3AMLB3775751417&amp;from=gshop&amp;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735128761&amp;matt_product_id=MLB27820924-product&amp;matt_product_partition_id=1963044459553&amp;matt_target_id=aud-2009166904988:pla-1963044459553&amp;cq_src=google_ads&amp;cq_cmp=14302215531&amp;cq_net=g&amp;cq_plt=gp&amp;cq_med=pla&amp;gad_source=1&amp;gclid=EAIaIQobChMI6pr-jd_biQMVaihECB0kogTDEAQYAiABEgJrLfD_BwE</t>
  </si>
  <si>
    <t>Valor presente Reinvestimento</t>
  </si>
  <si>
    <t>Cadeira esc</t>
  </si>
  <si>
    <t>https://www.amazon.com.br/Cadeira-Escrit%C3%B3rio-Secret%C3%A1ria-Cromada-Rodinha/dp/B0D9HNH2KN/ref=asc_df_B0D9HNH2KN/?tag=googleshopp00-20&amp;linkCode=df0&amp;hvadid=709968340957&amp;hvpos=&amp;hvnetw=g&amp;hvrand=3823642956765407686&amp;hvpone=&amp;hvptwo=&amp;hvqmt=&amp;hvdev=c&amp;hvdvcmdl=&amp;hvlocint=&amp;hvlocphy=9101555&amp;hvtargid=pla-2331342379100&amp;psc=1&amp;mcid=9be4355e61863f34835c82a7a81b94b3&amp;gad_source=1</t>
  </si>
  <si>
    <t>Cadeira audit</t>
  </si>
  <si>
    <t>https://produto.mercadolivre.com.br/MLB-4478143044-cadeira-de-escritorio-secretaria-fixa-palito-j-serrano-preta-_JM?matt_tool=18983347&amp;matt_word=&amp;matt_source=google&amp;matt_campaign_id=14302215531&amp;matt_ad_group_id=155854918005&amp;matt_match_type=&amp;matt_network=g&amp;matt_device=c&amp;matt_creative=686778909993&amp;matt_keyword=&amp;matt_ad_position=&amp;matt_ad_type=pla&amp;matt_merchant_id=5326759621&amp;matt_product_id=MLB4478143044&amp;matt_product_partition_id=1963044459753&amp;matt_target_id=aud-2009166904988:pla-1963044459753&amp;cq_src=google_ads&amp;cq_cmp=14302215531&amp;cq_net=g&amp;cq_plt=gp&amp;cq_med=pla&amp;gad_source=1&amp;gclid=EAIaIQobChMIuJXxpt_biQMV_w9ECB0-USfiEAQYAiABEgI_-_D_BwE</t>
  </si>
  <si>
    <t>mesa refeit</t>
  </si>
  <si>
    <t>https://www.madeiramadeira.com.br/conjunto-mesa-para-refeitorio-6-lugares-com-bancos-separados-945285169.html?origem=pla-945285169&amp;utm_source=google&amp;utm_medium=cpc&amp;utm_content=mesas-para-sala-de-jantar-5168&amp;utm_term=&amp;utm_id=17456093492&amp;gad_source=1&amp;gclid=EAIaIQobChMIlbGO3t_biQMVjFhIAB1wWwDDEAQYAyABEgL9ZvD_BwE</t>
  </si>
  <si>
    <t>CAPEX (Investimento)</t>
  </si>
  <si>
    <t>mesa rest</t>
  </si>
  <si>
    <t>https://produto.mercadolivre.com.br/MLB-5004944758-jogo-mesa-plastica-restaurante-hotel-quadrada-rattan-marrom-_JM?matt_tool=38467324&amp;matt_word=&amp;matt_source=google&amp;matt_campaign_id=14302215510&amp;matt_ad_group_id=157102242403&amp;matt_match_type=&amp;matt_network=g&amp;matt_device=c&amp;matt_creative=686778909984&amp;matt_keyword=&amp;matt_ad_position=&amp;matt_ad_type=pla&amp;matt_merchant_id=556898629&amp;matt_product_id=MLB5004944758&amp;matt_product_partition_id=1961825176466&amp;matt_target_id=aud-2009166904988:pla-1961825176466&amp;cq_src=google_ads&amp;cq_cmp=14302215510&amp;cq_net=g&amp;cq_plt=gp&amp;cq_med=pla&amp;gad_source=1&amp;gclid=EAIaIQobChMIzKLYueHbiQMVo0JIAB2cOQWsEAQYDyABEgIi4_D_BwE</t>
  </si>
  <si>
    <t>Talheres</t>
  </si>
  <si>
    <t>https://www.amazon.com.br/Pe%C3%A7as-Garfo-Colher-Buffet-Restaurante/dp/B0CD6D4GX4/ref=asc_df_B0CD6D4GX4/?tag=googleshopp00-20&amp;linkCode=df0&amp;hvadid=709964506220&amp;hvpos=&amp;hvnetw=g&amp;hvrand=13128620473185654699&amp;hvpone=&amp;hvptwo=&amp;hvqmt=&amp;hvdev=c&amp;hvdvcmdl=&amp;hvlocint=&amp;hvlocphy=9101555&amp;hvtargid=pla-2203097789675&amp;psc=1&amp;mcid=62c7cb3925483537a493d694da1a5d33&amp;gad_source=1</t>
  </si>
  <si>
    <t>Proporção Orçamento de CAPEX</t>
  </si>
  <si>
    <t>Pratos</t>
  </si>
  <si>
    <t>https://produto.mercadolivre.com.br/MLB-2087077767-50-pratos-rasos-para-restaurante-buffet-hotel-lanchonete-bar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122236285&amp;matt_product_id=MLB2087077767&amp;matt_product_partition_id=2014536770847&amp;matt_target_id=aud-2009166904988:pla-2014536770847&amp;cq_src=google_ads&amp;cq_cmp=14302215504&amp;cq_net=g&amp;cq_plt=gp&amp;cq_med=pla&amp;gad_source=1&amp;gclid=EAIaIQobChMInffEzeLbiQMVwFVIAB2IYgD1EAQYAyABEgIUNfD_BwE</t>
  </si>
  <si>
    <t>Categoria</t>
  </si>
  <si>
    <t>Valor (Set/2024)</t>
  </si>
  <si>
    <t xml:space="preserve">Vida útil </t>
  </si>
  <si>
    <t xml:space="preserve">Dep. Anual </t>
  </si>
  <si>
    <t>Panelas</t>
  </si>
  <si>
    <t>https://produto.mercadolivre.com.br/MLB-1787337670-kit-cacarola-grande-restaurante-5-pecas-_JM?matt_tool=63065976&amp;matt_word=&amp;matt_source=google&amp;matt_campaign_id=14302215534&amp;matt_ad_group_id=154967597988&amp;matt_match_type=&amp;matt_network=g&amp;matt_device=c&amp;matt_creative=649487315899&amp;matt_keyword=&amp;matt_ad_position=&amp;matt_ad_type=pla&amp;matt_merchant_id=216526590&amp;matt_product_id=MLB1787337670&amp;matt_product_partition_id=1960832236233&amp;matt_target_id=aud-2009166904988:pla-1960832236233&amp;cq_src=google_ads&amp;cq_cmp=14302215534&amp;cq_net=g&amp;cq_plt=gp&amp;cq_med=pla&amp;gad_source=1&amp;gclid=EAIaIQobChMIn9Xj3eLbiQMVWSVECB1ygh5QEAQYAyABEgJ2IPD_BwE</t>
  </si>
  <si>
    <t>Anos</t>
  </si>
  <si>
    <t>-</t>
  </si>
  <si>
    <t>Coifa</t>
  </si>
  <si>
    <t>https://produto.mercadolivre.com.br/MLB-1086005988-coifa-industrial-130-x-060-dois-dutos-com-motor-e-chapeu-_JM?matt_tool=24471422&amp;matt_word=&amp;matt_source=google&amp;matt_campaign_id=14303413841&amp;matt_ad_group_id=125984300877&amp;matt_match_type=&amp;matt_network=g&amp;matt_device=c&amp;matt_creative=539354957217&amp;matt_keyword=&amp;matt_ad_position=&amp;matt_ad_type=pla&amp;matt_merchant_id=288193372&amp;matt_product_id=MLB1086005988&amp;matt_product_partition_id=2269750507396&amp;matt_target_id=aud-2009166904988:pla-2269750507396&amp;cq_src=google_ads&amp;cq_cmp=14303413841&amp;cq_net=g&amp;cq_plt=gp&amp;cq_med=pla&amp;gad_source=1&amp;gclid=EAIaIQobChMI15yx14nciQMVTF5IAB3tsAOWEAQYAyABEgJPwfD_BwE</t>
  </si>
  <si>
    <t>Instalações</t>
  </si>
  <si>
    <t>TV 40"</t>
  </si>
  <si>
    <t>https://www.amazon.com.br/TCL-LED-SMART-S5400A-ANDROID/dp/B0CC73MY9D/ref=asc_df_B0CC73MY9D/?tag=googleshopp00-20&amp;linkCode=df0&amp;hvadid=709964502896&amp;hvpos=&amp;hvnetw=g&amp;hvrand=6785519557594998482&amp;hvpone=&amp;hvptwo=&amp;hvqmt=&amp;hvdev=c&amp;hvdvcmdl=&amp;hvlocint=&amp;hvlocphy=9101555&amp;hvtargid=pla-2260808535249&amp;psc=1&amp;mcid=e2969ca9e1a331f591d3bb4b6c781143&amp;gad_source=1</t>
  </si>
  <si>
    <t>Frigobar</t>
  </si>
  <si>
    <t>https://www.amazon.com.br/Midea-MDRD108FGA011-FRIGOBAR-MIDEA-127V/dp/B0BT63ZBT7/ref=asc_df_B0BT63ZBT7/?tag=googleshopp00-20&amp;linkCode=df0&amp;hvadid=709884460975&amp;hvpos=&amp;hvnetw=g&amp;hvrand=16718862186633003967&amp;hvpone=&amp;hvptwo=&amp;hvqmt=&amp;hvdev=c&amp;hvdvcmdl=&amp;hvlocint=&amp;hvlocphy=9101555&amp;hvtargid=pla-2015581519099&amp;psc=1&amp;mcid=4b1a9085b26a373c81e14016dd13ab70&amp;gad_source=1</t>
  </si>
  <si>
    <t>Móveis e Eletrodomésticos</t>
  </si>
  <si>
    <t>Freezer V</t>
  </si>
  <si>
    <t>https://www.amazon.com.br/Geladeira-Consul-Degelo-Gavet%C3%A3o-Hortifruti/dp/B076B97232/ref=asc_df_B076B97232/?tag=googleshopp00-20&amp;linkCode=df0&amp;hvadid=709884460975&amp;hvpos=&amp;hvnetw=g&amp;hvrand=9997892139953941511&amp;hvpone=&amp;hvptwo=&amp;hvqmt=&amp;hvdev=c&amp;hvdvcmdl=&amp;hvlocint=&amp;hvlocphy=9101555&amp;hvtargid=pla-2371707239973&amp;psc=1&amp;mcid=b0b0cf57d200310093cb3648ade593da&amp;gad_source=1</t>
  </si>
  <si>
    <t>Máq. Lavar</t>
  </si>
  <si>
    <t>https://www.amazon.com.br/Lavadora-Electrolux-LFE11-Front-Premium/dp/B084RNYPPZ/ref=asc_df_B084RNYPPZ/?tag=googleshopp00-20&amp;linkCode=df0&amp;hvadid=709884460999&amp;hvpos=&amp;hvnetw=g&amp;hvrand=9953422435084978048&amp;hvpone=&amp;hvptwo=&amp;hvqmt=&amp;hvdev=c&amp;hvdvcmdl=&amp;hvlocint=&amp;hvlocphy=9101555&amp;hvtargid=pla-1410547872629&amp;psc=1&amp;mcid=fd6d98078a07319f9c2029f954150072&amp;gad_source=1</t>
  </si>
  <si>
    <t>Microondas</t>
  </si>
  <si>
    <t>https://www.amazon.com.br/Forno-Micro-ondas-Preto-Midea-MRAS22/dp/B0931ZRJ66/ref=asc_df_B0931ZRJ66/?tag=googleshopp00-20&amp;linkCode=df0&amp;hvadid=709886750320&amp;hvpos=&amp;hvnetw=g&amp;hvrand=13962439182616537260&amp;hvpone=&amp;hvptwo=&amp;hvqmt=&amp;hvdev=c&amp;hvdvcmdl=&amp;hvlocint=&amp;hvlocphy=9101555&amp;hvtargid=pla-1395669744615&amp;psc=1&amp;mcid=794d8c196632344cb432af5f31c6bbd3&amp;gad_source=1</t>
  </si>
  <si>
    <t>Datashow</t>
  </si>
  <si>
    <t>https://www.amazon.com.br/Projetor-Lumens-PFL-5210-Intelbras/dp/B0CNH5K3JM/ref=asc_df_B0CNH5K3JM/?tag=googleshopp00-20&amp;linkCode=df0&amp;hvadid=709964502890&amp;hvpos=&amp;hvnetw=g&amp;hvrand=17960110704650655243&amp;hvpone=&amp;hvptwo=&amp;hvqmt=&amp;hvdev=c&amp;hvdvcmdl=&amp;hvlocint=&amp;hvlocphy=9101555&amp;hvtargid=pla-2311524453804&amp;psc=1&amp;mcid=b48e344d7e003d37aa2ab723c8eba6f3&amp;gad_source=1</t>
  </si>
  <si>
    <t>Cronograma  CAPEX e Depreciação</t>
  </si>
  <si>
    <t>Notebook</t>
  </si>
  <si>
    <t>https://www.amazon.com.br/Notebook-Lenovo-Ideapad-i5-1235U-512GB/dp/B0CK3R8JYG/ref=asc_df_B0CK3R8JYG/?tag=googleshopp00-20&amp;linkCode=df0&amp;hvadid=709884378364&amp;hvpos=&amp;hvnetw=g&amp;hvrand=12434131605951846581&amp;hvpone=&amp;hvptwo=&amp;hvqmt=&amp;hvdev=c&amp;hvdvcmdl=&amp;hvlocint=&amp;hvlocphy=9101555&amp;hvtargid=pla-2259396492379&amp;psc=1&amp;mcid=615efcdecbd33b0095df075ef0bd9071&amp;gad_source=1</t>
  </si>
  <si>
    <t xml:space="preserve">% de avanço de obra e utilização do recursos </t>
  </si>
  <si>
    <t>Mesa de costura</t>
  </si>
  <si>
    <t>https://produto.mercadolivre.com.br/MLB-5028941824-mesa-bancada-para-maquinas-de-costura-singer-facilita-pro-_JM?matt_tool=84319704&amp;matt_word=&amp;matt_source=google&amp;matt_campaign_id=16393052799&amp;matt_ad_group_id=136691958631&amp;matt_match_type=&amp;matt_network=g&amp;matt_device=c&amp;matt_creative=584296520780&amp;matt_keyword=&amp;matt_ad_position=&amp;matt_ad_type=pla&amp;matt_merchant_id=5325874933&amp;matt_product_id=MLB5028941824&amp;matt_product_partition_id=2268631379008&amp;matt_target_id=aud-2009166904988:pla-2268631379008&amp;cq_src=google_ads&amp;cq_cmp=16393052799&amp;cq_net=g&amp;cq_plt=gp&amp;cq_med=pla&amp;gad_source=1&amp;gclid=EAIaIQobChMI8vKvuODbiQMVUlhIAB0u6gDCEAQYASABEgJrBPD_BwE</t>
  </si>
  <si>
    <t>Capex Instalações,móveis e eletrodomésticos</t>
  </si>
  <si>
    <t>Mesa de passar</t>
  </si>
  <si>
    <t>https://produto.mercadolivre.com.br/MLB-4394801500-mesa-passadeira-de-roupa-grande-jumbo-142-com-suporte-ferro-_JM?matt_tool=68506710&amp;matt_word=&amp;matt_source=google&amp;matt_campaign_id=14302215504&amp;matt_ad_group_id=154967597028&amp;matt_match_type=&amp;matt_network=g&amp;matt_device=c&amp;matt_creative=649487315881&amp;matt_keyword=&amp;matt_ad_position=&amp;matt_ad_type=pla&amp;matt_merchant_id=411380408&amp;matt_product_id=MLB4394801500&amp;matt_product_partition_id=2014536770767&amp;matt_target_id=aud-2009166904988:pla-2014536770767&amp;cq_src=google_ads&amp;cq_cmp=14302215504&amp;cq_net=g&amp;cq_plt=gp&amp;cq_med=pla&amp;gad_source=1&amp;gclid=EAIaIQobChMIw57R-eLbiQMV3iBECB3A0wgXEAQYAiABEgLfhfD_BwE</t>
  </si>
  <si>
    <t>Capex Edificações</t>
  </si>
  <si>
    <t>Mesa dobrar</t>
  </si>
  <si>
    <t>https://produto.mercadolivre.com.br/MLB-4540511064-mesa-dobravel-122-ajusta-de-altura-suporta-150-kg-_JM?matt_tool=47780295&amp;matt_word=&amp;matt_source=google&amp;matt_campaign_id=14302215540&amp;matt_ad_group_id=157843787695&amp;matt_match_type=&amp;matt_network=g&amp;matt_device=c&amp;matt_creative=686778909996&amp;matt_keyword=&amp;matt_ad_position=&amp;matt_ad_type=pla&amp;matt_merchant_id=105657373&amp;matt_product_id=MLB4540511064&amp;matt_product_partition_id=1961862651521&amp;matt_target_id=aud-2009166904988:pla-1961862651521&amp;cq_src=google_ads&amp;cq_cmp=14302215540&amp;cq_net=g&amp;cq_plt=gp&amp;cq_med=pla&amp;gad_source=1&amp;gclid=EAIaIQobChMIwoTZkOPbiQMVuVVIAB1shwC9EAQYAiABEgK_NPD_BwE</t>
  </si>
  <si>
    <t>Roupeiro</t>
  </si>
  <si>
    <t>https://produto.mercadolivre.com.br/MLB-3516833815-armario-roupeiro-aco-12-portas-guarda-volume-trinco-_JM?matt_tool=81686442&amp;matt_word=&amp;matt_source=google&amp;matt_campaign_id=14302215513&amp;matt_ad_group_id=130580034710&amp;matt_match_type=&amp;matt_network=g&amp;matt_device=c&amp;matt_creative=542969737596&amp;matt_keyword=&amp;matt_ad_position=&amp;matt_ad_type=pla&amp;matt_merchant_id=5386182031&amp;matt_product_id=MLB3516833815&amp;matt_product_partition_id=2323205042847&amp;matt_target_id=aud-2009166904988:pla-2323205042847&amp;cq_src=google_ads&amp;cq_cmp=14302215513&amp;cq_net=g&amp;cq_plt=gp&amp;cq_med=pla&amp;gad_source=1&amp;gclid=EAIaIQobChMIu6Ttp-PbiQMVo0JIAB2cOQWsEAQYBCABEgIxsfD_BwE</t>
  </si>
  <si>
    <t>Depreciação/Amortização</t>
  </si>
  <si>
    <t>Kit academia</t>
  </si>
  <si>
    <t>https://www.amazon.com.br/Esta%C3%A7%C3%A3o-Muscula%C3%A7%C3%A3o-Academia-Podiumfit-Me200-65kg/dp/B08642FYQ4/ref=asc_df_B08642FYQ4/?tag=googleshopp00-20&amp;linkCode=df0&amp;hvadid=709857070023&amp;hvpos=&amp;hvnetw=g&amp;hvrand=6554924835057423462&amp;hvpone=&amp;hvptwo=&amp;hvqmt=&amp;hvdev=c&amp;hvdvcmdl=&amp;hvlocint=&amp;hvlocphy=9101555&amp;hvtargid=pla-930540053204&amp;psc=1&amp;mcid=a17b783eea1c386d80d3699710d749b6&amp;gad_source=1</t>
  </si>
  <si>
    <t>Dep. = investimento?</t>
  </si>
  <si>
    <t>Esteira</t>
  </si>
  <si>
    <t>https://www.amazon.com.br/Esteira-ergom%C3%A9trica-Dr2110-Dream-Fitness/dp/B07XG2SF77/ref=asc_df_B07XG2SF77/?tag=googleshopp00-20&amp;linkCode=df0&amp;hvadid=709857069984&amp;hvpos=&amp;hvnetw=g&amp;hvrand=14836885530846891182&amp;hvpone=&amp;hvptwo=&amp;hvqmt=&amp;hvdev=c&amp;hvdvcmdl=&amp;hvlocint=&amp;hvlocphy=9101555&amp;hvtargid=pla-916570325914&amp;psc=1&amp;mcid=931090319c903015b63b4be384364a8f&amp;gad_source=1</t>
  </si>
  <si>
    <t>Bicicleta</t>
  </si>
  <si>
    <t>https://www.amazon.com.br/Ergometrica-Ergom%C3%A9trica-Bicicletas-Ergom%C3%A9tricas-Silenciosa/dp/B0DJ7C21YV/ref=asc_df_B0DJ7C21YV/?tag=googleshopp00-20&amp;linkCode=df0&amp;hvadid=709857069984&amp;hvpos=&amp;hvnetw=g&amp;hvrand=11031128221219538495&amp;hvpone=&amp;hvptwo=&amp;hvqmt=&amp;hvdev=c&amp;hvdvcmdl=&amp;hvlocint=&amp;hvlocphy=9101555&amp;hvtargid=pla-2372454745808&amp;psc=1&amp;mcid=121f7e00f2103b46a0a8bd329ee7119b&amp;gad_source=1</t>
  </si>
  <si>
    <t>Banco de acad</t>
  </si>
  <si>
    <t>https://www.amazon.com.br/Banco-Supino-Muscula%C3%A7%C3%A3o-Academia-90x30x42cm/dp/B0D51HC7CN/ref=asc_df_B0D51HC7CN/?tag=googleshopp00-20&amp;linkCode=df0&amp;hvadid=709857070023&amp;hvpos=&amp;hvnetw=g&amp;hvrand=9739932977692915275&amp;hvpone=&amp;hvptwo=&amp;hvqmt=&amp;hvdev=c&amp;hvdvcmdl=&amp;hvlocint=&amp;hvlocphy=9101555&amp;hvtargid=pla-2314628788070&amp;psc=1&amp;mcid=599d07ee8ed632609b2cf1c0a0a1e25a&amp;gad_source=1</t>
  </si>
  <si>
    <t>Kit halteres</t>
  </si>
  <si>
    <t>https://produto.mercadolivre.com.br/MLB-3226402377-kit-halteres-de-1-a-10kg-emborrachados-10-pares-suporte-_JM?matt_tool=65726776&amp;matt_word=&amp;matt_source=google&amp;matt_campaign_id=21817993345&amp;matt_ad_group_id=168458186866&amp;matt_match_type=&amp;matt_network=g&amp;matt_device=c&amp;matt_creative=717401467184&amp;matt_keyword=&amp;matt_ad_position=&amp;matt_ad_type=pla&amp;matt_merchant_id=134385982&amp;matt_product_id=MLB3226402377&amp;matt_product_partition_id=613677686816&amp;matt_target_id=aud-2009166904988:pla-613677686816&amp;cq_src=google_ads&amp;cq_cmp=21817993345&amp;cq_net=g&amp;cq_plt=gp&amp;cq_med=pla&amp;gad_source=1&amp;gclid=EAIaIQobChMIx7TpkOTbiQMVlyJECB3ZSigYEAQYAyABEgIuh_D_BwE</t>
  </si>
  <si>
    <t>Kit brinquedoteca</t>
  </si>
  <si>
    <t>https://www.amazon.com.br/Piscina-Bolinhas-500un-Escorrega-Gangorra/dp/B0CHCT33RF/ref=asc_df_B0CHCT33RF/?tag=googleshopp00-20&amp;linkCode=df0&amp;hvadid=709857019626&amp;hvpos=&amp;hvnetw=g&amp;hvrand=13778785945494152306&amp;hvpone=&amp;hvptwo=&amp;hvqmt=&amp;hvdev=c&amp;hvdvcmdl=&amp;hvlocint=&amp;hvlocphy=9101555&amp;hvtargid=pla-2212933292846&amp;psc=1&amp;mcid=bc924582653c36a3a35043696837ffef&amp;gad_source=1</t>
  </si>
  <si>
    <t>+</t>
  </si>
  <si>
    <t>DEPRECIAÇÃO DE CAPEX</t>
  </si>
  <si>
    <t>Cronograma de Depreciação -CAPEX</t>
  </si>
  <si>
    <t>Total a depreciar</t>
  </si>
  <si>
    <t>Período de 10 anos</t>
  </si>
  <si>
    <t>Amortização</t>
  </si>
  <si>
    <t xml:space="preserve">Total depreciado 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</si>
  <si>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</si>
  <si>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</si>
  <si>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</si>
  <si>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</si>
  <si>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</si>
  <si>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</si>
  <si>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</si>
  <si>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</si>
  <si>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</si>
  <si>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</si>
  <si>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</si>
  <si>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</si>
  <si>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</si>
  <si>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</si>
  <si>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</si>
  <si>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</si>
  <si>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</si>
  <si>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</si>
  <si>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</si>
  <si>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</si>
  <si>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</si>
  <si>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</si>
  <si>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</si>
  <si>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</si>
  <si>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</si>
  <si>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</si>
  <si>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</si>
  <si>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</si>
  <si>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</si>
  <si>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Ano 31</t>
  </si>
  <si>
    <t>Ano 32</t>
  </si>
  <si>
    <t>Ano 33</t>
  </si>
  <si>
    <t>Ano 34</t>
  </si>
  <si>
    <t>Ano 35</t>
  </si>
  <si>
    <t>TOTAL DEP.</t>
  </si>
  <si>
    <t>Período de 25 anos</t>
  </si>
  <si>
    <t>CAPEX (Reinvestimentos)</t>
  </si>
  <si>
    <t xml:space="preserve">do valor do CAPEX </t>
  </si>
  <si>
    <t>Cronograma de Reinvestimento e depreciação</t>
  </si>
  <si>
    <t>Instalações, Móveis e Eletrodomésticos</t>
  </si>
  <si>
    <t>Depreciação/Amortização Reinv.</t>
  </si>
  <si>
    <t xml:space="preserve">Cálculo do Reinvestimento </t>
  </si>
  <si>
    <t>Sazonalidade</t>
  </si>
  <si>
    <t>A partir do ano</t>
  </si>
  <si>
    <t>A cada</t>
  </si>
  <si>
    <t>Aux. Sazonalidade de Reinvestimento</t>
  </si>
  <si>
    <t xml:space="preserve">Ano de Início </t>
  </si>
  <si>
    <t>Reinvestimento 1</t>
  </si>
  <si>
    <t>Reinvestimento 2</t>
  </si>
  <si>
    <t>Reinvestimento 3</t>
  </si>
  <si>
    <t>Reinvestimento 4</t>
  </si>
  <si>
    <t>Reinvestimento 5</t>
  </si>
  <si>
    <t>Reinvestimento 6</t>
  </si>
  <si>
    <t>Reinvestimento 7</t>
  </si>
  <si>
    <t>Reinvestimento 8</t>
  </si>
  <si>
    <t>Reinvestimento 9</t>
  </si>
  <si>
    <t>Reinvestimento 10</t>
  </si>
  <si>
    <t>Reinvestimento 11</t>
  </si>
  <si>
    <t>Reinvestimento 12</t>
  </si>
  <si>
    <t>Reinvestimento 13</t>
  </si>
  <si>
    <t>Reinvestimento 14</t>
  </si>
  <si>
    <t>Reinvestimento 15</t>
  </si>
  <si>
    <t>Reinvestimento 16</t>
  </si>
  <si>
    <t>Reinvestimento 17</t>
  </si>
  <si>
    <t>Reinvestimento 18</t>
  </si>
  <si>
    <t>Reinvestimento 19</t>
  </si>
  <si>
    <t>Reinvestimento 20</t>
  </si>
  <si>
    <t>Reinvestimento 21</t>
  </si>
  <si>
    <t>Reinvestimento 22</t>
  </si>
  <si>
    <t>Reinvestimento 23</t>
  </si>
  <si>
    <t>Reinvestimento 24</t>
  </si>
  <si>
    <t>Reinvestimento 25</t>
  </si>
  <si>
    <t>Reinvestimento 26</t>
  </si>
  <si>
    <t>Reinvestimento 27</t>
  </si>
  <si>
    <t>Reinvestimento 28</t>
  </si>
  <si>
    <t>Reinvestimento 29</t>
  </si>
  <si>
    <t>Reinvestimento 30</t>
  </si>
  <si>
    <t>Reinvestimento 31</t>
  </si>
  <si>
    <t>Reinvestimento 32</t>
  </si>
  <si>
    <t>Reinvestimento 33</t>
  </si>
  <si>
    <t>Reinvestimento 34</t>
  </si>
  <si>
    <t>Reinvestimento 35</t>
  </si>
  <si>
    <t>Qtde. Reinvest.</t>
  </si>
  <si>
    <t>Soma dos Pesos</t>
  </si>
  <si>
    <t>Total de Reinvestimento</t>
  </si>
  <si>
    <t>Data-base set.2024</t>
  </si>
  <si>
    <t>nº do reinvest.</t>
  </si>
  <si>
    <t>Valor do Reinvestimento</t>
  </si>
  <si>
    <t>&lt;n. reinvest.? 1- sim 0- não</t>
  </si>
  <si>
    <t>Pesos</t>
  </si>
  <si>
    <t>Cronograma de Depreciação -Reinvestimento</t>
  </si>
  <si>
    <t>Reinvest. Instalações?</t>
  </si>
  <si>
    <t>1- SIM; 0 -NÃO</t>
  </si>
  <si>
    <t>Reinvest. Edificações?</t>
  </si>
  <si>
    <t>TOTAL DEP</t>
  </si>
  <si>
    <t xml:space="preserve">Depreciação Investimentos </t>
  </si>
  <si>
    <t xml:space="preserve">Depreciação Reinvestimentos </t>
  </si>
  <si>
    <t xml:space="preserve">Financiamento </t>
  </si>
  <si>
    <t>Valor financiado</t>
  </si>
  <si>
    <t>IPCA Longo Prazo Focus</t>
  </si>
  <si>
    <t>Componente prefixado da TFC</t>
  </si>
  <si>
    <t>parcelas</t>
  </si>
  <si>
    <t>Kd nominal</t>
  </si>
  <si>
    <t>carencia</t>
  </si>
  <si>
    <t>parcela&lt;= 35-1 -carencia?</t>
  </si>
  <si>
    <t xml:space="preserve">Tx. Juros </t>
  </si>
  <si>
    <t>carencia &gt;=  tempo de obra</t>
  </si>
  <si>
    <t>Prazo Total</t>
  </si>
  <si>
    <t>Ano da concessão</t>
  </si>
  <si>
    <t>Ano do empréstimo</t>
  </si>
  <si>
    <t>prestação</t>
  </si>
  <si>
    <t xml:space="preserve">amortização </t>
  </si>
  <si>
    <t>juros acumulados</t>
  </si>
  <si>
    <t>juros pagos no ano</t>
  </si>
  <si>
    <t xml:space="preserve">saldo devedor </t>
  </si>
  <si>
    <t>xxx</t>
  </si>
  <si>
    <t>Tributação</t>
  </si>
  <si>
    <t xml:space="preserve">Tributação sobre o Faturamento Bruto </t>
  </si>
  <si>
    <t xml:space="preserve">Faturamento Bruto </t>
  </si>
  <si>
    <t>Imposto</t>
  </si>
  <si>
    <t>Alíquota</t>
  </si>
  <si>
    <t>PIS</t>
  </si>
  <si>
    <t>COFINS</t>
  </si>
  <si>
    <t>Total Receitas Diretas (Sem subsídio)</t>
  </si>
  <si>
    <t>ISS</t>
  </si>
  <si>
    <t xml:space="preserve">Impostos Indiretos </t>
  </si>
  <si>
    <t>ICMS</t>
  </si>
  <si>
    <t>Tributação sobre o Lucro</t>
  </si>
  <si>
    <t>Sobre Renda e Lucro</t>
  </si>
  <si>
    <t xml:space="preserve">Impostos diretos </t>
  </si>
  <si>
    <t xml:space="preserve">Base de Cálculo </t>
  </si>
  <si>
    <t>IRPJ</t>
  </si>
  <si>
    <t>IR</t>
  </si>
  <si>
    <t>Adicional (IRPJ)</t>
  </si>
  <si>
    <t xml:space="preserve">IR Adicional </t>
  </si>
  <si>
    <t>Limite Adicional (IRPJ)</t>
  </si>
  <si>
    <t>CSLL</t>
  </si>
  <si>
    <t xml:space="preserve">Base do IRPJ e CSLL  </t>
  </si>
  <si>
    <t>Nota: Valores na data-base de julho de 2024</t>
  </si>
  <si>
    <t>Limite de Prejuizo a Compensar</t>
  </si>
  <si>
    <t xml:space="preserve">Periodo de Apuração </t>
  </si>
  <si>
    <t>OPEX</t>
  </si>
  <si>
    <t>IMPOSTOS INDIRETOS</t>
  </si>
  <si>
    <t>OUTRAS DESPESAS DA CONCESSÃO</t>
  </si>
  <si>
    <t xml:space="preserve">OPEX + OUTRAS DESPESAS </t>
  </si>
  <si>
    <t>Impostos diretos</t>
  </si>
  <si>
    <t>Comissionamento de Parceiro de Vendas</t>
  </si>
  <si>
    <t>Outorga Variável</t>
  </si>
  <si>
    <t xml:space="preserve">Outorga </t>
  </si>
  <si>
    <t>IPTU</t>
  </si>
  <si>
    <t>Seguros e garantias</t>
  </si>
  <si>
    <t>Outras Despesas da Concessão</t>
  </si>
  <si>
    <t>CONFERÊNCIA</t>
  </si>
  <si>
    <t xml:space="preserve">Principais Premissas </t>
  </si>
  <si>
    <t>(Maio/2025)</t>
  </si>
  <si>
    <t> </t>
  </si>
  <si>
    <t>Prazo da Concessão</t>
  </si>
  <si>
    <t xml:space="preserve">Anos </t>
  </si>
  <si>
    <t>Investimentos (Capex)</t>
  </si>
  <si>
    <t>R$ MI</t>
  </si>
  <si>
    <t xml:space="preserve">Custo Médio da Concessão </t>
  </si>
  <si>
    <t>R$ MI/ANO</t>
  </si>
  <si>
    <t>Opex médio anual</t>
  </si>
  <si>
    <t>Outros Custos da Concessão</t>
  </si>
  <si>
    <t xml:space="preserve">Outorga Variável </t>
  </si>
  <si>
    <t>%Receita Bruta ano anterior (a.a.)</t>
  </si>
  <si>
    <t>%a.a. real</t>
  </si>
  <si>
    <t>Valuation</t>
  </si>
  <si>
    <t>TIR do Projeto</t>
  </si>
  <si>
    <t>Mg. Ebtida</t>
  </si>
  <si>
    <t>Média Anual</t>
  </si>
  <si>
    <t>Média Mensal</t>
  </si>
  <si>
    <t>GRÁFICOS</t>
  </si>
  <si>
    <t>Receitas da Concessão</t>
  </si>
  <si>
    <t>FLUXO DE CAIXA DESCONTADO E VPL</t>
  </si>
  <si>
    <t>OPEX da Concessão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</si>
</sst>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Ano&quot;\ 0"/>
    <numFmt numFmtId="165" formatCode="0.0000"/>
    <numFmt numFmtId="166" formatCode="_-&quot;R$&quot;\ * #,##0.00000_-;\-&quot;R$&quot;\ * #,##0.00000_-;_-&quot;R$&quot;\ * &quot;-&quot;??_-;_-@_-"/>
    <numFmt numFmtId="167" formatCode="#,##0_);\(#,##0\);\-_);@"/>
    <numFmt numFmtId="168" formatCode="0\ &quot;Anos&quot;"/>
    <numFmt numFmtId="169" formatCode="&quot;Ano&quot;\ 0\ "/>
    <numFmt numFmtId="170" formatCode="&quot;R$&quot;\ #,##0.00"/>
    <numFmt numFmtId="171" formatCode="_-&quot;R$&quot;\ * #,##0_-;\-&quot;R$&quot;\ * #,##0_-;_-&quot;R$&quot;\ * &quot;-&quot;??_-;_-@_-"/>
    <numFmt numFmtId="172" formatCode="0.000"/>
    <numFmt numFmtId="173" formatCode="0.0%"/>
    <numFmt numFmtId="174" formatCode="0.000%"/>
    <numFmt numFmtId="175" formatCode="\ &quot;Ano&quot;\ 0"/>
    <numFmt numFmtId="176" formatCode="_-[$R$-416]\ * #,##0.00_-;\-[$R$-416]\ * #,##0.00_-;_-[$R$-416]\ * &quot;-&quot;??_-;_-@_-"/>
    <numFmt numFmtId="177" formatCode="_-&quot;R$&quot;\ * #,##0.0000000000_-;\-&quot;R$&quot;\ * #,##0.0000000000_-;_-&quot;R$&quot;\ * &quot;-&quot;??_-;_-@_-"/>
    <numFmt numFmtId="178" formatCode="0.0000%"/>
    <numFmt numFmtId="179" formatCode="0.00000%"/>
    <numFmt numFmtId="180" formatCode="#,##0.000_);\(#,##0.000\);\-_);@"/>
    <numFmt numFmtId="181" formatCode="_-&quot;R$&quot;\ * #,##0.0_-;\-&quot;R$&quot;\ * #,##0.0_-;_-&quot;R$&quot;\ 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8"/>
      <color theme="2"/>
      <name val="Arial Black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8" tint="-0.249977111117893"/>
      <name val="Arial"/>
      <family val="2"/>
    </font>
    <font>
      <i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Arial (body)"/>
      <family val="2"/>
    </font>
    <font>
      <b/>
      <sz val="9"/>
      <color theme="1"/>
      <name val="Arial (body)"/>
    </font>
    <font>
      <sz val="9"/>
      <color theme="1"/>
      <name val="Arial (body)"/>
      <family val="2"/>
    </font>
    <font>
      <b/>
      <sz val="9"/>
      <color theme="1"/>
      <name val="Arial (body)"/>
      <family val="2"/>
    </font>
    <font>
      <sz val="9"/>
      <name val="Arial (body)"/>
      <family val="2"/>
    </font>
    <font>
      <i/>
      <sz val="8"/>
      <color theme="1"/>
      <name val="Arial (body)"/>
      <family val="2"/>
    </font>
    <font>
      <b/>
      <sz val="9"/>
      <color theme="1"/>
      <name val="Arial (body)"/>
      <charset val="1"/>
    </font>
    <font>
      <b/>
      <sz val="10"/>
      <name val="Arial (body)"/>
    </font>
    <font>
      <b/>
      <sz val="10"/>
      <color theme="1"/>
      <name val="Arial (body)"/>
      <family val="2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Bahnschrift"/>
      <family val="2"/>
    </font>
    <font>
      <b/>
      <i/>
      <sz val="10"/>
      <color theme="1"/>
      <name val="Bahnschrift"/>
      <family val="2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7"/>
      <color rgb="FF000000"/>
      <name val="Verdana"/>
      <family val="2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Segoe UI Light"/>
      <family val="2"/>
    </font>
    <font>
      <sz val="11"/>
      <color rgb="FF000000"/>
      <name val="Segoe UI Light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2"/>
      <color theme="1" tint="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color theme="1" tint="0.24994659260841701"/>
      <name val="Arial Nova Cond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55C4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1AAB1"/>
        <bgColor indexed="64"/>
      </patternFill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88CC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64" fillId="26" borderId="0" applyNumberFormat="0" applyBorder="0" applyAlignment="0">
      <alignment vertical="center"/>
    </xf>
    <xf numFmtId="0" fontId="65" fillId="27" borderId="0" applyNumberFormat="0" applyAlignment="0" applyProtection="0"/>
    <xf numFmtId="0" fontId="10" fillId="24" borderId="34" applyNumberFormat="0" applyFill="0" applyAlignment="0" applyProtection="0"/>
  </cellStyleXfs>
  <cellXfs count="434">
    <xf numFmtId="0" fontId="0" fillId="0" borderId="0" xfId="0"/>
    <xf numFmtId="164" fontId="4" fillId="2" borderId="1" xfId="5" applyNumberFormat="1" applyFont="1" applyFill="1" applyBorder="1" applyAlignment="1">
      <alignment horizontal="center" vertical="center" wrapText="1"/>
    </xf>
    <xf numFmtId="9" fontId="0" fillId="0" borderId="0" xfId="2" applyFon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2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9" fontId="4" fillId="4" borderId="6" xfId="5" applyNumberFormat="1" applyFont="1" applyFill="1" applyBorder="1" applyAlignment="1">
      <alignment horizontal="center" vertical="center" wrapText="1"/>
    </xf>
    <xf numFmtId="10" fontId="4" fillId="4" borderId="6" xfId="2" applyNumberFormat="1" applyFont="1" applyFill="1" applyBorder="1" applyAlignment="1">
      <alignment horizontal="center" vertical="center"/>
    </xf>
    <xf numFmtId="0" fontId="4" fillId="4" borderId="6" xfId="5" applyFont="1" applyFill="1" applyBorder="1" applyAlignment="1">
      <alignment horizontal="center" vertical="center" wrapText="1"/>
    </xf>
    <xf numFmtId="0" fontId="4" fillId="4" borderId="7" xfId="5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" fillId="5" borderId="0" xfId="0" applyFont="1" applyFill="1"/>
    <xf numFmtId="44" fontId="2" fillId="5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0" borderId="0" xfId="5"/>
    <xf numFmtId="0" fontId="3" fillId="0" borderId="0" xfId="5" applyFill="1"/>
    <xf numFmtId="0" fontId="2" fillId="2" borderId="0" xfId="0" applyFont="1" applyFill="1" applyAlignment="1">
      <alignment horizontal="left"/>
    </xf>
    <xf numFmtId="0" fontId="4" fillId="2" borderId="4" xfId="5" applyFont="1" applyFill="1" applyBorder="1" applyAlignment="1">
      <alignment horizontal="center"/>
    </xf>
    <xf numFmtId="0" fontId="11" fillId="2" borderId="4" xfId="5" applyFont="1" applyFill="1" applyBorder="1" applyAlignment="1">
      <alignment horizontal="center"/>
    </xf>
    <xf numFmtId="0" fontId="11" fillId="2" borderId="6" xfId="5" applyFont="1" applyFill="1" applyBorder="1" applyAlignment="1">
      <alignment horizontal="center"/>
    </xf>
    <xf numFmtId="0" fontId="9" fillId="2" borderId="9" xfId="5" applyFont="1" applyFill="1" applyBorder="1" applyAlignment="1">
      <alignment horizontal="center"/>
    </xf>
    <xf numFmtId="0" fontId="11" fillId="5" borderId="10" xfId="5" applyFont="1" applyFill="1" applyBorder="1" applyAlignment="1">
      <alignment horizontal="center"/>
    </xf>
    <xf numFmtId="0" fontId="11" fillId="2" borderId="7" xfId="5" applyFont="1" applyFill="1" applyBorder="1" applyAlignment="1">
      <alignment horizontal="center"/>
    </xf>
    <xf numFmtId="44" fontId="11" fillId="2" borderId="7" xfId="1" applyFont="1" applyFill="1" applyBorder="1" applyAlignment="1">
      <alignment horizontal="center"/>
    </xf>
    <xf numFmtId="0" fontId="11" fillId="2" borderId="7" xfId="1" applyNumberFormat="1" applyFont="1" applyFill="1" applyBorder="1" applyAlignment="1">
      <alignment horizontal="center"/>
    </xf>
    <xf numFmtId="0" fontId="12" fillId="6" borderId="0" xfId="0" applyFont="1" applyFill="1" applyAlignment="1">
      <alignment vertical="center"/>
    </xf>
    <xf numFmtId="165" fontId="12" fillId="6" borderId="0" xfId="0" applyNumberFormat="1" applyFont="1" applyFill="1" applyAlignment="1">
      <alignment vertical="center"/>
    </xf>
    <xf numFmtId="164" fontId="4" fillId="2" borderId="4" xfId="5" applyNumberFormat="1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/>
    </xf>
    <xf numFmtId="0" fontId="11" fillId="2" borderId="9" xfId="5" applyFont="1" applyFill="1" applyBorder="1" applyAlignment="1">
      <alignment horizontal="center"/>
    </xf>
    <xf numFmtId="0" fontId="11" fillId="2" borderId="5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2" fillId="9" borderId="0" xfId="0" applyFont="1" applyFill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0" fontId="2" fillId="8" borderId="0" xfId="0" applyFont="1" applyFill="1"/>
    <xf numFmtId="3" fontId="8" fillId="4" borderId="9" xfId="0" applyNumberFormat="1" applyFont="1" applyFill="1" applyBorder="1" applyAlignment="1">
      <alignment vertical="center"/>
    </xf>
    <xf numFmtId="0" fontId="10" fillId="2" borderId="4" xfId="5" applyFont="1" applyFill="1" applyBorder="1" applyAlignment="1">
      <alignment horizontal="center"/>
    </xf>
    <xf numFmtId="44" fontId="2" fillId="8" borderId="0" xfId="1" applyFont="1" applyFill="1"/>
    <xf numFmtId="0" fontId="11" fillId="2" borderId="4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4" fontId="13" fillId="0" borderId="0" xfId="1" applyFont="1"/>
    <xf numFmtId="44" fontId="13" fillId="0" borderId="0" xfId="0" applyNumberFormat="1" applyFont="1"/>
    <xf numFmtId="0" fontId="13" fillId="2" borderId="4" xfId="0" applyFont="1" applyFill="1" applyBorder="1" applyAlignment="1">
      <alignment horizontal="left" vertical="center"/>
    </xf>
    <xf numFmtId="10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8" fontId="13" fillId="2" borderId="4" xfId="0" applyNumberFormat="1" applyFont="1" applyFill="1" applyBorder="1" applyAlignment="1">
      <alignment horizontal="center"/>
    </xf>
    <xf numFmtId="166" fontId="0" fillId="0" borderId="0" xfId="0" applyNumberFormat="1"/>
    <xf numFmtId="10" fontId="13" fillId="2" borderId="4" xfId="2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4" fillId="0" borderId="0" xfId="0" applyFont="1"/>
    <xf numFmtId="0" fontId="0" fillId="10" borderId="0" xfId="0" applyFill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11" borderId="0" xfId="0" applyFont="1" applyFill="1"/>
    <xf numFmtId="0" fontId="10" fillId="0" borderId="0" xfId="0" applyFont="1"/>
    <xf numFmtId="0" fontId="17" fillId="0" borderId="0" xfId="0" applyFont="1" applyAlignment="1">
      <alignment horizontal="center" vertical="center" wrapText="1"/>
    </xf>
    <xf numFmtId="0" fontId="16" fillId="8" borderId="0" xfId="0" applyFont="1" applyFill="1"/>
    <xf numFmtId="0" fontId="16" fillId="8" borderId="0" xfId="0" applyFont="1" applyFill="1" applyAlignment="1">
      <alignment horizontal="left"/>
    </xf>
    <xf numFmtId="0" fontId="10" fillId="4" borderId="4" xfId="0" applyFont="1" applyFill="1" applyBorder="1" applyAlignment="1">
      <alignment horizontal="center" vertical="center"/>
    </xf>
    <xf numFmtId="0" fontId="4" fillId="4" borderId="6" xfId="5" applyFont="1" applyFill="1" applyBorder="1" applyAlignment="1">
      <alignment horizontal="center" vertical="center"/>
    </xf>
    <xf numFmtId="0" fontId="4" fillId="4" borderId="7" xfId="5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0" applyNumberFormat="1" applyFont="1"/>
    <xf numFmtId="0" fontId="18" fillId="1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21" fillId="4" borderId="5" xfId="5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4" xfId="5" applyFont="1" applyFill="1" applyBorder="1" applyAlignment="1">
      <alignment horizontal="center" vertical="center" wrapText="1"/>
    </xf>
    <xf numFmtId="44" fontId="24" fillId="6" borderId="4" xfId="1" applyFont="1" applyFill="1" applyBorder="1" applyAlignment="1">
      <alignment horizontal="center" vertical="center"/>
    </xf>
    <xf numFmtId="44" fontId="22" fillId="6" borderId="6" xfId="0" applyNumberFormat="1" applyFont="1" applyFill="1" applyBorder="1" applyAlignment="1">
      <alignment horizontal="center" vertical="center" wrapText="1"/>
    </xf>
    <xf numFmtId="44" fontId="22" fillId="6" borderId="4" xfId="0" applyNumberFormat="1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5" fillId="6" borderId="4" xfId="5" applyFont="1" applyFill="1" applyBorder="1" applyAlignment="1">
      <alignment horizontal="center" vertical="center" wrapText="1"/>
    </xf>
    <xf numFmtId="44" fontId="22" fillId="6" borderId="3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44" fontId="24" fillId="6" borderId="4" xfId="1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44" fontId="22" fillId="6" borderId="7" xfId="0" applyNumberFormat="1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44" fontId="22" fillId="6" borderId="6" xfId="0" applyNumberFormat="1" applyFont="1" applyFill="1" applyBorder="1" applyAlignment="1">
      <alignment horizontal="center" vertical="center"/>
    </xf>
    <xf numFmtId="44" fontId="22" fillId="6" borderId="4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44" fontId="22" fillId="6" borderId="7" xfId="0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44" fontId="22" fillId="6" borderId="3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44" fontId="17" fillId="5" borderId="4" xfId="0" applyNumberFormat="1" applyFont="1" applyFill="1" applyBorder="1" applyAlignment="1">
      <alignment horizontal="center" vertical="center"/>
    </xf>
    <xf numFmtId="44" fontId="2" fillId="0" borderId="0" xfId="1" applyFont="1"/>
    <xf numFmtId="44" fontId="19" fillId="13" borderId="4" xfId="1" applyFont="1" applyFill="1" applyBorder="1"/>
    <xf numFmtId="167" fontId="0" fillId="0" borderId="0" xfId="0" applyNumberFormat="1"/>
    <xf numFmtId="0" fontId="19" fillId="13" borderId="4" xfId="0" applyFont="1" applyFill="1" applyBorder="1"/>
    <xf numFmtId="0" fontId="19" fillId="13" borderId="1" xfId="0" applyFont="1" applyFill="1" applyBorder="1"/>
    <xf numFmtId="0" fontId="19" fillId="13" borderId="6" xfId="0" applyFont="1" applyFill="1" applyBorder="1" applyAlignment="1">
      <alignment horizontal="left" vertical="center"/>
    </xf>
    <xf numFmtId="0" fontId="19" fillId="13" borderId="12" xfId="0" applyFont="1" applyFill="1" applyBorder="1"/>
    <xf numFmtId="44" fontId="29" fillId="2" borderId="4" xfId="1" applyFont="1" applyFill="1" applyBorder="1"/>
    <xf numFmtId="167" fontId="2" fillId="13" borderId="4" xfId="1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2" fillId="13" borderId="1" xfId="1" applyNumberFormat="1" applyFont="1" applyFill="1" applyBorder="1" applyAlignment="1">
      <alignment horizontal="center" vertical="center"/>
    </xf>
    <xf numFmtId="167" fontId="2" fillId="13" borderId="6" xfId="1" applyNumberFormat="1" applyFont="1" applyFill="1" applyBorder="1" applyAlignment="1">
      <alignment horizontal="center" vertical="center"/>
    </xf>
    <xf numFmtId="167" fontId="2" fillId="13" borderId="12" xfId="1" applyNumberFormat="1" applyFont="1" applyFill="1" applyBorder="1" applyAlignment="1">
      <alignment horizontal="center" vertical="center"/>
    </xf>
    <xf numFmtId="9" fontId="29" fillId="2" borderId="4" xfId="2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9" fontId="4" fillId="8" borderId="4" xfId="2" applyFont="1" applyFill="1" applyBorder="1" applyAlignment="1">
      <alignment horizontal="center" vertical="center" wrapText="1"/>
    </xf>
    <xf numFmtId="0" fontId="2" fillId="13" borderId="0" xfId="0" applyFont="1" applyFill="1"/>
    <xf numFmtId="44" fontId="2" fillId="13" borderId="0" xfId="0" applyNumberFormat="1" applyFont="1" applyFill="1"/>
    <xf numFmtId="0" fontId="1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6" fillId="2" borderId="14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10" fontId="2" fillId="0" borderId="15" xfId="2" applyNumberFormat="1" applyFont="1" applyBorder="1" applyAlignment="1">
      <alignment horizontal="center"/>
    </xf>
    <xf numFmtId="0" fontId="4" fillId="4" borderId="16" xfId="1" applyNumberFormat="1" applyFont="1" applyFill="1" applyBorder="1" applyAlignment="1">
      <alignment horizontal="left" vertical="center"/>
    </xf>
    <xf numFmtId="0" fontId="4" fillId="4" borderId="17" xfId="1" applyNumberFormat="1" applyFont="1" applyFill="1" applyBorder="1" applyAlignment="1">
      <alignment horizontal="left" vertical="center"/>
    </xf>
    <xf numFmtId="0" fontId="4" fillId="4" borderId="16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44" fontId="0" fillId="0" borderId="18" xfId="0" applyNumberFormat="1" applyBorder="1"/>
    <xf numFmtId="44" fontId="0" fillId="0" borderId="19" xfId="0" applyNumberFormat="1" applyBorder="1"/>
    <xf numFmtId="0" fontId="0" fillId="2" borderId="20" xfId="0" applyFill="1" applyBorder="1"/>
    <xf numFmtId="44" fontId="0" fillId="2" borderId="22" xfId="0" applyNumberFormat="1" applyFill="1" applyBorder="1"/>
    <xf numFmtId="44" fontId="0" fillId="2" borderId="21" xfId="0" applyNumberFormat="1" applyFill="1" applyBorder="1"/>
    <xf numFmtId="10" fontId="0" fillId="0" borderId="18" xfId="0" applyNumberFormat="1" applyBorder="1"/>
    <xf numFmtId="10" fontId="0" fillId="0" borderId="19" xfId="0" applyNumberFormat="1" applyBorder="1"/>
    <xf numFmtId="10" fontId="0" fillId="2" borderId="22" xfId="0" applyNumberFormat="1" applyFill="1" applyBorder="1"/>
    <xf numFmtId="164" fontId="4" fillId="4" borderId="6" xfId="1" applyNumberFormat="1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16" fillId="3" borderId="0" xfId="0" applyFont="1" applyFill="1"/>
    <xf numFmtId="0" fontId="0" fillId="0" borderId="13" xfId="0" applyBorder="1"/>
    <xf numFmtId="44" fontId="2" fillId="12" borderId="0" xfId="1" applyFont="1" applyFill="1"/>
    <xf numFmtId="9" fontId="2" fillId="0" borderId="0" xfId="2" applyFont="1" applyAlignment="1">
      <alignment horizontal="center" vertical="center"/>
    </xf>
    <xf numFmtId="0" fontId="0" fillId="13" borderId="0" xfId="0" applyFill="1"/>
    <xf numFmtId="0" fontId="17" fillId="13" borderId="0" xfId="0" applyFont="1" applyFill="1" applyAlignment="1">
      <alignment horizontal="center" vertical="center"/>
    </xf>
    <xf numFmtId="9" fontId="0" fillId="0" borderId="0" xfId="0" applyNumberFormat="1"/>
    <xf numFmtId="0" fontId="4" fillId="4" borderId="6" xfId="1" applyNumberFormat="1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168" fontId="2" fillId="6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4" fillId="15" borderId="2" xfId="1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/>
    <xf numFmtId="0" fontId="2" fillId="0" borderId="15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2" fillId="0" borderId="20" xfId="0" applyNumberFormat="1" applyFont="1" applyBorder="1" applyAlignment="1">
      <alignment horizontal="center" vertical="center"/>
    </xf>
    <xf numFmtId="9" fontId="2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4" fontId="17" fillId="13" borderId="4" xfId="1" applyFont="1" applyFill="1" applyBorder="1"/>
    <xf numFmtId="0" fontId="0" fillId="0" borderId="15" xfId="0" applyBorder="1" applyAlignment="1">
      <alignment horizontal="center" vertical="center"/>
    </xf>
    <xf numFmtId="169" fontId="4" fillId="4" borderId="6" xfId="1" applyNumberFormat="1" applyFont="1" applyFill="1" applyBorder="1" applyAlignment="1">
      <alignment horizontal="center" vertical="center"/>
    </xf>
    <xf numFmtId="44" fontId="0" fillId="2" borderId="20" xfId="1" applyFont="1" applyFill="1" applyBorder="1"/>
    <xf numFmtId="10" fontId="0" fillId="2" borderId="21" xfId="0" applyNumberFormat="1" applyFill="1" applyBorder="1"/>
    <xf numFmtId="44" fontId="13" fillId="0" borderId="0" xfId="0" applyNumberFormat="1" applyFont="1" applyAlignment="1">
      <alignment horizontal="center" vertical="center"/>
    </xf>
    <xf numFmtId="9" fontId="2" fillId="0" borderId="0" xfId="2" applyFont="1"/>
    <xf numFmtId="0" fontId="19" fillId="14" borderId="0" xfId="0" applyFont="1" applyFill="1" applyAlignment="1">
      <alignment horizontal="center" vertical="center"/>
    </xf>
    <xf numFmtId="0" fontId="4" fillId="4" borderId="16" xfId="1" applyNumberFormat="1" applyFont="1" applyFill="1" applyBorder="1" applyAlignment="1">
      <alignment vertical="center"/>
    </xf>
    <xf numFmtId="0" fontId="4" fillId="4" borderId="17" xfId="1" applyNumberFormat="1" applyFont="1" applyFill="1" applyBorder="1" applyAlignment="1">
      <alignment vertical="center"/>
    </xf>
    <xf numFmtId="44" fontId="4" fillId="4" borderId="16" xfId="1" applyFont="1" applyFill="1" applyBorder="1" applyAlignment="1">
      <alignment horizontal="left" vertical="center"/>
    </xf>
    <xf numFmtId="0" fontId="31" fillId="0" borderId="16" xfId="1" applyNumberFormat="1" applyFont="1" applyFill="1" applyBorder="1" applyAlignment="1">
      <alignment horizontal="right" vertical="center"/>
    </xf>
    <xf numFmtId="44" fontId="32" fillId="0" borderId="16" xfId="1" applyFont="1" applyFill="1" applyBorder="1" applyAlignment="1">
      <alignment horizontal="left" vertical="center"/>
    </xf>
    <xf numFmtId="0" fontId="16" fillId="11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left" vertical="center"/>
    </xf>
    <xf numFmtId="10" fontId="0" fillId="2" borderId="20" xfId="1" applyNumberFormat="1" applyFont="1" applyFill="1" applyBorder="1"/>
    <xf numFmtId="0" fontId="0" fillId="0" borderId="0" xfId="2" applyNumberFormat="1" applyFont="1"/>
    <xf numFmtId="9" fontId="20" fillId="0" borderId="0" xfId="2" applyFont="1"/>
    <xf numFmtId="10" fontId="29" fillId="2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15" borderId="9" xfId="0" applyFont="1" applyFill="1" applyBorder="1" applyAlignment="1">
      <alignment vertical="center"/>
    </xf>
    <xf numFmtId="167" fontId="2" fillId="13" borderId="1" xfId="1" applyNumberFormat="1" applyFont="1" applyFill="1" applyBorder="1"/>
    <xf numFmtId="0" fontId="34" fillId="0" borderId="0" xfId="3" applyFont="1" applyAlignment="1">
      <alignment horizontal="left" indent="1"/>
    </xf>
    <xf numFmtId="167" fontId="34" fillId="0" borderId="0" xfId="3" applyNumberFormat="1" applyFont="1" applyAlignment="1">
      <alignment horizontal="left" indent="1"/>
    </xf>
    <xf numFmtId="0" fontId="34" fillId="16" borderId="0" xfId="3" applyFont="1" applyFill="1"/>
    <xf numFmtId="0" fontId="35" fillId="0" borderId="15" xfId="3" applyFont="1" applyBorder="1"/>
    <xf numFmtId="167" fontId="2" fillId="0" borderId="15" xfId="0" applyNumberFormat="1" applyFont="1" applyBorder="1"/>
    <xf numFmtId="0" fontId="34" fillId="0" borderId="0" xfId="3" applyFont="1"/>
    <xf numFmtId="0" fontId="35" fillId="0" borderId="0" xfId="3" applyFont="1" applyAlignment="1">
      <alignment horizontal="left" indent="1"/>
    </xf>
    <xf numFmtId="0" fontId="35" fillId="0" borderId="0" xfId="3" applyFont="1"/>
    <xf numFmtId="167" fontId="0" fillId="0" borderId="15" xfId="0" applyNumberFormat="1" applyBorder="1"/>
    <xf numFmtId="167" fontId="2" fillId="0" borderId="0" xfId="0" applyNumberFormat="1" applyFont="1"/>
    <xf numFmtId="164" fontId="0" fillId="0" borderId="0" xfId="0" applyNumberFormat="1" applyAlignment="1">
      <alignment horizontal="center"/>
    </xf>
    <xf numFmtId="0" fontId="36" fillId="0" borderId="0" xfId="3" applyFont="1"/>
    <xf numFmtId="0" fontId="37" fillId="0" borderId="0" xfId="3" applyFont="1" applyAlignment="1">
      <alignment horizontal="left" indent="2"/>
    </xf>
    <xf numFmtId="0" fontId="38" fillId="0" borderId="0" xfId="3" applyFont="1" applyAlignment="1">
      <alignment horizontal="left" indent="3"/>
    </xf>
    <xf numFmtId="0" fontId="35" fillId="0" borderId="0" xfId="3" applyFont="1" applyAlignment="1">
      <alignment horizontal="left" indent="2"/>
    </xf>
    <xf numFmtId="0" fontId="36" fillId="0" borderId="15" xfId="3" applyFont="1" applyBorder="1"/>
    <xf numFmtId="167" fontId="36" fillId="0" borderId="0" xfId="3" applyNumberFormat="1" applyFont="1"/>
    <xf numFmtId="0" fontId="40" fillId="0" borderId="0" xfId="3" applyFont="1"/>
    <xf numFmtId="0" fontId="41" fillId="7" borderId="0" xfId="3" applyFont="1" applyFill="1"/>
    <xf numFmtId="0" fontId="10" fillId="7" borderId="0" xfId="0" applyFont="1" applyFill="1"/>
    <xf numFmtId="1" fontId="0" fillId="0" borderId="0" xfId="0" applyNumberFormat="1" applyAlignment="1">
      <alignment horizontal="center" vertical="center"/>
    </xf>
    <xf numFmtId="170" fontId="0" fillId="0" borderId="0" xfId="1" applyNumberFormat="1" applyFont="1"/>
    <xf numFmtId="10" fontId="0" fillId="0" borderId="0" xfId="0" applyNumberFormat="1"/>
    <xf numFmtId="171" fontId="0" fillId="0" borderId="0" xfId="1" applyNumberFormat="1" applyFont="1"/>
    <xf numFmtId="164" fontId="4" fillId="2" borderId="24" xfId="5" applyNumberFormat="1" applyFont="1" applyFill="1" applyBorder="1" applyAlignment="1">
      <alignment horizontal="center" vertical="center" wrapText="1"/>
    </xf>
    <xf numFmtId="164" fontId="4" fillId="2" borderId="25" xfId="5" applyNumberFormat="1" applyFont="1" applyFill="1" applyBorder="1" applyAlignment="1">
      <alignment horizontal="center" vertical="center" wrapText="1"/>
    </xf>
    <xf numFmtId="164" fontId="4" fillId="0" borderId="4" xfId="5" applyNumberFormat="1" applyFont="1" applyFill="1" applyBorder="1" applyAlignment="1">
      <alignment horizontal="center" vertical="center" wrapText="1"/>
    </xf>
    <xf numFmtId="164" fontId="4" fillId="0" borderId="24" xfId="5" applyNumberFormat="1" applyFont="1" applyFill="1" applyBorder="1" applyAlignment="1">
      <alignment horizontal="center" vertical="center" wrapText="1"/>
    </xf>
    <xf numFmtId="0" fontId="4" fillId="2" borderId="26" xfId="5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3" fontId="42" fillId="0" borderId="0" xfId="0" applyNumberFormat="1" applyFont="1"/>
    <xf numFmtId="164" fontId="4" fillId="2" borderId="27" xfId="5" applyNumberFormat="1" applyFont="1" applyFill="1" applyBorder="1" applyAlignment="1">
      <alignment horizontal="center" vertical="center" wrapText="1"/>
    </xf>
    <xf numFmtId="10" fontId="9" fillId="0" borderId="0" xfId="0" applyNumberFormat="1" applyFont="1"/>
    <xf numFmtId="44" fontId="2" fillId="3" borderId="0" xfId="1" applyFont="1" applyFill="1"/>
    <xf numFmtId="44" fontId="4" fillId="4" borderId="4" xfId="1" applyFont="1" applyFill="1" applyBorder="1" applyAlignment="1">
      <alignment horizontal="left" vertical="center"/>
    </xf>
    <xf numFmtId="44" fontId="4" fillId="4" borderId="0" xfId="1" applyFont="1" applyFill="1" applyBorder="1" applyAlignment="1">
      <alignment horizontal="left" vertical="center"/>
    </xf>
    <xf numFmtId="0" fontId="43" fillId="0" borderId="0" xfId="0" applyFont="1" applyAlignment="1">
      <alignment horizontal="right"/>
    </xf>
    <xf numFmtId="0" fontId="5" fillId="0" borderId="0" xfId="0" applyFont="1"/>
    <xf numFmtId="44" fontId="0" fillId="15" borderId="0" xfId="0" applyNumberFormat="1" applyFill="1"/>
    <xf numFmtId="10" fontId="2" fillId="0" borderId="0" xfId="2" applyNumberFormat="1" applyFont="1" applyAlignment="1">
      <alignment horizontal="center"/>
    </xf>
    <xf numFmtId="0" fontId="2" fillId="9" borderId="0" xfId="0" applyFont="1" applyFill="1"/>
    <xf numFmtId="0" fontId="2" fillId="11" borderId="0" xfId="0" applyFont="1" applyFill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2" fillId="11" borderId="0" xfId="0" applyFont="1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2" fontId="0" fillId="0" borderId="0" xfId="0" applyNumberFormat="1"/>
    <xf numFmtId="172" fontId="0" fillId="0" borderId="0" xfId="0" applyNumberFormat="1"/>
    <xf numFmtId="44" fontId="2" fillId="0" borderId="0" xfId="1" applyFont="1" applyFill="1"/>
    <xf numFmtId="9" fontId="16" fillId="5" borderId="11" xfId="0" applyNumberFormat="1" applyFont="1" applyFill="1" applyBorder="1" applyAlignment="1">
      <alignment horizontal="center" vertical="center"/>
    </xf>
    <xf numFmtId="167" fontId="2" fillId="13" borderId="4" xfId="1" applyNumberFormat="1" applyFont="1" applyFill="1" applyBorder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7" fontId="2" fillId="13" borderId="1" xfId="1" applyNumberFormat="1" applyFont="1" applyFill="1" applyBorder="1" applyAlignment="1">
      <alignment horizontal="left" vertical="center"/>
    </xf>
    <xf numFmtId="167" fontId="2" fillId="13" borderId="12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9" fontId="2" fillId="0" borderId="0" xfId="0" applyNumberFormat="1" applyFont="1"/>
    <xf numFmtId="0" fontId="0" fillId="0" borderId="17" xfId="0" applyBorder="1"/>
    <xf numFmtId="3" fontId="44" fillId="3" borderId="4" xfId="0" applyNumberFormat="1" applyFont="1" applyFill="1" applyBorder="1" applyAlignment="1">
      <alignment horizontal="left" vertical="center" wrapText="1"/>
    </xf>
    <xf numFmtId="3" fontId="45" fillId="3" borderId="4" xfId="0" applyNumberFormat="1" applyFont="1" applyFill="1" applyBorder="1" applyAlignment="1">
      <alignment horizontal="right" vertical="center" wrapText="1"/>
    </xf>
    <xf numFmtId="0" fontId="2" fillId="19" borderId="0" xfId="0" applyFont="1" applyFill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5" applyFont="1" applyFill="1" applyBorder="1" applyAlignment="1">
      <alignment horizontal="left" vertical="center" wrapText="1"/>
    </xf>
    <xf numFmtId="0" fontId="8" fillId="6" borderId="7" xfId="5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10" fontId="2" fillId="0" borderId="21" xfId="2" applyNumberFormat="1" applyFont="1" applyBorder="1"/>
    <xf numFmtId="44" fontId="16" fillId="8" borderId="0" xfId="0" applyNumberFormat="1" applyFont="1" applyFill="1"/>
    <xf numFmtId="10" fontId="47" fillId="0" borderId="0" xfId="2" applyNumberFormat="1" applyFont="1"/>
    <xf numFmtId="43" fontId="47" fillId="0" borderId="0" xfId="4" applyFont="1"/>
    <xf numFmtId="0" fontId="11" fillId="0" borderId="0" xfId="0" applyFont="1"/>
    <xf numFmtId="0" fontId="2" fillId="0" borderId="21" xfId="0" applyFont="1" applyBorder="1"/>
    <xf numFmtId="0" fontId="2" fillId="0" borderId="21" xfId="0" quotePrefix="1" applyFont="1" applyBorder="1"/>
    <xf numFmtId="10" fontId="2" fillId="0" borderId="21" xfId="0" applyNumberFormat="1" applyFont="1" applyBorder="1"/>
    <xf numFmtId="0" fontId="0" fillId="0" borderId="0" xfId="0" quotePrefix="1"/>
    <xf numFmtId="173" fontId="2" fillId="0" borderId="21" xfId="2" applyNumberFormat="1" applyFont="1" applyBorder="1"/>
    <xf numFmtId="9" fontId="48" fillId="0" borderId="0" xfId="2" applyFont="1"/>
    <xf numFmtId="14" fontId="49" fillId="20" borderId="30" xfId="0" applyNumberFormat="1" applyFont="1" applyFill="1" applyBorder="1" applyAlignment="1">
      <alignment horizontal="left" vertical="center" wrapText="1"/>
    </xf>
    <xf numFmtId="0" fontId="49" fillId="20" borderId="31" xfId="0" applyFont="1" applyFill="1" applyBorder="1" applyAlignment="1">
      <alignment horizontal="right" vertical="center" wrapText="1"/>
    </xf>
    <xf numFmtId="14" fontId="49" fillId="21" borderId="30" xfId="0" applyNumberFormat="1" applyFont="1" applyFill="1" applyBorder="1" applyAlignment="1">
      <alignment horizontal="left" vertical="center" wrapText="1"/>
    </xf>
    <xf numFmtId="0" fontId="49" fillId="21" borderId="31" xfId="0" applyFont="1" applyFill="1" applyBorder="1" applyAlignment="1">
      <alignment horizontal="right" vertical="center" wrapText="1"/>
    </xf>
    <xf numFmtId="14" fontId="49" fillId="22" borderId="30" xfId="0" applyNumberFormat="1" applyFont="1" applyFill="1" applyBorder="1" applyAlignment="1">
      <alignment horizontal="left" vertical="center" wrapText="1"/>
    </xf>
    <xf numFmtId="0" fontId="49" fillId="22" borderId="31" xfId="0" applyFont="1" applyFill="1" applyBorder="1" applyAlignment="1">
      <alignment horizontal="right" vertical="center" wrapText="1"/>
    </xf>
    <xf numFmtId="0" fontId="50" fillId="23" borderId="0" xfId="0" applyFont="1" applyFill="1"/>
    <xf numFmtId="0" fontId="50" fillId="23" borderId="0" xfId="0" applyFont="1" applyFill="1" applyAlignment="1">
      <alignment horizontal="right"/>
    </xf>
    <xf numFmtId="0" fontId="8" fillId="6" borderId="4" xfId="5" applyFont="1" applyFill="1" applyBorder="1" applyAlignment="1">
      <alignment horizontal="left" vertical="center"/>
    </xf>
    <xf numFmtId="0" fontId="8" fillId="6" borderId="4" xfId="5" quotePrefix="1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8" fillId="6" borderId="4" xfId="5" quotePrefix="1" applyFont="1" applyFill="1" applyBorder="1" applyAlignment="1">
      <alignment horizontal="left" vertical="center"/>
    </xf>
    <xf numFmtId="0" fontId="46" fillId="15" borderId="9" xfId="0" applyFont="1" applyFill="1" applyBorder="1" applyAlignment="1">
      <alignment horizontal="left" vertical="center"/>
    </xf>
    <xf numFmtId="0" fontId="31" fillId="6" borderId="4" xfId="5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/>
    </xf>
    <xf numFmtId="172" fontId="2" fillId="0" borderId="0" xfId="0" applyNumberFormat="1" applyFont="1"/>
    <xf numFmtId="173" fontId="16" fillId="0" borderId="0" xfId="2" applyNumberFormat="1" applyFont="1"/>
    <xf numFmtId="0" fontId="2" fillId="5" borderId="0" xfId="0" applyFont="1" applyFill="1" applyAlignment="1">
      <alignment horizontal="center" vertical="center"/>
    </xf>
    <xf numFmtId="0" fontId="0" fillId="0" borderId="21" xfId="0" applyBorder="1"/>
    <xf numFmtId="10" fontId="47" fillId="0" borderId="21" xfId="2" applyNumberFormat="1" applyFont="1" applyBorder="1"/>
    <xf numFmtId="0" fontId="8" fillId="4" borderId="0" xfId="0" applyFont="1" applyFill="1" applyAlignment="1">
      <alignment horizontal="center" vertical="center"/>
    </xf>
    <xf numFmtId="168" fontId="16" fillId="4" borderId="0" xfId="0" applyNumberFormat="1" applyFont="1" applyFill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 vertical="center" wrapText="1"/>
    </xf>
    <xf numFmtId="164" fontId="10" fillId="4" borderId="3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" fontId="2" fillId="0" borderId="0" xfId="0" applyNumberFormat="1" applyFont="1" applyAlignment="1">
      <alignment horizontal="center" vertical="center"/>
    </xf>
    <xf numFmtId="167" fontId="2" fillId="0" borderId="4" xfId="1" applyNumberFormat="1" applyFont="1" applyFill="1" applyBorder="1" applyAlignment="1">
      <alignment horizontal="center" vertical="center"/>
    </xf>
    <xf numFmtId="164" fontId="20" fillId="0" borderId="0" xfId="0" applyNumberFormat="1" applyFont="1"/>
    <xf numFmtId="44" fontId="2" fillId="15" borderId="0" xfId="0" applyNumberFormat="1" applyFont="1" applyFill="1"/>
    <xf numFmtId="0" fontId="2" fillId="15" borderId="0" xfId="0" applyFont="1" applyFill="1" applyAlignment="1">
      <alignment horizontal="left" vertical="center"/>
    </xf>
    <xf numFmtId="44" fontId="2" fillId="15" borderId="0" xfId="1" applyFont="1" applyFill="1"/>
    <xf numFmtId="0" fontId="13" fillId="0" borderId="0" xfId="0" applyFont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3" fillId="2" borderId="0" xfId="5" applyFill="1"/>
    <xf numFmtId="0" fontId="16" fillId="12" borderId="0" xfId="0" applyFont="1" applyFill="1" applyAlignment="1">
      <alignment vertical="center"/>
    </xf>
    <xf numFmtId="10" fontId="0" fillId="0" borderId="19" xfId="0" applyNumberFormat="1" applyBorder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20" fillId="24" borderId="0" xfId="0" applyFont="1" applyFill="1"/>
    <xf numFmtId="10" fontId="28" fillId="0" borderId="11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17" fontId="0" fillId="0" borderId="0" xfId="0" applyNumberFormat="1"/>
    <xf numFmtId="168" fontId="0" fillId="0" borderId="0" xfId="0" applyNumberFormat="1"/>
    <xf numFmtId="0" fontId="0" fillId="0" borderId="0" xfId="1" applyNumberFormat="1" applyFont="1"/>
    <xf numFmtId="0" fontId="2" fillId="15" borderId="0" xfId="0" applyFont="1" applyFill="1"/>
    <xf numFmtId="44" fontId="2" fillId="0" borderId="15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8" fontId="0" fillId="0" borderId="0" xfId="0" applyNumberFormat="1"/>
    <xf numFmtId="44" fontId="2" fillId="0" borderId="0" xfId="1" applyFont="1" applyAlignment="1">
      <alignment vertical="center"/>
    </xf>
    <xf numFmtId="0" fontId="0" fillId="0" borderId="15" xfId="0" applyBorder="1" applyAlignment="1">
      <alignment vertical="center"/>
    </xf>
    <xf numFmtId="44" fontId="0" fillId="0" borderId="15" xfId="1" applyFont="1" applyBorder="1" applyAlignment="1">
      <alignment vertical="center"/>
    </xf>
    <xf numFmtId="44" fontId="2" fillId="16" borderId="13" xfId="1" applyFont="1" applyFill="1" applyBorder="1"/>
    <xf numFmtId="9" fontId="52" fillId="18" borderId="11" xfId="2" applyFont="1" applyFill="1" applyBorder="1" applyAlignment="1">
      <alignment horizontal="center" vertical="center"/>
    </xf>
    <xf numFmtId="10" fontId="52" fillId="18" borderId="11" xfId="2" applyNumberFormat="1" applyFont="1" applyFill="1" applyBorder="1" applyAlignment="1">
      <alignment horizontal="center" vertical="center"/>
    </xf>
    <xf numFmtId="171" fontId="52" fillId="18" borderId="11" xfId="1" applyNumberFormat="1" applyFont="1" applyFill="1" applyBorder="1" applyAlignment="1">
      <alignment horizontal="center" vertical="center"/>
    </xf>
    <xf numFmtId="44" fontId="52" fillId="18" borderId="11" xfId="1" applyFont="1" applyFill="1" applyBorder="1" applyAlignment="1">
      <alignment horizontal="center" vertical="center"/>
    </xf>
    <xf numFmtId="0" fontId="53" fillId="18" borderId="0" xfId="0" applyFont="1" applyFill="1" applyAlignment="1">
      <alignment horizontal="center"/>
    </xf>
    <xf numFmtId="0" fontId="52" fillId="18" borderId="11" xfId="2" applyNumberFormat="1" applyFont="1" applyFill="1" applyBorder="1" applyAlignment="1">
      <alignment horizontal="center" vertical="center"/>
    </xf>
    <xf numFmtId="0" fontId="30" fillId="0" borderId="0" xfId="0" applyFont="1"/>
    <xf numFmtId="175" fontId="16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44" fontId="0" fillId="13" borderId="0" xfId="1" applyFont="1" applyFill="1"/>
    <xf numFmtId="0" fontId="2" fillId="0" borderId="0" xfId="0" applyFont="1" applyAlignment="1">
      <alignment horizontal="left" vertical="center"/>
    </xf>
    <xf numFmtId="0" fontId="54" fillId="0" borderId="0" xfId="0" applyFont="1"/>
    <xf numFmtId="176" fontId="0" fillId="0" borderId="0" xfId="0" applyNumberFormat="1"/>
    <xf numFmtId="44" fontId="0" fillId="25" borderId="0" xfId="0" applyNumberFormat="1" applyFill="1"/>
    <xf numFmtId="177" fontId="0" fillId="0" borderId="0" xfId="1" applyNumberFormat="1" applyFont="1"/>
    <xf numFmtId="0" fontId="55" fillId="0" borderId="0" xfId="0" applyFont="1"/>
    <xf numFmtId="8" fontId="55" fillId="0" borderId="0" xfId="0" applyNumberFormat="1" applyFont="1"/>
    <xf numFmtId="0" fontId="56" fillId="0" borderId="33" xfId="0" applyFont="1" applyBorder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center"/>
    </xf>
    <xf numFmtId="176" fontId="57" fillId="0" borderId="0" xfId="0" applyNumberFormat="1" applyFont="1" applyAlignment="1">
      <alignment horizontal="center"/>
    </xf>
    <xf numFmtId="0" fontId="58" fillId="0" borderId="0" xfId="0" applyFont="1"/>
    <xf numFmtId="176" fontId="59" fillId="0" borderId="0" xfId="0" applyNumberFormat="1" applyFont="1"/>
    <xf numFmtId="0" fontId="2" fillId="15" borderId="0" xfId="0" applyFont="1" applyFill="1" applyAlignment="1">
      <alignment horizontal="left"/>
    </xf>
    <xf numFmtId="3" fontId="0" fillId="0" borderId="0" xfId="0" applyNumberFormat="1" applyAlignment="1">
      <alignment horizontal="center" vertical="center"/>
    </xf>
    <xf numFmtId="0" fontId="2" fillId="11" borderId="15" xfId="0" applyFont="1" applyFill="1" applyBorder="1"/>
    <xf numFmtId="0" fontId="2" fillId="11" borderId="15" xfId="0" applyFont="1" applyFill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2" fillId="9" borderId="15" xfId="0" applyFont="1" applyFill="1" applyBorder="1"/>
    <xf numFmtId="44" fontId="0" fillId="25" borderId="15" xfId="0" applyNumberFormat="1" applyFill="1" applyBorder="1"/>
    <xf numFmtId="44" fontId="61" fillId="25" borderId="11" xfId="1" applyFont="1" applyFill="1" applyBorder="1" applyAlignment="1">
      <alignment horizontal="center" vertical="center"/>
    </xf>
    <xf numFmtId="10" fontId="62" fillId="0" borderId="0" xfId="2" applyNumberFormat="1" applyFont="1"/>
    <xf numFmtId="10" fontId="28" fillId="12" borderId="11" xfId="2" applyNumberFormat="1" applyFont="1" applyFill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0" fontId="51" fillId="0" borderId="0" xfId="0" applyFont="1"/>
    <xf numFmtId="167" fontId="43" fillId="0" borderId="0" xfId="0" applyNumberFormat="1" applyFont="1" applyAlignment="1">
      <alignment horizontal="left"/>
    </xf>
    <xf numFmtId="0" fontId="63" fillId="0" borderId="0" xfId="3" applyFont="1"/>
    <xf numFmtId="0" fontId="0" fillId="0" borderId="0" xfId="0" applyAlignment="1">
      <alignment horizontal="left" vertical="center" indent="1"/>
    </xf>
    <xf numFmtId="9" fontId="0" fillId="0" borderId="0" xfId="2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78" fontId="0" fillId="0" borderId="0" xfId="2" applyNumberFormat="1" applyFont="1"/>
    <xf numFmtId="10" fontId="0" fillId="15" borderId="0" xfId="0" applyNumberFormat="1" applyFill="1"/>
    <xf numFmtId="0" fontId="69" fillId="0" borderId="0" xfId="0" applyFont="1" applyAlignment="1">
      <alignment horizontal="left" vertical="center" indent="13"/>
    </xf>
    <xf numFmtId="178" fontId="0" fillId="0" borderId="0" xfId="0" applyNumberFormat="1"/>
    <xf numFmtId="10" fontId="5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35" xfId="0" applyBorder="1" applyAlignment="1">
      <alignment vertical="center"/>
    </xf>
    <xf numFmtId="0" fontId="71" fillId="10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44" fontId="10" fillId="4" borderId="0" xfId="1" applyFont="1" applyFill="1" applyBorder="1" applyAlignment="1">
      <alignment horizontal="center" vertical="center" wrapText="1"/>
    </xf>
    <xf numFmtId="44" fontId="2" fillId="19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horizontal="center"/>
    </xf>
    <xf numFmtId="173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0" fillId="4" borderId="0" xfId="0" applyNumberFormat="1" applyFont="1" applyFill="1" applyAlignment="1">
      <alignment horizontal="center" vertical="center" wrapText="1"/>
    </xf>
    <xf numFmtId="0" fontId="0" fillId="12" borderId="0" xfId="0" applyFill="1"/>
    <xf numFmtId="0" fontId="2" fillId="12" borderId="0" xfId="0" applyFont="1" applyFill="1"/>
    <xf numFmtId="0" fontId="19" fillId="12" borderId="0" xfId="0" applyFont="1" applyFill="1"/>
    <xf numFmtId="0" fontId="19" fillId="0" borderId="0" xfId="0" applyFont="1"/>
    <xf numFmtId="0" fontId="2" fillId="4" borderId="0" xfId="0" applyFont="1" applyFill="1" applyAlignment="1">
      <alignment horizontal="center"/>
    </xf>
    <xf numFmtId="179" fontId="29" fillId="2" borderId="4" xfId="2" applyNumberFormat="1" applyFont="1" applyFill="1" applyBorder="1" applyAlignment="1">
      <alignment horizontal="center" vertical="center"/>
    </xf>
    <xf numFmtId="9" fontId="4" fillId="8" borderId="13" xfId="2" applyFont="1" applyFill="1" applyBorder="1" applyAlignment="1">
      <alignment horizontal="center" vertical="center" wrapText="1"/>
    </xf>
    <xf numFmtId="9" fontId="4" fillId="8" borderId="8" xfId="2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top"/>
    </xf>
    <xf numFmtId="0" fontId="59" fillId="28" borderId="11" xfId="0" applyFont="1" applyFill="1" applyBorder="1" applyAlignment="1">
      <alignment horizontal="center"/>
    </xf>
    <xf numFmtId="0" fontId="59" fillId="28" borderId="22" xfId="0" applyFont="1" applyFill="1" applyBorder="1" applyAlignment="1">
      <alignment horizontal="center"/>
    </xf>
    <xf numFmtId="0" fontId="73" fillId="0" borderId="36" xfId="0" applyFont="1" applyBorder="1"/>
    <xf numFmtId="0" fontId="73" fillId="0" borderId="36" xfId="0" applyFont="1" applyBorder="1" applyAlignment="1">
      <alignment horizontal="left" vertical="center"/>
    </xf>
    <xf numFmtId="0" fontId="73" fillId="0" borderId="37" xfId="0" applyFont="1" applyBorder="1" applyAlignment="1">
      <alignment horizontal="center"/>
    </xf>
    <xf numFmtId="0" fontId="73" fillId="0" borderId="37" xfId="0" applyFont="1" applyBorder="1" applyAlignment="1">
      <alignment horizontal="center" vertical="center"/>
    </xf>
    <xf numFmtId="1" fontId="73" fillId="0" borderId="37" xfId="0" applyNumberFormat="1" applyFont="1" applyBorder="1" applyAlignment="1">
      <alignment horizontal="center" vertical="center"/>
    </xf>
    <xf numFmtId="172" fontId="73" fillId="0" borderId="37" xfId="0" applyNumberFormat="1" applyFont="1" applyBorder="1" applyAlignment="1">
      <alignment horizontal="center" vertical="center"/>
    </xf>
    <xf numFmtId="180" fontId="73" fillId="0" borderId="37" xfId="0" applyNumberFormat="1" applyFont="1" applyBorder="1" applyAlignment="1">
      <alignment horizontal="center" vertical="center"/>
    </xf>
    <xf numFmtId="0" fontId="73" fillId="0" borderId="37" xfId="0" applyFont="1" applyBorder="1" applyAlignment="1">
      <alignment horizontal="center" wrapText="1"/>
    </xf>
    <xf numFmtId="10" fontId="73" fillId="0" borderId="37" xfId="0" applyNumberFormat="1" applyFont="1" applyBorder="1" applyAlignment="1">
      <alignment horizontal="center" vertical="center"/>
    </xf>
    <xf numFmtId="0" fontId="73" fillId="0" borderId="38" xfId="0" applyFont="1" applyBorder="1" applyAlignment="1">
      <alignment horizontal="center"/>
    </xf>
    <xf numFmtId="10" fontId="73" fillId="0" borderId="36" xfId="0" applyNumberFormat="1" applyFont="1" applyBorder="1" applyAlignment="1">
      <alignment horizontal="center" vertical="center"/>
    </xf>
    <xf numFmtId="167" fontId="73" fillId="0" borderId="37" xfId="0" applyNumberFormat="1" applyFont="1" applyBorder="1" applyAlignment="1">
      <alignment horizontal="center" vertical="center"/>
    </xf>
    <xf numFmtId="181" fontId="52" fillId="18" borderId="11" xfId="1" applyNumberFormat="1" applyFont="1" applyFill="1" applyBorder="1" applyAlignment="1">
      <alignment horizontal="center" vertical="center"/>
    </xf>
    <xf numFmtId="10" fontId="0" fillId="28" borderId="0" xfId="2" applyNumberFormat="1" applyFont="1" applyFill="1"/>
    <xf numFmtId="164" fontId="0" fillId="4" borderId="0" xfId="0" applyNumberFormat="1" applyFill="1" applyAlignment="1">
      <alignment horizontal="center"/>
    </xf>
    <xf numFmtId="167" fontId="7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42" fillId="0" borderId="0" xfId="0" applyNumberFormat="1" applyFont="1" applyAlignment="1">
      <alignment horizontal="center" vertical="center"/>
    </xf>
    <xf numFmtId="167" fontId="72" fillId="0" borderId="15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44" fontId="16" fillId="25" borderId="0" xfId="0" applyNumberFormat="1" applyFont="1" applyFill="1"/>
    <xf numFmtId="0" fontId="74" fillId="28" borderId="22" xfId="0" applyFont="1" applyFill="1" applyBorder="1" applyAlignment="1">
      <alignment horizontal="center"/>
    </xf>
    <xf numFmtId="2" fontId="73" fillId="0" borderId="37" xfId="0" applyNumberFormat="1" applyFont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3" fontId="2" fillId="17" borderId="17" xfId="0" applyNumberFormat="1" applyFont="1" applyFill="1" applyBorder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6" borderId="2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left" vertical="center" wrapText="1"/>
    </xf>
    <xf numFmtId="0" fontId="8" fillId="6" borderId="3" xfId="5" applyFont="1" applyFill="1" applyBorder="1" applyAlignment="1">
      <alignment horizontal="left" vertical="center" wrapText="1"/>
    </xf>
    <xf numFmtId="0" fontId="2" fillId="6" borderId="28" xfId="0" quotePrefix="1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19" fillId="14" borderId="0" xfId="0" applyFont="1" applyFill="1" applyAlignment="1">
      <alignment horizontal="center" vertical="center"/>
    </xf>
    <xf numFmtId="0" fontId="10" fillId="4" borderId="9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</cellXfs>
  <cellStyles count="9">
    <cellStyle name="Hiperlink" xfId="5" builtinId="8"/>
    <cellStyle name="Moeda" xfId="1" builtinId="4"/>
    <cellStyle name="Normal" xfId="0" builtinId="0"/>
    <cellStyle name="Normal 2" xfId="3"/>
    <cellStyle name="Porcentagem" xfId="2" builtinId="5"/>
    <cellStyle name="Título1" xfId="7"/>
    <cellStyle name="Título3" xfId="8"/>
    <cellStyle name="Transferido" xfId="6"/>
    <cellStyle name="Vírgula" xfId="4" builtinId="3"/>
  </cellStyles>
  <dxfs count="13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D5D31"/>
        </patternFill>
      </fill>
    </dxf>
    <dxf>
      <fill>
        <patternFill>
          <bgColor rgb="FFEC645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A8B4"/>
      <color rgb="FF663300"/>
      <color rgb="FF655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'Premissas Gerais'!$K$33</c:f>
              <c:strCache>
                <c:ptCount val="1"/>
                <c:pt idx="0">
                  <c:v>Hospedagem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'Premissas Gerais'!$M$32:$AU$32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Gerais'!$M$33:$AU$33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3243021.6000000006</c:v>
                </c:pt>
                <c:pt idx="3">
                  <c:v>3243021.6000000006</c:v>
                </c:pt>
                <c:pt idx="4">
                  <c:v>3243021.6000000006</c:v>
                </c:pt>
                <c:pt idx="5">
                  <c:v>3243021.6000000006</c:v>
                </c:pt>
                <c:pt idx="6">
                  <c:v>3243021.6000000006</c:v>
                </c:pt>
                <c:pt idx="7">
                  <c:v>3243021.6000000006</c:v>
                </c:pt>
                <c:pt idx="8">
                  <c:v>3243021.6000000006</c:v>
                </c:pt>
                <c:pt idx="9">
                  <c:v>3243021.6000000006</c:v>
                </c:pt>
                <c:pt idx="10">
                  <c:v>3243021.6000000006</c:v>
                </c:pt>
                <c:pt idx="11">
                  <c:v>3243021.6000000006</c:v>
                </c:pt>
                <c:pt idx="12">
                  <c:v>3243021.6000000006</c:v>
                </c:pt>
                <c:pt idx="13">
                  <c:v>3243021.6000000006</c:v>
                </c:pt>
                <c:pt idx="14">
                  <c:v>3243021.6000000006</c:v>
                </c:pt>
                <c:pt idx="15">
                  <c:v>3243021.6000000006</c:v>
                </c:pt>
                <c:pt idx="16">
                  <c:v>3243021.6000000006</c:v>
                </c:pt>
                <c:pt idx="17">
                  <c:v>3243021.6000000006</c:v>
                </c:pt>
                <c:pt idx="18">
                  <c:v>3243021.6000000006</c:v>
                </c:pt>
                <c:pt idx="19">
                  <c:v>3243021.6000000006</c:v>
                </c:pt>
                <c:pt idx="20">
                  <c:v>3243021.6000000006</c:v>
                </c:pt>
                <c:pt idx="21">
                  <c:v>3243021.6000000006</c:v>
                </c:pt>
                <c:pt idx="22">
                  <c:v>3243021.6000000006</c:v>
                </c:pt>
                <c:pt idx="23">
                  <c:v>3243021.6000000006</c:v>
                </c:pt>
                <c:pt idx="24">
                  <c:v>3243021.6000000006</c:v>
                </c:pt>
                <c:pt idx="25">
                  <c:v>3243021.6000000006</c:v>
                </c:pt>
                <c:pt idx="26">
                  <c:v>3243021.6000000006</c:v>
                </c:pt>
                <c:pt idx="27">
                  <c:v>3243021.6000000006</c:v>
                </c:pt>
                <c:pt idx="28">
                  <c:v>3243021.6000000006</c:v>
                </c:pt>
                <c:pt idx="29">
                  <c:v>3243021.6000000006</c:v>
                </c:pt>
                <c:pt idx="30">
                  <c:v>3243021.6000000006</c:v>
                </c:pt>
                <c:pt idx="31">
                  <c:v>3243021.6000000006</c:v>
                </c:pt>
                <c:pt idx="32">
                  <c:v>3243021.6000000006</c:v>
                </c:pt>
                <c:pt idx="33">
                  <c:v>3243021.6000000006</c:v>
                </c:pt>
                <c:pt idx="34">
                  <c:v>3243021.6000000006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5-4F99-A785-DBDDEF6DAD0D}"/>
            </c:ext>
          </c:extLst>
        </c:ser>
        <c:ser>
          <c:idx val="1"/>
          <c:order val="1"/>
          <c:tx>
            <c:strRef>
              <c:f>'Premissas Gerais'!$K$34</c:f>
              <c:strCache>
                <c:ptCount val="1"/>
                <c:pt idx="0">
                  <c:v>Arrendamento Restaurante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'Premissas Gerais'!$M$32:$AU$32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Gerais'!$M$34:$AU$34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50048.895078000009</c:v>
                </c:pt>
                <c:pt idx="3">
                  <c:v>50048.895078000009</c:v>
                </c:pt>
                <c:pt idx="4">
                  <c:v>50048.895078000009</c:v>
                </c:pt>
                <c:pt idx="5">
                  <c:v>50048.895078000009</c:v>
                </c:pt>
                <c:pt idx="6">
                  <c:v>50048.895078000009</c:v>
                </c:pt>
                <c:pt idx="7">
                  <c:v>50048.895078000009</c:v>
                </c:pt>
                <c:pt idx="8">
                  <c:v>50048.895078000009</c:v>
                </c:pt>
                <c:pt idx="9">
                  <c:v>50048.895078000009</c:v>
                </c:pt>
                <c:pt idx="10">
                  <c:v>50048.895078000009</c:v>
                </c:pt>
                <c:pt idx="11">
                  <c:v>53898.810084000012</c:v>
                </c:pt>
                <c:pt idx="12">
                  <c:v>53898.810084000012</c:v>
                </c:pt>
                <c:pt idx="13">
                  <c:v>53898.810084000012</c:v>
                </c:pt>
                <c:pt idx="14">
                  <c:v>53898.810084000012</c:v>
                </c:pt>
                <c:pt idx="15">
                  <c:v>53898.810084000012</c:v>
                </c:pt>
                <c:pt idx="16">
                  <c:v>53898.810084000012</c:v>
                </c:pt>
                <c:pt idx="17">
                  <c:v>53898.810084000012</c:v>
                </c:pt>
                <c:pt idx="18">
                  <c:v>53898.810084000012</c:v>
                </c:pt>
                <c:pt idx="19">
                  <c:v>53898.810084000012</c:v>
                </c:pt>
                <c:pt idx="20">
                  <c:v>53898.810084000012</c:v>
                </c:pt>
                <c:pt idx="21">
                  <c:v>53898.810084000012</c:v>
                </c:pt>
                <c:pt idx="22">
                  <c:v>53898.810084000012</c:v>
                </c:pt>
                <c:pt idx="23">
                  <c:v>53898.810084000012</c:v>
                </c:pt>
                <c:pt idx="24">
                  <c:v>53898.810084000012</c:v>
                </c:pt>
                <c:pt idx="25">
                  <c:v>53898.810084000012</c:v>
                </c:pt>
                <c:pt idx="26">
                  <c:v>53898.810084000012</c:v>
                </c:pt>
                <c:pt idx="27">
                  <c:v>53898.810084000012</c:v>
                </c:pt>
                <c:pt idx="28">
                  <c:v>53898.810084000012</c:v>
                </c:pt>
                <c:pt idx="29">
                  <c:v>53898.810084000012</c:v>
                </c:pt>
                <c:pt idx="30">
                  <c:v>53898.810084000012</c:v>
                </c:pt>
                <c:pt idx="31">
                  <c:v>53898.810084000012</c:v>
                </c:pt>
                <c:pt idx="32">
                  <c:v>53898.810084000012</c:v>
                </c:pt>
                <c:pt idx="33">
                  <c:v>53898.810084000012</c:v>
                </c:pt>
                <c:pt idx="34">
                  <c:v>53898.810084000012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5-4F99-A785-DBDDEF6D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186072"/>
        <c:axId val="419188032"/>
      </c:barChart>
      <c:catAx>
        <c:axId val="419186072"/>
        <c:scaling>
          <c:orientation val="minMax"/>
        </c:scaling>
        <c:delete val="0"/>
        <c:axPos val="b"/>
        <c:numFmt formatCode="&quot;Ano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8032"/>
        <c:crosses val="autoZero"/>
        <c:auto val="1"/>
        <c:lblAlgn val="ctr"/>
        <c:lblOffset val="100"/>
        <c:noMultiLvlLbl val="0"/>
      </c:catAx>
      <c:valAx>
        <c:axId val="4191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6072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'Premissas Gerais'!$AW$45:$AX$45</c:f>
              <c:strCache>
                <c:ptCount val="2"/>
                <c:pt idx="0">
                  <c:v>FOPAG  Direta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'Premissas Gerais'!$AY$44:$CG$44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Gerais'!$AY$45:$CG$45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848304.40401382442</c:v>
                </c:pt>
                <c:pt idx="3">
                  <c:v>848304.40401382442</c:v>
                </c:pt>
                <c:pt idx="4">
                  <c:v>848304.40401382442</c:v>
                </c:pt>
                <c:pt idx="5">
                  <c:v>848304.40401382442</c:v>
                </c:pt>
                <c:pt idx="6">
                  <c:v>848304.40401382442</c:v>
                </c:pt>
                <c:pt idx="7">
                  <c:v>848304.40401382442</c:v>
                </c:pt>
                <c:pt idx="8">
                  <c:v>848304.40401382442</c:v>
                </c:pt>
                <c:pt idx="9">
                  <c:v>848304.40401382442</c:v>
                </c:pt>
                <c:pt idx="10">
                  <c:v>848304.40401382442</c:v>
                </c:pt>
                <c:pt idx="11">
                  <c:v>848304.40401382442</c:v>
                </c:pt>
                <c:pt idx="12">
                  <c:v>848304.40401382442</c:v>
                </c:pt>
                <c:pt idx="13">
                  <c:v>848304.40401382442</c:v>
                </c:pt>
                <c:pt idx="14">
                  <c:v>848304.40401382442</c:v>
                </c:pt>
                <c:pt idx="15">
                  <c:v>848304.40401382442</c:v>
                </c:pt>
                <c:pt idx="16">
                  <c:v>848304.40401382442</c:v>
                </c:pt>
                <c:pt idx="17">
                  <c:v>848304.40401382442</c:v>
                </c:pt>
                <c:pt idx="18">
                  <c:v>848304.40401382442</c:v>
                </c:pt>
                <c:pt idx="19">
                  <c:v>848304.40401382442</c:v>
                </c:pt>
                <c:pt idx="20">
                  <c:v>848304.40401382442</c:v>
                </c:pt>
                <c:pt idx="21">
                  <c:v>848304.40401382442</c:v>
                </c:pt>
                <c:pt idx="22">
                  <c:v>848304.40401382442</c:v>
                </c:pt>
                <c:pt idx="23">
                  <c:v>848304.40401382442</c:v>
                </c:pt>
                <c:pt idx="24">
                  <c:v>848304.40401382442</c:v>
                </c:pt>
                <c:pt idx="25">
                  <c:v>848304.40401382442</c:v>
                </c:pt>
                <c:pt idx="26">
                  <c:v>848304.40401382442</c:v>
                </c:pt>
                <c:pt idx="27">
                  <c:v>848304.40401382442</c:v>
                </c:pt>
                <c:pt idx="28">
                  <c:v>848304.40401382442</c:v>
                </c:pt>
                <c:pt idx="29">
                  <c:v>848304.40401382442</c:v>
                </c:pt>
                <c:pt idx="30">
                  <c:v>848304.40401382442</c:v>
                </c:pt>
                <c:pt idx="31">
                  <c:v>848304.40401382442</c:v>
                </c:pt>
                <c:pt idx="32">
                  <c:v>848304.40401382442</c:v>
                </c:pt>
                <c:pt idx="33">
                  <c:v>848304.40401382442</c:v>
                </c:pt>
                <c:pt idx="34">
                  <c:v>848304.40401382442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B-4BE7-BE42-77533E521FFE}"/>
            </c:ext>
          </c:extLst>
        </c:ser>
        <c:ser>
          <c:idx val="1"/>
          <c:order val="1"/>
          <c:tx>
            <c:strRef>
              <c:f>'Premissas Gerais'!$AW$46:$AX$46</c:f>
              <c:strCache>
                <c:ptCount val="2"/>
                <c:pt idx="0">
                  <c:v>Serviço de Terceiros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'Premissas Gerais'!$AY$44:$CG$44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Gerais'!$AY$46:$CG$46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536766.84918730264</c:v>
                </c:pt>
                <c:pt idx="3">
                  <c:v>536766.84918730264</c:v>
                </c:pt>
                <c:pt idx="4">
                  <c:v>536766.84918730264</c:v>
                </c:pt>
                <c:pt idx="5">
                  <c:v>536766.84918730264</c:v>
                </c:pt>
                <c:pt idx="6">
                  <c:v>536766.84918730264</c:v>
                </c:pt>
                <c:pt idx="7">
                  <c:v>536766.84918730264</c:v>
                </c:pt>
                <c:pt idx="8">
                  <c:v>536766.84918730264</c:v>
                </c:pt>
                <c:pt idx="9">
                  <c:v>536766.84918730264</c:v>
                </c:pt>
                <c:pt idx="10">
                  <c:v>536766.84918730264</c:v>
                </c:pt>
                <c:pt idx="11">
                  <c:v>536766.84918730264</c:v>
                </c:pt>
                <c:pt idx="12">
                  <c:v>536766.84918730264</c:v>
                </c:pt>
                <c:pt idx="13">
                  <c:v>536766.84918730264</c:v>
                </c:pt>
                <c:pt idx="14">
                  <c:v>536766.84918730264</c:v>
                </c:pt>
                <c:pt idx="15">
                  <c:v>536766.84918730264</c:v>
                </c:pt>
                <c:pt idx="16">
                  <c:v>536766.84918730264</c:v>
                </c:pt>
                <c:pt idx="17">
                  <c:v>536766.84918730264</c:v>
                </c:pt>
                <c:pt idx="18">
                  <c:v>536766.84918730264</c:v>
                </c:pt>
                <c:pt idx="19">
                  <c:v>536766.84918730264</c:v>
                </c:pt>
                <c:pt idx="20">
                  <c:v>536766.84918730264</c:v>
                </c:pt>
                <c:pt idx="21">
                  <c:v>536766.84918730264</c:v>
                </c:pt>
                <c:pt idx="22">
                  <c:v>536766.84918730264</c:v>
                </c:pt>
                <c:pt idx="23">
                  <c:v>536766.84918730264</c:v>
                </c:pt>
                <c:pt idx="24">
                  <c:v>536766.84918730264</c:v>
                </c:pt>
                <c:pt idx="25">
                  <c:v>536766.84918730264</c:v>
                </c:pt>
                <c:pt idx="26">
                  <c:v>536766.84918730264</c:v>
                </c:pt>
                <c:pt idx="27">
                  <c:v>536766.84918730264</c:v>
                </c:pt>
                <c:pt idx="28">
                  <c:v>536766.84918730264</c:v>
                </c:pt>
                <c:pt idx="29">
                  <c:v>536766.84918730264</c:v>
                </c:pt>
                <c:pt idx="30">
                  <c:v>536766.84918730264</c:v>
                </c:pt>
                <c:pt idx="31">
                  <c:v>536766.84918730264</c:v>
                </c:pt>
                <c:pt idx="32">
                  <c:v>536766.84918730264</c:v>
                </c:pt>
                <c:pt idx="33">
                  <c:v>536766.84918730264</c:v>
                </c:pt>
                <c:pt idx="34">
                  <c:v>536766.84918730264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B-4BE7-BE42-77533E521FFE}"/>
            </c:ext>
          </c:extLst>
        </c:ser>
        <c:ser>
          <c:idx val="2"/>
          <c:order val="2"/>
          <c:tx>
            <c:strRef>
              <c:f>'Premissas Gerais'!$AW$47:$AX$47</c:f>
              <c:strCache>
                <c:ptCount val="2"/>
                <c:pt idx="0">
                  <c:v>Energia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'Premissas Gerais'!$AY$44:$CG$44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Gerais'!$AY$47:$CG$47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74142.248400000011</c:v>
                </c:pt>
                <c:pt idx="3">
                  <c:v>74142.248400000011</c:v>
                </c:pt>
                <c:pt idx="4">
                  <c:v>74142.248400000011</c:v>
                </c:pt>
                <c:pt idx="5">
                  <c:v>74142.248400000011</c:v>
                </c:pt>
                <c:pt idx="6">
                  <c:v>74142.248400000011</c:v>
                </c:pt>
                <c:pt idx="7">
                  <c:v>74142.248400000011</c:v>
                </c:pt>
                <c:pt idx="8">
                  <c:v>74142.248400000011</c:v>
                </c:pt>
                <c:pt idx="9">
                  <c:v>74142.248400000011</c:v>
                </c:pt>
                <c:pt idx="10">
                  <c:v>74142.248400000011</c:v>
                </c:pt>
                <c:pt idx="11">
                  <c:v>74142.248400000011</c:v>
                </c:pt>
                <c:pt idx="12">
                  <c:v>74142.248400000011</c:v>
                </c:pt>
                <c:pt idx="13">
                  <c:v>74142.248400000011</c:v>
                </c:pt>
                <c:pt idx="14">
                  <c:v>74142.248400000011</c:v>
                </c:pt>
                <c:pt idx="15">
                  <c:v>74142.248400000011</c:v>
                </c:pt>
                <c:pt idx="16">
                  <c:v>74142.248400000011</c:v>
                </c:pt>
                <c:pt idx="17">
                  <c:v>74142.248400000011</c:v>
                </c:pt>
                <c:pt idx="18">
                  <c:v>74142.248400000011</c:v>
                </c:pt>
                <c:pt idx="19">
                  <c:v>74142.248400000011</c:v>
                </c:pt>
                <c:pt idx="20">
                  <c:v>74142.248400000011</c:v>
                </c:pt>
                <c:pt idx="21">
                  <c:v>74142.248400000011</c:v>
                </c:pt>
                <c:pt idx="22">
                  <c:v>74142.248400000011</c:v>
                </c:pt>
                <c:pt idx="23">
                  <c:v>74142.248400000011</c:v>
                </c:pt>
                <c:pt idx="24">
                  <c:v>74142.248400000011</c:v>
                </c:pt>
                <c:pt idx="25">
                  <c:v>74142.248400000011</c:v>
                </c:pt>
                <c:pt idx="26">
                  <c:v>74142.248400000011</c:v>
                </c:pt>
                <c:pt idx="27">
                  <c:v>74142.248400000011</c:v>
                </c:pt>
                <c:pt idx="28">
                  <c:v>74142.248400000011</c:v>
                </c:pt>
                <c:pt idx="29">
                  <c:v>74142.248400000011</c:v>
                </c:pt>
                <c:pt idx="30">
                  <c:v>74142.248400000011</c:v>
                </c:pt>
                <c:pt idx="31">
                  <c:v>74142.248400000011</c:v>
                </c:pt>
                <c:pt idx="32">
                  <c:v>74142.248400000011</c:v>
                </c:pt>
                <c:pt idx="33">
                  <c:v>74142.248400000011</c:v>
                </c:pt>
                <c:pt idx="34">
                  <c:v>74142.248400000011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B-4BE7-BE42-77533E521FFE}"/>
            </c:ext>
          </c:extLst>
        </c:ser>
        <c:ser>
          <c:idx val="3"/>
          <c:order val="3"/>
          <c:tx>
            <c:strRef>
              <c:f>'Premissas Gerais'!$AW$48:$AX$48</c:f>
              <c:strCache>
                <c:ptCount val="2"/>
                <c:pt idx="0">
                  <c:v>Água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'Premissas Gerais'!$AY$44:$CG$44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Gerais'!$AY$48:$CG$48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112849.80389999998</c:v>
                </c:pt>
                <c:pt idx="3">
                  <c:v>112849.80389999998</c:v>
                </c:pt>
                <c:pt idx="4">
                  <c:v>112849.80389999998</c:v>
                </c:pt>
                <c:pt idx="5">
                  <c:v>112849.80389999998</c:v>
                </c:pt>
                <c:pt idx="6">
                  <c:v>112849.80389999998</c:v>
                </c:pt>
                <c:pt idx="7">
                  <c:v>112849.80389999998</c:v>
                </c:pt>
                <c:pt idx="8">
                  <c:v>112849.80389999998</c:v>
                </c:pt>
                <c:pt idx="9">
                  <c:v>112849.80389999998</c:v>
                </c:pt>
                <c:pt idx="10">
                  <c:v>112849.80389999998</c:v>
                </c:pt>
                <c:pt idx="11">
                  <c:v>112849.80389999998</c:v>
                </c:pt>
                <c:pt idx="12">
                  <c:v>112849.80389999998</c:v>
                </c:pt>
                <c:pt idx="13">
                  <c:v>112849.80389999998</c:v>
                </c:pt>
                <c:pt idx="14">
                  <c:v>112849.80389999998</c:v>
                </c:pt>
                <c:pt idx="15">
                  <c:v>112849.80389999998</c:v>
                </c:pt>
                <c:pt idx="16">
                  <c:v>112849.80389999998</c:v>
                </c:pt>
                <c:pt idx="17">
                  <c:v>112849.80389999998</c:v>
                </c:pt>
                <c:pt idx="18">
                  <c:v>112849.80389999998</c:v>
                </c:pt>
                <c:pt idx="19">
                  <c:v>112849.80389999998</c:v>
                </c:pt>
                <c:pt idx="20">
                  <c:v>112849.80389999998</c:v>
                </c:pt>
                <c:pt idx="21">
                  <c:v>112849.80389999998</c:v>
                </c:pt>
                <c:pt idx="22">
                  <c:v>112849.80389999998</c:v>
                </c:pt>
                <c:pt idx="23">
                  <c:v>112849.80389999998</c:v>
                </c:pt>
                <c:pt idx="24">
                  <c:v>112849.80389999998</c:v>
                </c:pt>
                <c:pt idx="25">
                  <c:v>112849.80389999998</c:v>
                </c:pt>
                <c:pt idx="26">
                  <c:v>112849.80389999998</c:v>
                </c:pt>
                <c:pt idx="27">
                  <c:v>112849.80389999998</c:v>
                </c:pt>
                <c:pt idx="28">
                  <c:v>112849.80389999998</c:v>
                </c:pt>
                <c:pt idx="29">
                  <c:v>112849.80389999998</c:v>
                </c:pt>
                <c:pt idx="30">
                  <c:v>112849.80389999998</c:v>
                </c:pt>
                <c:pt idx="31">
                  <c:v>112849.80389999998</c:v>
                </c:pt>
                <c:pt idx="32">
                  <c:v>112849.80389999998</c:v>
                </c:pt>
                <c:pt idx="33">
                  <c:v>112849.80389999998</c:v>
                </c:pt>
                <c:pt idx="34">
                  <c:v>112849.80389999998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7B-4BE7-BE42-77533E521FFE}"/>
            </c:ext>
          </c:extLst>
        </c:ser>
        <c:ser>
          <c:idx val="4"/>
          <c:order val="4"/>
          <c:tx>
            <c:strRef>
              <c:f>'Premissas Gerais'!$AW$49:$AX$49</c:f>
              <c:strCache>
                <c:ptCount val="2"/>
                <c:pt idx="0">
                  <c:v>Demais despesas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'Premissas Gerais'!$AY$44:$CG$44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'Premissas Gerais'!$AY$49:$CG$49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115047.31840923928</c:v>
                </c:pt>
                <c:pt idx="3">
                  <c:v>115047.31840923928</c:v>
                </c:pt>
                <c:pt idx="4">
                  <c:v>115047.31840923928</c:v>
                </c:pt>
                <c:pt idx="5">
                  <c:v>115047.31840923928</c:v>
                </c:pt>
                <c:pt idx="6">
                  <c:v>115047.31840923928</c:v>
                </c:pt>
                <c:pt idx="7">
                  <c:v>115047.31840923928</c:v>
                </c:pt>
                <c:pt idx="8">
                  <c:v>115047.31840923928</c:v>
                </c:pt>
                <c:pt idx="9">
                  <c:v>115047.31840923928</c:v>
                </c:pt>
                <c:pt idx="10">
                  <c:v>115047.31840923928</c:v>
                </c:pt>
                <c:pt idx="11">
                  <c:v>115047.31840923928</c:v>
                </c:pt>
                <c:pt idx="12">
                  <c:v>115047.31840923928</c:v>
                </c:pt>
                <c:pt idx="13">
                  <c:v>115047.31840923928</c:v>
                </c:pt>
                <c:pt idx="14">
                  <c:v>115047.31840923928</c:v>
                </c:pt>
                <c:pt idx="15">
                  <c:v>115047.31840923928</c:v>
                </c:pt>
                <c:pt idx="16">
                  <c:v>115047.31840923928</c:v>
                </c:pt>
                <c:pt idx="17">
                  <c:v>115047.31840923928</c:v>
                </c:pt>
                <c:pt idx="18">
                  <c:v>115047.31840923928</c:v>
                </c:pt>
                <c:pt idx="19">
                  <c:v>115047.31840923928</c:v>
                </c:pt>
                <c:pt idx="20">
                  <c:v>115047.31840923928</c:v>
                </c:pt>
                <c:pt idx="21">
                  <c:v>115047.31840923928</c:v>
                </c:pt>
                <c:pt idx="22">
                  <c:v>115047.31840923928</c:v>
                </c:pt>
                <c:pt idx="23">
                  <c:v>115047.31840923928</c:v>
                </c:pt>
                <c:pt idx="24">
                  <c:v>115047.31840923928</c:v>
                </c:pt>
                <c:pt idx="25">
                  <c:v>115047.31840923928</c:v>
                </c:pt>
                <c:pt idx="26">
                  <c:v>115047.31840923928</c:v>
                </c:pt>
                <c:pt idx="27">
                  <c:v>115047.31840923928</c:v>
                </c:pt>
                <c:pt idx="28">
                  <c:v>115047.31840923928</c:v>
                </c:pt>
                <c:pt idx="29">
                  <c:v>115047.31840923928</c:v>
                </c:pt>
                <c:pt idx="30">
                  <c:v>115047.31840923928</c:v>
                </c:pt>
                <c:pt idx="31">
                  <c:v>115047.31840923928</c:v>
                </c:pt>
                <c:pt idx="32">
                  <c:v>115047.31840923928</c:v>
                </c:pt>
                <c:pt idx="33">
                  <c:v>115047.31840923928</c:v>
                </c:pt>
                <c:pt idx="34">
                  <c:v>115047.31840923928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7B-4BE7-BE42-77533E52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182936"/>
        <c:axId val="419184896"/>
      </c:barChart>
      <c:catAx>
        <c:axId val="419182936"/>
        <c:scaling>
          <c:orientation val="minMax"/>
        </c:scaling>
        <c:delete val="0"/>
        <c:axPos val="b"/>
        <c:numFmt formatCode="&quot;Ano&quot;\ 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4896"/>
        <c:crosses val="autoZero"/>
        <c:auto val="1"/>
        <c:lblAlgn val="ctr"/>
        <c:lblOffset val="100"/>
        <c:noMultiLvlLbl val="0"/>
      </c:catAx>
      <c:valAx>
        <c:axId val="4191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2936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'Demonstrações Financeiras '!$C$90</c:f>
              <c:strCache>
                <c:ptCount val="1"/>
                <c:pt idx="0">
                  <c:v>FCFE Descontado Positivo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E-4F43-8093-014EF6CB1B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E-4F43-8093-014EF6CB1B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'Demonstrações Financeiras '!$F$5:$AN$5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'Demonstrações Financeiras '!$F$90:$AN$90</c:f>
              <c:numCache>
                <c:formatCode>_("R$"* #,##0.00_);_("R$"* \(#,##0.00\);_("R$"* "-"??_);_(@_)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299086.6445547659</c:v>
                </c:pt>
                <c:pt idx="3">
                  <c:v>351099.22358428768</c:v>
                </c:pt>
                <c:pt idx="4">
                  <c:v>388981.20508626063</c:v>
                </c:pt>
                <c:pt idx="5">
                  <c:v>223522.0637019047</c:v>
                </c:pt>
                <c:pt idx="6">
                  <c:v>209553.58027125671</c:v>
                </c:pt>
                <c:pt idx="7">
                  <c:v>196032.91201702773</c:v>
                </c:pt>
                <c:pt idx="8">
                  <c:v>183022.28530952433</c:v>
                </c:pt>
                <c:pt idx="9">
                  <c:v>170565.68023356562</c:v>
                </c:pt>
                <c:pt idx="10">
                  <c:v>158692.00202924339</c:v>
                </c:pt>
                <c:pt idx="11">
                  <c:v>148234.53028972397</c:v>
                </c:pt>
                <c:pt idx="12">
                  <c:v>137546.43943233337</c:v>
                </c:pt>
                <c:pt idx="13">
                  <c:v>127397.35951977888</c:v>
                </c:pt>
                <c:pt idx="14">
                  <c:v>130219.52555987483</c:v>
                </c:pt>
                <c:pt idx="15">
                  <c:v>120959.89600990494</c:v>
                </c:pt>
                <c:pt idx="16">
                  <c:v>111300.97313664106</c:v>
                </c:pt>
                <c:pt idx="17">
                  <c:v>102329.98248648424</c:v>
                </c:pt>
                <c:pt idx="18">
                  <c:v>91472.444873287357</c:v>
                </c:pt>
                <c:pt idx="19">
                  <c:v>81766.926640505742</c:v>
                </c:pt>
                <c:pt idx="20">
                  <c:v>73091.194856499438</c:v>
                </c:pt>
                <c:pt idx="21">
                  <c:v>65335.985893644756</c:v>
                </c:pt>
                <c:pt idx="22">
                  <c:v>58403.629343801265</c:v>
                </c:pt>
                <c:pt idx="23">
                  <c:v>52206.817940737783</c:v>
                </c:pt>
                <c:pt idx="24">
                  <c:v>46667.50799771351</c:v>
                </c:pt>
                <c:pt idx="25">
                  <c:v>41715.93651213972</c:v>
                </c:pt>
                <c:pt idx="26">
                  <c:v>37289.742558572761</c:v>
                </c:pt>
                <c:pt idx="27">
                  <c:v>33333.181904713485</c:v>
                </c:pt>
                <c:pt idx="28">
                  <c:v>29796.424959154912</c:v>
                </c:pt>
                <c:pt idx="29">
                  <c:v>26634.92920911359</c:v>
                </c:pt>
                <c:pt idx="30">
                  <c:v>23808.878244519874</c:v>
                </c:pt>
                <c:pt idx="31">
                  <c:v>21282.680303441917</c:v>
                </c:pt>
                <c:pt idx="32">
                  <c:v>19024.520023440055</c:v>
                </c:pt>
                <c:pt idx="33">
                  <c:v>17005.957753532504</c:v>
                </c:pt>
                <c:pt idx="34">
                  <c:v>15201.571380439906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E-4F43-8093-014EF6CB1BAC}"/>
            </c:ext>
          </c:extLst>
        </c:ser>
        <c:ser>
          <c:idx val="2"/>
          <c:order val="2"/>
          <c:tx>
            <c:strRef>
              <c:f>'Demonstrações Financeiras '!$C$91</c:f>
              <c:strCache>
                <c:ptCount val="1"/>
                <c:pt idx="0">
                  <c:v>FCFE Descontado Negativo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171965293307083E-2"/>
                  <c:y val="-5.870342011230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EE-4F43-8093-014EF6CB1BA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'Demonstrações Financeiras '!$F$5:$AN$5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'Demonstrações Financeiras '!$F$91:$AN$91</c:f>
              <c:numCache>
                <c:formatCode>_("R$"* #,##0.00_);_("R$"* \(#,##0.00\);_("R$"* "-"??_);_(@_)</c:formatCode>
                <c:ptCount val="35"/>
                <c:pt idx="0">
                  <c:v>-2000841.7905374004</c:v>
                </c:pt>
                <c:pt idx="1">
                  <c:v>-1791740.8430804361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E-4F43-8093-014EF6CB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87248"/>
        <c:axId val="419184504"/>
      </c:barChart>
      <c:lineChart>
        <c:grouping val="standard"/>
        <c:varyColors val="0"/>
        <c:ser>
          <c:idx val="0"/>
          <c:order val="0"/>
          <c:tx>
            <c:strRef>
              <c:f>'Demonstrações Financeiras '!$C$89</c:f>
              <c:strCache>
                <c:ptCount val="1"/>
                <c:pt idx="0">
                  <c:v>VPL Acumulado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'Demonstrações Financeiras '!$F$5:$AN$5</c:f>
              <c:numCache>
                <c:formatCode>"Ano"\ 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'Demonstrações Financeiras '!$F$89:$AN$89</c:f>
              <c:numCache>
                <c:formatCode>_-"R$"\ * #,##0_-;\-"R$"\ * #,##0_-;_-"R$"\ * "-"??_-;_-@_-</c:formatCode>
                <c:ptCount val="35"/>
                <c:pt idx="0">
                  <c:v>-2000841.7905374004</c:v>
                </c:pt>
                <c:pt idx="1">
                  <c:v>-3792582.6336178365</c:v>
                </c:pt>
                <c:pt idx="2">
                  <c:v>-3493495.9890630706</c:v>
                </c:pt>
                <c:pt idx="3">
                  <c:v>-3142396.7654787828</c:v>
                </c:pt>
                <c:pt idx="4">
                  <c:v>-2753415.5603925223</c:v>
                </c:pt>
                <c:pt idx="5">
                  <c:v>-2529893.4966906174</c:v>
                </c:pt>
                <c:pt idx="6">
                  <c:v>-2320339.9164193608</c:v>
                </c:pt>
                <c:pt idx="7">
                  <c:v>-2124307.0044023329</c:v>
                </c:pt>
                <c:pt idx="8">
                  <c:v>-1941284.7190928087</c:v>
                </c:pt>
                <c:pt idx="9">
                  <c:v>-1770719.038859243</c:v>
                </c:pt>
                <c:pt idx="10">
                  <c:v>-1612027.0368299996</c:v>
                </c:pt>
                <c:pt idx="11">
                  <c:v>-1463792.5065402756</c:v>
                </c:pt>
                <c:pt idx="12">
                  <c:v>-1326246.0671079422</c:v>
                </c:pt>
                <c:pt idx="13">
                  <c:v>-1198848.7075881632</c:v>
                </c:pt>
                <c:pt idx="14">
                  <c:v>-1068629.1820282885</c:v>
                </c:pt>
                <c:pt idx="15">
                  <c:v>-947669.28601838357</c:v>
                </c:pt>
                <c:pt idx="16">
                  <c:v>-836368.31288174249</c:v>
                </c:pt>
                <c:pt idx="17">
                  <c:v>-734038.33039525826</c:v>
                </c:pt>
                <c:pt idx="18">
                  <c:v>-642565.88552197092</c:v>
                </c:pt>
                <c:pt idx="19">
                  <c:v>-560798.95888146514</c:v>
                </c:pt>
                <c:pt idx="20">
                  <c:v>-487707.7640249657</c:v>
                </c:pt>
                <c:pt idx="21">
                  <c:v>-422371.77813132096</c:v>
                </c:pt>
                <c:pt idx="22">
                  <c:v>-363968.14878751966</c:v>
                </c:pt>
                <c:pt idx="23">
                  <c:v>-311761.3308467819</c:v>
                </c:pt>
                <c:pt idx="24">
                  <c:v>-265093.82284906838</c:v>
                </c:pt>
                <c:pt idx="25">
                  <c:v>-223377.88633692867</c:v>
                </c:pt>
                <c:pt idx="26">
                  <c:v>-186088.14377835591</c:v>
                </c:pt>
                <c:pt idx="27">
                  <c:v>-152754.96187364243</c:v>
                </c:pt>
                <c:pt idx="28">
                  <c:v>-122958.53691448751</c:v>
                </c:pt>
                <c:pt idx="29">
                  <c:v>-96323.607705373928</c:v>
                </c:pt>
                <c:pt idx="30">
                  <c:v>-72514.729460854054</c:v>
                </c:pt>
                <c:pt idx="31">
                  <c:v>-51232.049157412141</c:v>
                </c:pt>
                <c:pt idx="32">
                  <c:v>-32207.529133972086</c:v>
                </c:pt>
                <c:pt idx="33">
                  <c:v>-15201.571380439582</c:v>
                </c:pt>
                <c:pt idx="34">
                  <c:v>3.2378011383116245E-10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EE-4F43-8093-014EF6CB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87248"/>
        <c:axId val="419184504"/>
      </c:lineChart>
      <c:catAx>
        <c:axId val="41918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25000"/>
                  <a:alpha val="0"/>
                </a:schemeClr>
              </a:solidFill>
              <a:round/>
            </a:ln>
            <a:effectLst/>
          </c:spPr>
        </c:minorGridlines>
        <c:numFmt formatCode="&quot;Ano&quot;\ 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>
                <a:lumMod val="50000"/>
                <a:alpha val="99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4504"/>
        <c:crosses val="autoZero"/>
        <c:auto val="0"/>
        <c:lblAlgn val="ctr"/>
        <c:lblOffset val="100"/>
        <c:noMultiLvlLbl val="0"/>
      </c:catAx>
      <c:valAx>
        <c:axId val="419184504"/>
        <c:scaling>
          <c:orientation val="minMax"/>
        </c:scaling>
        <c:delete val="0"/>
        <c:axPos val="l"/>
        <c:majorGridlines>
          <c:spPr>
            <a:ln w="9525" cap="flat" cmpd="dbl" algn="ctr">
              <a:solidFill>
                <a:schemeClr val="tx2">
                  <a:alpha val="82000"/>
                </a:schemeClr>
              </a:solidFill>
              <a:prstDash val="sysDot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2">
                  <a:lumMod val="75000"/>
                  <a:alpha val="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9187248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Investimento (Capex)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31-46EC-A710-0FBD6D90B39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31-46EC-A710-0FBD6D90B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Capex!$G$6:$AO$6</c:f>
              <c:numCache>
                <c:formatCode>"Ano"\ 0\ 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Capex!$G$7:$AO$7</c:f>
              <c:numCache>
                <c:formatCode>_("R$"* #,##0.00_);_("R$"* \(#,##0.00\);_("R$"* "-"??_);_(@_)</c:formatCode>
                <c:ptCount val="35"/>
                <c:pt idx="0">
                  <c:v>3730813.4700000007</c:v>
                </c:pt>
                <c:pt idx="1">
                  <c:v>3730813.4700000007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1-46EC-A710-0FBD6D90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885720"/>
        <c:axId val="518890640"/>
      </c:barChart>
      <c:catAx>
        <c:axId val="518885720"/>
        <c:scaling>
          <c:orientation val="minMax"/>
        </c:scaling>
        <c:delete val="0"/>
        <c:axPos val="b"/>
        <c:numFmt formatCode="&quot;Ano&quot;\ 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890640"/>
        <c:crosses val="autoZero"/>
        <c:auto val="1"/>
        <c:lblAlgn val="ctr"/>
        <c:lblOffset val="100"/>
        <c:noMultiLvlLbl val="0"/>
      </c:catAx>
      <c:valAx>
        <c:axId val="518890640"/>
        <c:scaling>
          <c:orientation val="minMax"/>
          <c:max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885720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6</xdr:row>
      <xdr:rowOff>53340</xdr:rowOff>
    </xdr:from>
    <xdr:to>
      <xdr:col>15</xdr:col>
      <xdr:colOff>556260</xdr:colOff>
      <xdr:row>28</xdr:row>
      <xdr:rowOff>10105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76200</xdr:rowOff>
    </xdr:from>
    <xdr:to>
      <xdr:col>15</xdr:col>
      <xdr:colOff>579120</xdr:colOff>
      <xdr:row>47</xdr:row>
      <xdr:rowOff>162877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  <a:ext uri="{147F2762-F138-4A5C-976F-8EAC2B608ADB}">
              <a16:predDERef xmlns:a16="http://schemas.microsoft.com/office/drawing/2014/main" pred="{33184A44-EAC6-420D-BB06-6FFB89255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65313</xdr:colOff>
      <xdr:row>6</xdr:row>
      <xdr:rowOff>21771</xdr:rowOff>
    </xdr:from>
    <xdr:to>
      <xdr:col>30</xdr:col>
      <xdr:colOff>97970</xdr:colOff>
      <xdr:row>28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22413</xdr:colOff>
      <xdr:row>31</xdr:row>
      <xdr:rowOff>78440</xdr:rowOff>
    </xdr:from>
    <xdr:to>
      <xdr:col>28</xdr:col>
      <xdr:colOff>168088</xdr:colOff>
      <xdr:row>47</xdr:row>
      <xdr:rowOff>123264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king.com/hotel/br/chale-em-condominio-serra-dos-matoes-pedro-ii.pt-br.html?label=pedro-ii-soaWlaAoERHQn5Qx5R0hZgS468170490454%3Apl%3Ata%3Ap1%3Ap2%3Aac%3Aap%3Aneg%3Afi%3Atikwd-785788141873%3Alp1001629%3Ali%3Adec%3Adm%3Appccp%3DUmFuZG9tSVYkc2RlIyh9YcpDr58xwogAwmVmCRFhsnQ&amp;sid=f0d4745b747a27a8e1a26afc581117fa&amp;aid=1702940&amp;ucfs=1&amp;arphpl=1&amp;checkin=2024-11-04&amp;checkout=2024-11-09&amp;dest_id=-660892&amp;dest_type=city&amp;group_adults=4&amp;req_adults=4&amp;no_rooms=1&amp;group_children=0&amp;req_children=0&amp;hpos=3&amp;hapos=3&amp;sr_order=popularity&amp;nflt=hotelfacility%3D2&amp;srpvid=6e7b964ffda202dc&amp;srepoch=1727041179&amp;all_sr_blocks=696161801_399578503_4_0_0&amp;highlighted_blocks=696161801_399578503_4_0_0&amp;matching_block_id=696161801_399578503_4_0_0&amp;sr_pri_blocks=696161801_399578503_4_0_0__175000&amp;from=searchresults" TargetMode="External"/><Relationship Id="rId13" Type="http://schemas.openxmlformats.org/officeDocument/2006/relationships/hyperlink" Target="https://www.ibyte.com.br/ar-condicionado-inverter-12000-btus-lg-dual-compact-ai-frio-220v/p?gad_source=1&amp;gclid=Cj0KCQiAkeSsBhDUARIsAK3tiefwae9Dh78u1_23-9wJnIF9ePjQJa12tDfsNMM0m5MFCNCTxzsbMpsaAvqjEALw_wcB" TargetMode="External"/><Relationship Id="rId18" Type="http://schemas.openxmlformats.org/officeDocument/2006/relationships/hyperlink" Target="https://produto.mercadolivre.com.br/MLB-3817211788-conjunto-copeira-camareira-faxineira-uniforme-profissional-_JM" TargetMode="External"/><Relationship Id="rId26" Type="http://schemas.openxmlformats.org/officeDocument/2006/relationships/hyperlink" Target="https://noticias.r7.com/brasilia/governo-preve-salario-minimo-de-r-1502-em-2025-e-r-1722-em-2028-15042024/" TargetMode="External"/><Relationship Id="rId3" Type="http://schemas.openxmlformats.org/officeDocument/2006/relationships/hyperlink" Target="https://www.airbnb.com.br/rooms/1044952862728585652?adults=4&amp;children=0&amp;enable_m3_private_room=true&amp;infants=0&amp;pets=0&amp;search_mode=regular_search&amp;check_in=2024-11-01&amp;check_out=2024-11-06&amp;source_impression_id=p3_1727041418_P3G1Vx93utfod-Fp&amp;previous_page_section_name=1000&amp;federated_search_id=e421833f-00fe-447b-8d9d-e430a0859676" TargetMode="External"/><Relationship Id="rId21" Type="http://schemas.openxmlformats.org/officeDocument/2006/relationships/hyperlink" Target="https://www.fabricadeuniformes.com.br/tenis-beira-rio-branco" TargetMode="External"/><Relationship Id="rId7" Type="http://schemas.openxmlformats.org/officeDocument/2006/relationships/hyperlink" Target="https://www.booking.com/hotel/br/casa-de-ferias-pedro-ii.pt-br.html?label=pedro-ii-soaWlaAoERHQn5Qx5R0hZgS468170490454%3Apl%3Ata%3Ap1%3Ap2%3Aac%3Aap%3Aneg%3Afi%3Atikwd-785788141873%3Alp1001629%3Ali%3Adec%3Adm%3Appccp%3DUmFuZG9tSVYkc2RlIyh9YcpDr58xwogAwmVmCRFhsnQ&amp;sid=f0d4745b747a27a8e1a26afc581117fa&amp;aid=1702940&amp;ucfs=1&amp;arphpl=1&amp;checkin=2024-11-04&amp;checkout=2024-11-09&amp;dest_id=-660892&amp;dest_type=city&amp;group_adults=4&amp;req_adults=4&amp;no_rooms=1&amp;group_children=0&amp;req_children=0&amp;hpos=4&amp;hapos=4&amp;sr_order=popularity&amp;nflt=hotelfacility%3D2&amp;srpvid=6e7b964ffda202dc&amp;srepoch=1727041179&amp;all_sr_blocks=1220600301_394210028_4_0_0&amp;highlighted_blocks=1220600301_394210028_4_0_0&amp;matching_block_id=1220600301_394210028_4_0_0&amp;sr_pri_blocks=1220600301_394210028_4_0_0__115000&amp;from=searchresults" TargetMode="External"/><Relationship Id="rId12" Type="http://schemas.openxmlformats.org/officeDocument/2006/relationships/hyperlink" Target="https://www.amazon.com.br/Frigobar-Midea-220V-MRC06B2-Branco/dp/B0778WPTPL/ref=asc_df_B0778WPTPL/?tag=googleshopp00-20&amp;linkCode=df0&amp;hvadid=379699826596&amp;hvpos=&amp;hvnetw=g&amp;hvrand=11604645810792737567&amp;hvpone=&amp;hvptwo=&amp;hvqmt=&amp;hvdev=c&amp;hvdvcmdl=&amp;hvlocint=&amp;hvlocphy=9101540&amp;hvtargid=pla-573058936062&amp;mcid=dd29f662b6c6302c9824c874c8eee6b6&amp;th=1" TargetMode="External"/><Relationship Id="rId17" Type="http://schemas.openxmlformats.org/officeDocument/2006/relationships/hyperlink" Target="https://www.fabricadeuniformes.com.br/uniforme-composto-por-camiseta-basica-branca-e-bermuda-branca" TargetMode="External"/><Relationship Id="rId25" Type="http://schemas.openxmlformats.org/officeDocument/2006/relationships/hyperlink" Target="https://produto.mercadolivre.com.br/MLB-1607463874-calca-vigilante-coturno-militar-camiseta-seguranca-cinto-_JM" TargetMode="External"/><Relationship Id="rId2" Type="http://schemas.openxmlformats.org/officeDocument/2006/relationships/hyperlink" Target="https://www.airbnb.com.br/rooms/51503511?adults=4&amp;children=0&amp;enable_m3_private_room=true&amp;infants=0&amp;pets=0&amp;search_mode=regular_search&amp;check_in=2024-11-01&amp;check_out=2024-11-06&amp;source_impression_id=p3_1727041512_P3qNDfyNk5L0Uevp&amp;previous_page_section_name=1000&amp;federated_search_id=e421833f-00fe-447b-8d9d-e430a0859676" TargetMode="External"/><Relationship Id="rId16" Type="http://schemas.openxmlformats.org/officeDocument/2006/relationships/hyperlink" Target="https://www.magazineluiza.com.br/lampada-led-alta-potencia-20w-luz-branca-1400lm-e27-lumanti/p/bf3a3338dj/cj/lald/?&amp;seller_id=encontreleds2&amp;utm_source=bing&amp;utm_medium=pla&amp;utm_campaign=&amp;partner_id=65137&amp;gclsrc=aw.ds&amp;msclkid=e1fb229dbae01d7e58f9474d651b19e0" TargetMode="External"/><Relationship Id="rId20" Type="http://schemas.openxmlformats.org/officeDocument/2006/relationships/hyperlink" Target="https://produto.mercadolivre.com.br/MLB-3339422919-conjunto-uniforme-de-limpeza-gola-v-unissex-servicos-gerais-_JM?matt_tool=92309335&amp;matt_word=&amp;matt_source=bing&amp;matt_campaign=MLB_ML_BING_AO_HOME%20%26%20INDUSTRY-ALL-ALL_X_PLA_ALLB_TXS_ALL&amp;matt_campaign_id=382858298&amp;matt_ad_group=HOME%20%26%20INDUSTRY&amp;matt_match_type=e&amp;matt_network=o&amp;matt_device=c&amp;matt_keyword=default&amp;msclkid=344f060c094f1551a63663ec94b660ff&amp;utm_source=bing&amp;utm_medium=cpc&amp;utm_campaign=MLB_ML_BING_AO_HOME%20%26%20INDUSTRY-ALL-ALL_X_PLA_ALLB_TXS_ALL&amp;utm_term=4581252655706226&amp;utm_content=HOME%20%26%20INDUSTRY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booking.com/hotel/br/canrobert-village.pt-br.html?label=pedro-ii-soaWlaAoERHQn5Qx5R0hZgS468170490454%3Apl%3Ata%3Ap1%3Ap2%3Aac%3Aap%3Aneg%3Afi%3Atikwd-785788141873%3Alp1001629%3Ali%3Adec%3Adm%3Appccp%3DUmFuZG9tSVYkc2RlIyh9YcpDr58xwogAwmVmCRFhsnQ&amp;sid=f0d4745b747a27a8e1a26afc581117fa&amp;aid=1702940&amp;ucfs=1&amp;arphpl=1&amp;checkin=2024-11-04&amp;checkout=2024-11-09&amp;dest_id=-660892&amp;dest_type=city&amp;group_adults=4&amp;req_adults=4&amp;no_rooms=1&amp;group_children=0&amp;req_children=0&amp;hpos=5&amp;hapos=5&amp;sr_order=popularity&amp;nflt=hotelfacility%3D2&amp;srpvid=6e7b964ffda202dc&amp;srepoch=1727041179&amp;all_sr_blocks=1103629601_383195770_4_0_0&amp;highlighted_blocks=1103629601_383195770_4_0_0&amp;matching_block_id=1103629601_383195770_4_0_0&amp;sr_pri_blocks=1103629601_383195770_4_0_0__389250&amp;from=searchresults" TargetMode="External"/><Relationship Id="rId11" Type="http://schemas.openxmlformats.org/officeDocument/2006/relationships/hyperlink" Target="https://pi.equatorialenergia.com.br/wp-content/uploads/2022/12/Anexo-I-Tabela-de-Tarifas-EQTL-PI-2022.pdf" TargetMode="External"/><Relationship Id="rId24" Type="http://schemas.openxmlformats.org/officeDocument/2006/relationships/hyperlink" Target="https://www.fabricadeuniformes.com.br/uniformes-profissionais/alimentacao" TargetMode="External"/><Relationship Id="rId5" Type="http://schemas.openxmlformats.org/officeDocument/2006/relationships/hyperlink" Target="https://www.airbnb.com.br/rooms/841304704891184182?adults=4&amp;enable_m3_private_room=true&amp;search_mode=regular_search&amp;check_in=2024-11-01&amp;check_out=2024-11-06&amp;source_impression_id=p3_1727041236_P3otXc0z3B8WdiD3&amp;previous_page_section_name=1000&amp;federated_search_id=e421833f-00fe-447b-8d9d-e430a0859676&amp;guests=4" TargetMode="External"/><Relationship Id="rId15" Type="http://schemas.openxmlformats.org/officeDocument/2006/relationships/hyperlink" Target="https://www.magazineluiza.com.br/lampada-led-alta-potencia-20w-luz-branca-1400lm-e27-lumanti/p/bf3a3338dj/cj/lald/?&amp;seller_id=encontreleds2&amp;utm_source=bing&amp;utm_medium=pla&amp;utm_campaign=&amp;partner_id=65137&amp;gclsrc=aw.ds&amp;msclkid=e1fb229dbae01d7e58f9474d651b19e0" TargetMode="External"/><Relationship Id="rId23" Type="http://schemas.openxmlformats.org/officeDocument/2006/relationships/hyperlink" Target="https://www.fabricadeuniformes.com.br/camisa-social-manga-curta-branca-com-stretch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www.booking.com/hotel/br/pousada-neblina-pedro-ii.pt-br.html?label=pedro-ii-soaWlaAoERHQn5Qx5R0hZgS468170490454%3Apl%3Ata%3Ap1%3Ap2%3Aac%3Aap%3Aneg%3Afi%3Atikwd-785788141873%3Alp1001629%3Ali%3Adec%3Adm%3Appccp%3DUmFuZG9tSVYkc2RlIyh9YcpDr58xwogAwmVmCRFhsnQ&amp;sid=f0d4745b747a27a8e1a26afc581117fa&amp;aid=1702940&amp;ucfs=1&amp;arphpl=1&amp;checkin=2024-11-04&amp;checkout=2024-11-09&amp;dest_id=-660892&amp;dest_type=city&amp;group_adults=4&amp;req_adults=4&amp;no_rooms=1&amp;group_children=0&amp;req_children=0&amp;hpos=1&amp;hapos=1&amp;sr_order=popularity&amp;nflt=hotelfacility%3D2&amp;srpvid=6e7b964ffda202dc&amp;srepoch=1727041179&amp;all_sr_blocks=1246852701_397015667_4_1_0&amp;highlighted_blocks=1246852701_397015667_4_1_0&amp;matching_block_id=1246852701_397015667_4_1_0&amp;sr_pri_blocks=1246852701_397015667_4_1_0__160000&amp;from=searchresults" TargetMode="External"/><Relationship Id="rId19" Type="http://schemas.openxmlformats.org/officeDocument/2006/relationships/hyperlink" Target="https://www.fabricadeuniformes.com.br/tenis-beira-rio-branco" TargetMode="External"/><Relationship Id="rId4" Type="http://schemas.openxmlformats.org/officeDocument/2006/relationships/hyperlink" Target="https://www.airbnb.com.br/rooms/1197291022257670930?adults=6&amp;enable_m3_private_room=true&amp;search_mode=regular_search&amp;check_in=2024-11-01&amp;check_out=2024-11-06&amp;source_impression_id=p3_1727041351_P3oBOj7KCOfipj66&amp;previous_page_section_name=1000&amp;federated_search_id=e421833f-00fe-447b-8d9d-e430a0859676&amp;guests=6" TargetMode="External"/><Relationship Id="rId9" Type="http://schemas.openxmlformats.org/officeDocument/2006/relationships/hyperlink" Target="https://www.booking.com/hotel/br/apartamento-em-pedro-ii.pt-br.html?label=pedro-ii-soaWlaAoERHQn5Qx5R0hZgS468170490454%3Apl%3Ata%3Ap1%3Ap2%3Aac%3Aap%3Aneg%3Afi%3Atikwd-785788141873%3Alp1001629%3Ali%3Adec%3Adm%3Appccp%3DUmFuZG9tSVYkc2RlIyh9YcpDr58xwogAwmVmCRFhsnQ&amp;sid=f0d4745b747a27a8e1a26afc581117fa&amp;aid=1702940&amp;ucfs=1&amp;arphpl=1&amp;checkin=2024-11-04&amp;checkout=2024-11-09&amp;dest_id=-660892&amp;dest_type=city&amp;group_adults=4&amp;req_adults=4&amp;no_rooms=1&amp;group_children=0&amp;req_children=0&amp;hpos=2&amp;hapos=2&amp;sr_order=popularity&amp;nflt=hotelfacility%3D2&amp;srpvid=6e7b964ffda202dc&amp;srepoch=1727041179&amp;all_sr_blocks=1171179401_389665372_4_0_0&amp;highlighted_blocks=1171179401_389665372_4_0_0&amp;matching_block_id=1171179401_389665372_4_0_0&amp;sr_pri_blocks=1171179401_389665372_4_0_0__140000&amp;from=searchresults" TargetMode="External"/><Relationship Id="rId14" Type="http://schemas.openxmlformats.org/officeDocument/2006/relationships/hyperlink" Target="https://www.magazineluiza.com.br/smart-tv-samsung-32-polegadas-led-tizen-wifi-hd/p/bb56c618a4/et/tled/?&amp;seller_id=gazinshop&amp;utm_source=bing&amp;utm_medium=pla&amp;partner_id=69811&amp;msclkid=ccb963543e20125a7ce20684c8aee99f" TargetMode="External"/><Relationship Id="rId22" Type="http://schemas.openxmlformats.org/officeDocument/2006/relationships/hyperlink" Target="https://www.fabricadeuniformes.com.br/calca-social-feminina-preta" TargetMode="External"/><Relationship Id="rId27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ages.stern.nyu.edu/~adamodar/New_Home_Page/datafile/ctryprem.html" TargetMode="External"/><Relationship Id="rId13" Type="http://schemas.openxmlformats.org/officeDocument/2006/relationships/hyperlink" Target="https://pages.stern.nyu.edu/~adamodar/New_Home_Page/datafile/optvar.html" TargetMode="External"/><Relationship Id="rId18" Type="http://schemas.openxmlformats.org/officeDocument/2006/relationships/hyperlink" Target="https://www.inflation.eu/en/inflation-rates/united-states/historic-inflation/cpi-inflation-united-states.aspx" TargetMode="External"/><Relationship Id="rId3" Type="http://schemas.openxmlformats.org/officeDocument/2006/relationships/hyperlink" Target="https://pages.stern.nyu.edu/~adamodar/New_Home_Page/datafile/Betas.html" TargetMode="External"/><Relationship Id="rId7" Type="http://schemas.openxmlformats.org/officeDocument/2006/relationships/hyperlink" Target="http://www.ipeadata.gov.br/ExibeSerie.aspx?serid=40940&amp;module=M" TargetMode="External"/><Relationship Id="rId12" Type="http://schemas.openxmlformats.org/officeDocument/2006/relationships/hyperlink" Target="https://pages.stern.nyu.edu/~adamodar/New_Home_Page/datafile/optvar.html" TargetMode="External"/><Relationship Id="rId17" Type="http://schemas.openxmlformats.org/officeDocument/2006/relationships/hyperlink" Target="https://www.arsesp.sp.gov.br/SitePages/Consultas-Audiencias-Publicas.aspx" TargetMode="External"/><Relationship Id="rId2" Type="http://schemas.openxmlformats.org/officeDocument/2006/relationships/hyperlink" Target="https://view.officeapps.live.com/op/view.aspx?src=https%3A%2F%2Fpages.stern.nyu.edu%2F~adamodar%2Fpc%2Fimplprem%2FERPbymonth.xlsx&amp;wdOrigin=BROWSELINK" TargetMode="External"/><Relationship Id="rId16" Type="http://schemas.openxmlformats.org/officeDocument/2006/relationships/hyperlink" Target="https://sidra.ibge.gov.br/tabela/1737" TargetMode="External"/><Relationship Id="rId1" Type="http://schemas.openxmlformats.org/officeDocument/2006/relationships/hyperlink" Target="https://www.kroll.com/en/insights/publications/cost-of-capital/recommended-us-equity-risk-premium-and-corresponding-risk-free-rates" TargetMode="External"/><Relationship Id="rId6" Type="http://schemas.openxmlformats.org/officeDocument/2006/relationships/hyperlink" Target="https://view.officeapps.live.com/op/view.aspx?src=https%3A%2F%2Fpages.stern.nyu.edu%2F~adamodar%2Fpc%2Fimplprem%2FERPbymonth.xlsx&amp;wdOrigin=BROWSELINK" TargetMode="External"/><Relationship Id="rId11" Type="http://schemas.openxmlformats.org/officeDocument/2006/relationships/hyperlink" Target="https://sidra.ibge.gov.br/tabela/1737" TargetMode="External"/><Relationship Id="rId5" Type="http://schemas.openxmlformats.org/officeDocument/2006/relationships/hyperlink" Target="https://www.kroll.com/en/insights/publications/cost-of-capital/recommended-us-equity-risk-premium-and-corresponding-risk-free-rates" TargetMode="External"/><Relationship Id="rId15" Type="http://schemas.openxmlformats.org/officeDocument/2006/relationships/hyperlink" Target="http://www.ipeadata.gov.br/ExibeSerie.aspx?serid=40940&amp;module=M" TargetMode="External"/><Relationship Id="rId10" Type="http://schemas.openxmlformats.org/officeDocument/2006/relationships/hyperlink" Target="https://www.suno.com.br/noticias/expectativas-inflacao-eua-fed-ny-evm/" TargetMode="External"/><Relationship Id="rId19" Type="http://schemas.openxmlformats.org/officeDocument/2006/relationships/hyperlink" Target="https://pages.stern.nyu.edu/~adamodar/New_Home_Page/datafile/ctryprem.html" TargetMode="External"/><Relationship Id="rId4" Type="http://schemas.openxmlformats.org/officeDocument/2006/relationships/hyperlink" Target="https://pages.stern.nyu.edu/~adamodar/New_Home_Page/datafile/Betas.html" TargetMode="External"/><Relationship Id="rId9" Type="http://schemas.openxmlformats.org/officeDocument/2006/relationships/hyperlink" Target="https://pages.stern.nyu.edu/~adamodar/New_Home_Page/datafile/ctryprem.html" TargetMode="External"/><Relationship Id="rId14" Type="http://schemas.openxmlformats.org/officeDocument/2006/relationships/hyperlink" Target="https://pages.stern.nyu.edu/~adamodar/New_Home_Page/datafile/Beta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P1048573"/>
  <sheetViews>
    <sheetView topLeftCell="A139" zoomScaleNormal="100" workbookViewId="0">
      <selection activeCell="J152" sqref="J152"/>
    </sheetView>
  </sheetViews>
  <sheetFormatPr defaultRowHeight="15"/>
  <cols>
    <col min="1" max="1" width="9.140625" style="56"/>
    <col min="3" max="3" width="37.7109375" customWidth="1"/>
    <col min="4" max="4" width="19.140625" customWidth="1"/>
    <col min="5" max="5" width="16.5703125" customWidth="1"/>
    <col min="6" max="6" width="23.7109375" bestFit="1" customWidth="1"/>
    <col min="7" max="7" width="18.85546875" bestFit="1" customWidth="1"/>
    <col min="8" max="8" width="12.140625" bestFit="1" customWidth="1"/>
    <col min="9" max="9" width="6.140625" style="56" customWidth="1"/>
    <col min="10" max="10" width="6.140625" customWidth="1"/>
    <col min="11" max="11" width="47.7109375" customWidth="1"/>
    <col min="12" max="12" width="18" customWidth="1"/>
    <col min="13" max="13" width="15.42578125" customWidth="1"/>
    <col min="14" max="14" width="21.7109375" customWidth="1"/>
    <col min="15" max="15" width="36.5703125" customWidth="1"/>
    <col min="16" max="46" width="21.7109375" customWidth="1"/>
    <col min="47" max="49" width="19.42578125" customWidth="1"/>
    <col min="50" max="50" width="15.5703125" bestFit="1" customWidth="1"/>
    <col min="51" max="52" width="11.7109375" bestFit="1" customWidth="1"/>
    <col min="53" max="88" width="19.85546875" customWidth="1"/>
  </cols>
  <sheetData>
    <row r="1" spans="1:484" s="56" customFormat="1">
      <c r="A1" s="416" t="s">
        <v>0</v>
      </c>
      <c r="B1" s="416"/>
      <c r="C1" s="416"/>
      <c r="D1" s="416"/>
      <c r="E1" s="416"/>
      <c r="F1" s="416"/>
      <c r="G1" s="416"/>
      <c r="AV1"/>
      <c r="AW1"/>
    </row>
    <row r="2" spans="1:484" s="56" customFormat="1">
      <c r="A2" s="416"/>
      <c r="B2" s="416"/>
      <c r="C2" s="416"/>
      <c r="D2" s="416"/>
      <c r="E2" s="416"/>
      <c r="F2" s="416"/>
      <c r="G2" s="416"/>
      <c r="AV2"/>
      <c r="AW2"/>
    </row>
    <row r="3" spans="1:484" s="56" customFormat="1">
      <c r="B3"/>
      <c r="C3"/>
      <c r="D3"/>
      <c r="E3"/>
      <c r="F3"/>
      <c r="G3"/>
      <c r="H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</row>
    <row r="4" spans="1:484" ht="18.75">
      <c r="K4" s="420" t="s">
        <v>1</v>
      </c>
      <c r="L4" s="420"/>
    </row>
    <row r="5" spans="1:484">
      <c r="E5" s="2"/>
    </row>
    <row r="6" spans="1:484" ht="15.75">
      <c r="E6" s="243"/>
      <c r="F6" s="285" t="s">
        <v>2</v>
      </c>
      <c r="G6" s="286">
        <v>35</v>
      </c>
      <c r="K6" s="417" t="s">
        <v>3</v>
      </c>
      <c r="L6" s="417"/>
    </row>
    <row r="7" spans="1:484" ht="15.75">
      <c r="C7" s="245" t="s">
        <v>4</v>
      </c>
      <c r="D7" s="400">
        <v>7461626.9400000004</v>
      </c>
      <c r="F7" s="59" t="s">
        <v>5</v>
      </c>
      <c r="G7" s="242">
        <v>2026</v>
      </c>
    </row>
    <row r="8" spans="1:484" ht="15.75">
      <c r="B8" s="244"/>
      <c r="C8" s="246" t="s">
        <v>6</v>
      </c>
      <c r="D8" s="47">
        <f>WACC!E20*'Premissas Gerais'!D7</f>
        <v>2251172.8477980001</v>
      </c>
      <c r="F8" s="59" t="s">
        <v>7</v>
      </c>
      <c r="G8" s="242">
        <f>G7+G6-1</f>
        <v>2060</v>
      </c>
      <c r="K8" s="8" t="s">
        <v>8</v>
      </c>
      <c r="L8" s="10" t="str">
        <f t="array" ref="L8:W9">TRANSPOSE(C30:D41)</f>
        <v>Janeiro</v>
      </c>
      <c r="M8" s="10" t="str">
        <v>Fevereiro</v>
      </c>
      <c r="N8" s="10" t="str">
        <v>Março</v>
      </c>
      <c r="O8" s="10" t="str">
        <v>Abril</v>
      </c>
      <c r="P8" s="10" t="str">
        <v>Maio</v>
      </c>
      <c r="Q8" s="10" t="str">
        <v>Junho</v>
      </c>
      <c r="R8" s="10" t="str">
        <v>Julho</v>
      </c>
      <c r="S8" s="10" t="str">
        <v>Agosto</v>
      </c>
      <c r="T8" s="10" t="str">
        <v>Setembro</v>
      </c>
      <c r="U8" s="10" t="str">
        <v>Outubro</v>
      </c>
      <c r="V8" s="10" t="str">
        <v>Novembro</v>
      </c>
      <c r="W8" s="10" t="str">
        <v>Dezembro</v>
      </c>
      <c r="Y8" s="412" t="s">
        <v>9</v>
      </c>
      <c r="Z8" s="412" t="s">
        <v>10</v>
      </c>
      <c r="AA8" s="412" t="s">
        <v>11</v>
      </c>
      <c r="AB8" s="412" t="s">
        <v>12</v>
      </c>
    </row>
    <row r="9" spans="1:484">
      <c r="C9" s="246" t="s">
        <v>13</v>
      </c>
      <c r="D9" s="47">
        <f>D7-D8</f>
        <v>5210454.0922020003</v>
      </c>
      <c r="K9" s="8" t="s">
        <v>14</v>
      </c>
      <c r="L9" s="5" t="str">
        <v>Média</v>
      </c>
      <c r="M9" s="5" t="str">
        <v>Baixa</v>
      </c>
      <c r="N9" s="5" t="str">
        <v>Alta</v>
      </c>
      <c r="O9" s="5" t="str">
        <v>Alta</v>
      </c>
      <c r="P9" s="5" t="str">
        <v>Média</v>
      </c>
      <c r="Q9" s="5" t="str">
        <v>Alta</v>
      </c>
      <c r="R9" s="5" t="str">
        <v>Alta</v>
      </c>
      <c r="S9" s="5" t="str">
        <v>Média</v>
      </c>
      <c r="T9" s="5" t="str">
        <v>Baixa</v>
      </c>
      <c r="U9" s="5" t="str">
        <v>Baixa</v>
      </c>
      <c r="V9" s="5" t="str">
        <v>Média</v>
      </c>
      <c r="W9" s="5" t="str">
        <v>Alta</v>
      </c>
      <c r="Y9" s="5" t="s">
        <v>15</v>
      </c>
      <c r="Z9" s="206">
        <f>$E$52*30*D46</f>
        <v>1950</v>
      </c>
      <c r="AA9" s="206">
        <f>E46</f>
        <v>5</v>
      </c>
      <c r="AB9" s="206">
        <f>Z9*AA9</f>
        <v>9750</v>
      </c>
    </row>
    <row r="10" spans="1:484" ht="15.75">
      <c r="C10" s="245" t="s">
        <v>16</v>
      </c>
      <c r="D10" s="208">
        <f>WACC!E21</f>
        <v>0.11869735884109502</v>
      </c>
      <c r="F10" s="245" t="s">
        <v>17</v>
      </c>
      <c r="G10" s="320">
        <v>9.9551079100000002E-3</v>
      </c>
      <c r="K10" s="8" t="s">
        <v>18</v>
      </c>
      <c r="L10" s="6">
        <f t="shared" ref="L10:W10" si="0">IF(L9="Alta",$D$46,IF(L9="média",$D$47,$D$48))</f>
        <v>0.56000000000000005</v>
      </c>
      <c r="M10" s="6">
        <f t="shared" si="0"/>
        <v>0.44</v>
      </c>
      <c r="N10" s="6">
        <f t="shared" si="0"/>
        <v>0.65</v>
      </c>
      <c r="O10" s="6">
        <f t="shared" si="0"/>
        <v>0.65</v>
      </c>
      <c r="P10" s="6">
        <f t="shared" si="0"/>
        <v>0.56000000000000005</v>
      </c>
      <c r="Q10" s="6">
        <f t="shared" si="0"/>
        <v>0.65</v>
      </c>
      <c r="R10" s="6">
        <f t="shared" si="0"/>
        <v>0.65</v>
      </c>
      <c r="S10" s="6">
        <f t="shared" si="0"/>
        <v>0.56000000000000005</v>
      </c>
      <c r="T10" s="6">
        <f t="shared" si="0"/>
        <v>0.44</v>
      </c>
      <c r="U10" s="6">
        <f t="shared" si="0"/>
        <v>0.44</v>
      </c>
      <c r="V10" s="6">
        <f t="shared" si="0"/>
        <v>0.56000000000000005</v>
      </c>
      <c r="W10" s="6">
        <f t="shared" si="0"/>
        <v>0.65</v>
      </c>
      <c r="Y10" s="5" t="s">
        <v>19</v>
      </c>
      <c r="Z10" s="206">
        <f>$E$52*30*D47</f>
        <v>1680.0000000000002</v>
      </c>
      <c r="AA10" s="206">
        <f>E47</f>
        <v>4</v>
      </c>
      <c r="AB10" s="206">
        <f>Z10*AA10</f>
        <v>6720.0000000000009</v>
      </c>
    </row>
    <row r="11" spans="1:484">
      <c r="C11" s="245" t="s">
        <v>20</v>
      </c>
      <c r="D11" s="318">
        <f ca="1">'Demonstrações Financeiras '!D81</f>
        <v>3.2378011383116245E-10</v>
      </c>
      <c r="K11" t="s">
        <v>21</v>
      </c>
      <c r="L11" s="3">
        <f t="shared" ref="L11:W11" si="1">IF(L9="Média",$D$54,IF(L9="baixa",(1-$D$56)*$D$54,(1+$D$55)*$D$54))</f>
        <v>280</v>
      </c>
      <c r="M11" s="3">
        <f t="shared" si="1"/>
        <v>238</v>
      </c>
      <c r="N11" s="3">
        <f t="shared" si="1"/>
        <v>350</v>
      </c>
      <c r="O11" s="3">
        <f t="shared" si="1"/>
        <v>350</v>
      </c>
      <c r="P11" s="3">
        <f t="shared" si="1"/>
        <v>280</v>
      </c>
      <c r="Q11" s="3">
        <f t="shared" si="1"/>
        <v>350</v>
      </c>
      <c r="R11" s="3">
        <f t="shared" si="1"/>
        <v>350</v>
      </c>
      <c r="S11" s="3">
        <f t="shared" si="1"/>
        <v>280</v>
      </c>
      <c r="T11" s="3">
        <f t="shared" si="1"/>
        <v>238</v>
      </c>
      <c r="U11" s="3">
        <f t="shared" si="1"/>
        <v>238</v>
      </c>
      <c r="V11" s="3">
        <f t="shared" si="1"/>
        <v>280</v>
      </c>
      <c r="W11" s="3">
        <f t="shared" si="1"/>
        <v>350</v>
      </c>
      <c r="Y11" s="5" t="s">
        <v>22</v>
      </c>
      <c r="Z11" s="206">
        <f>$E$52*30*D48</f>
        <v>1320</v>
      </c>
      <c r="AA11" s="206">
        <f>E48</f>
        <v>3</v>
      </c>
      <c r="AB11" s="206">
        <f>Z11*AA11</f>
        <v>3960</v>
      </c>
    </row>
    <row r="12" spans="1:484" ht="15.75">
      <c r="C12" s="245" t="s">
        <v>23</v>
      </c>
      <c r="D12" s="155">
        <f ca="1">'Demonstrações Financeiras '!D87</f>
        <v>10</v>
      </c>
      <c r="F12" s="327" t="s">
        <v>24</v>
      </c>
      <c r="G12" s="286">
        <f>SUM(Capex!F24:AN24)</f>
        <v>2</v>
      </c>
      <c r="H12" t="s">
        <v>25</v>
      </c>
      <c r="K12" s="8" t="s">
        <v>26</v>
      </c>
      <c r="L12" s="4">
        <f t="shared" ref="L12:W12" si="2">L11*L10*30*$D$52</f>
        <v>244608</v>
      </c>
      <c r="M12" s="4">
        <f t="shared" si="2"/>
        <v>163363.19999999998</v>
      </c>
      <c r="N12" s="4">
        <f t="shared" si="2"/>
        <v>354900</v>
      </c>
      <c r="O12" s="4">
        <f t="shared" si="2"/>
        <v>354900</v>
      </c>
      <c r="P12" s="4">
        <f t="shared" si="2"/>
        <v>244608</v>
      </c>
      <c r="Q12" s="4">
        <f t="shared" si="2"/>
        <v>354900</v>
      </c>
      <c r="R12" s="4">
        <f t="shared" si="2"/>
        <v>354900</v>
      </c>
      <c r="S12" s="4">
        <f t="shared" si="2"/>
        <v>244608</v>
      </c>
      <c r="T12" s="4">
        <f t="shared" si="2"/>
        <v>163363.19999999998</v>
      </c>
      <c r="U12" s="4">
        <f t="shared" si="2"/>
        <v>163363.19999999998</v>
      </c>
      <c r="V12" s="4">
        <f t="shared" si="2"/>
        <v>244608</v>
      </c>
      <c r="W12" s="4">
        <f t="shared" si="2"/>
        <v>354900</v>
      </c>
      <c r="Y12" s="418" t="s">
        <v>27</v>
      </c>
      <c r="Z12" s="418"/>
      <c r="AA12" s="418"/>
      <c r="AB12" s="290">
        <f>SUM(AB9:AB11)</f>
        <v>20430</v>
      </c>
      <c r="AC12">
        <f>AB12/365</f>
        <v>55.972602739726028</v>
      </c>
    </row>
    <row r="13" spans="1:484" ht="15.75">
      <c r="C13" s="245" t="s">
        <v>28</v>
      </c>
      <c r="D13" s="155">
        <f>'Demonstrações Financeiras '!D88</f>
        <v>1</v>
      </c>
      <c r="F13" s="327" t="s">
        <v>29</v>
      </c>
      <c r="G13" s="324">
        <v>1</v>
      </c>
      <c r="H13" t="s">
        <v>30</v>
      </c>
      <c r="K13" s="224" t="s">
        <v>31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418" t="s">
        <v>32</v>
      </c>
      <c r="Z13" s="418"/>
      <c r="AA13" s="418"/>
      <c r="AB13" s="57">
        <f>E52*365</f>
        <v>36500</v>
      </c>
      <c r="AC13">
        <f>AB13/365</f>
        <v>100</v>
      </c>
    </row>
    <row r="14" spans="1:484" ht="15.75">
      <c r="C14" s="245" t="s">
        <v>33</v>
      </c>
      <c r="D14" s="3">
        <f ca="1">'Demonstrações Financeiras '!D85</f>
        <v>-4005257.5394192012</v>
      </c>
      <c r="F14" s="327" t="s">
        <v>34</v>
      </c>
      <c r="G14" s="326">
        <f>SUM(G12,G13,1)</f>
        <v>4</v>
      </c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Y14" s="418" t="s">
        <v>35</v>
      </c>
      <c r="Z14" s="418"/>
      <c r="AA14" s="418"/>
      <c r="AB14" s="226">
        <f>AB12/AB13</f>
        <v>0.5597260273972603</v>
      </c>
      <c r="AC14">
        <f>AB14*AB13</f>
        <v>20430</v>
      </c>
    </row>
    <row r="15" spans="1:484" ht="15.75">
      <c r="C15" s="245" t="s">
        <v>36</v>
      </c>
      <c r="D15" s="208">
        <f ca="1">'Demonstrações Financeiras '!D83</f>
        <v>0.36417791896779872</v>
      </c>
      <c r="E15" s="58"/>
      <c r="F15" s="327" t="s">
        <v>37</v>
      </c>
      <c r="G15" s="326">
        <f>SUM(G14,1)</f>
        <v>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C15">
        <f>AB14*D52</f>
        <v>29.105753424657536</v>
      </c>
    </row>
    <row r="16" spans="1:484">
      <c r="C16" s="245" t="s">
        <v>38</v>
      </c>
      <c r="D16" s="208">
        <f ca="1">'Demonstrações Financeiras '!D84</f>
        <v>0.14126427676361447</v>
      </c>
      <c r="K16" s="411" t="s">
        <v>39</v>
      </c>
      <c r="L16" s="411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2:50" ht="15.75">
      <c r="C17" s="245" t="s">
        <v>40</v>
      </c>
      <c r="F17" s="327" t="s">
        <v>41</v>
      </c>
      <c r="G17" s="322">
        <v>1881</v>
      </c>
      <c r="H17" t="s">
        <v>42</v>
      </c>
      <c r="K17" s="311" t="s">
        <v>43</v>
      </c>
      <c r="L17" s="220">
        <f>SUM(L12:W12)</f>
        <v>3243021.6000000006</v>
      </c>
      <c r="M17" s="224" t="s">
        <v>44</v>
      </c>
      <c r="O17" s="224" t="s">
        <v>45</v>
      </c>
    </row>
    <row r="18" spans="2:50" ht="15.75">
      <c r="C18" s="246" t="s">
        <v>46</v>
      </c>
      <c r="D18" s="255">
        <f ca="1">L54</f>
        <v>1590704.3025440604</v>
      </c>
      <c r="F18" s="327" t="s">
        <v>47</v>
      </c>
      <c r="G18" s="351">
        <v>3500000</v>
      </c>
      <c r="H18" s="352">
        <f>G18/D7</f>
        <v>0.46906660278569218</v>
      </c>
      <c r="K18" s="4" t="str">
        <f>K26</f>
        <v>Compartihamento do Faturamento do Restaurante</v>
      </c>
      <c r="L18" s="320">
        <v>7.0000000000000007E-2</v>
      </c>
      <c r="M18" s="224"/>
    </row>
    <row r="19" spans="2:50" ht="15.75">
      <c r="C19" s="246" t="s">
        <v>48</v>
      </c>
      <c r="D19" s="255">
        <f ca="1">L55</f>
        <v>132558.6918786717</v>
      </c>
      <c r="M19" s="224"/>
    </row>
    <row r="20" spans="2:50">
      <c r="K20" s="311" t="s">
        <v>49</v>
      </c>
      <c r="L20" s="1">
        <v>0</v>
      </c>
      <c r="M20" s="1">
        <v>1</v>
      </c>
      <c r="N20" s="1">
        <v>2</v>
      </c>
      <c r="O20" s="1">
        <v>3</v>
      </c>
      <c r="P20" s="1">
        <v>4</v>
      </c>
      <c r="Q20" s="1">
        <v>5</v>
      </c>
      <c r="R20" s="1">
        <v>6</v>
      </c>
      <c r="S20" s="1">
        <v>7</v>
      </c>
      <c r="T20" s="1">
        <v>8</v>
      </c>
      <c r="U20" s="1">
        <v>9</v>
      </c>
      <c r="V20" s="1">
        <v>10</v>
      </c>
      <c r="W20" s="1">
        <v>11</v>
      </c>
      <c r="X20" s="1">
        <v>12</v>
      </c>
      <c r="Y20" s="1">
        <v>13</v>
      </c>
      <c r="Z20" s="1">
        <v>14</v>
      </c>
      <c r="AA20" s="1">
        <v>15</v>
      </c>
      <c r="AB20" s="1">
        <v>16</v>
      </c>
      <c r="AC20" s="1">
        <v>17</v>
      </c>
      <c r="AD20" s="1">
        <v>18</v>
      </c>
      <c r="AE20" s="1">
        <v>19</v>
      </c>
      <c r="AF20" s="1">
        <v>20</v>
      </c>
      <c r="AG20" s="1">
        <v>21</v>
      </c>
      <c r="AH20" s="1">
        <v>22</v>
      </c>
      <c r="AI20" s="1">
        <v>23</v>
      </c>
      <c r="AJ20" s="1">
        <v>24</v>
      </c>
      <c r="AK20" s="1">
        <v>25</v>
      </c>
      <c r="AL20" s="1">
        <v>26</v>
      </c>
      <c r="AM20" s="1">
        <v>27</v>
      </c>
      <c r="AN20" s="1">
        <v>28</v>
      </c>
      <c r="AO20" s="1">
        <v>29</v>
      </c>
      <c r="AP20" s="1">
        <v>30</v>
      </c>
      <c r="AQ20" s="1">
        <v>31</v>
      </c>
      <c r="AR20" s="1">
        <v>32</v>
      </c>
      <c r="AS20" s="1">
        <v>33</v>
      </c>
      <c r="AT20" s="1">
        <v>34</v>
      </c>
      <c r="AU20" s="1">
        <v>35</v>
      </c>
    </row>
    <row r="21" spans="2:50">
      <c r="K21" s="221" t="s">
        <v>50</v>
      </c>
      <c r="L21" s="3">
        <f>IF(L24=0,0,32.83)</f>
        <v>0</v>
      </c>
      <c r="M21" s="3">
        <f t="shared" ref="M21:AU21" si="3">IF(M24=0,0,32.83)</f>
        <v>0</v>
      </c>
      <c r="N21" s="3">
        <f t="shared" si="3"/>
        <v>0</v>
      </c>
      <c r="O21" s="3">
        <f t="shared" si="3"/>
        <v>32.83</v>
      </c>
      <c r="P21" s="3">
        <f t="shared" si="3"/>
        <v>32.83</v>
      </c>
      <c r="Q21" s="3">
        <f t="shared" si="3"/>
        <v>32.83</v>
      </c>
      <c r="R21" s="3">
        <f t="shared" si="3"/>
        <v>32.83</v>
      </c>
      <c r="S21" s="3">
        <f t="shared" si="3"/>
        <v>32.83</v>
      </c>
      <c r="T21" s="3">
        <f t="shared" si="3"/>
        <v>32.83</v>
      </c>
      <c r="U21" s="3">
        <f t="shared" si="3"/>
        <v>32.83</v>
      </c>
      <c r="V21" s="3">
        <f t="shared" si="3"/>
        <v>32.83</v>
      </c>
      <c r="W21" s="3">
        <f t="shared" si="3"/>
        <v>32.83</v>
      </c>
      <c r="X21" s="3">
        <f t="shared" si="3"/>
        <v>32.83</v>
      </c>
      <c r="Y21" s="3">
        <f t="shared" si="3"/>
        <v>32.83</v>
      </c>
      <c r="Z21" s="3">
        <f t="shared" si="3"/>
        <v>32.83</v>
      </c>
      <c r="AA21" s="3">
        <f t="shared" si="3"/>
        <v>32.83</v>
      </c>
      <c r="AB21" s="3">
        <f t="shared" si="3"/>
        <v>32.83</v>
      </c>
      <c r="AC21" s="3">
        <f t="shared" si="3"/>
        <v>32.83</v>
      </c>
      <c r="AD21" s="3">
        <f t="shared" si="3"/>
        <v>32.83</v>
      </c>
      <c r="AE21" s="3">
        <f t="shared" si="3"/>
        <v>32.83</v>
      </c>
      <c r="AF21" s="3">
        <f t="shared" si="3"/>
        <v>32.83</v>
      </c>
      <c r="AG21" s="3">
        <f t="shared" si="3"/>
        <v>32.83</v>
      </c>
      <c r="AH21" s="3">
        <f t="shared" si="3"/>
        <v>32.83</v>
      </c>
      <c r="AI21" s="3">
        <f t="shared" si="3"/>
        <v>32.83</v>
      </c>
      <c r="AJ21" s="3">
        <f t="shared" si="3"/>
        <v>32.83</v>
      </c>
      <c r="AK21" s="3">
        <f t="shared" si="3"/>
        <v>32.83</v>
      </c>
      <c r="AL21" s="3">
        <f t="shared" si="3"/>
        <v>32.83</v>
      </c>
      <c r="AM21" s="3">
        <f t="shared" si="3"/>
        <v>32.83</v>
      </c>
      <c r="AN21" s="3">
        <f t="shared" si="3"/>
        <v>32.83</v>
      </c>
      <c r="AO21" s="3">
        <f t="shared" si="3"/>
        <v>32.83</v>
      </c>
      <c r="AP21" s="3">
        <f t="shared" si="3"/>
        <v>32.83</v>
      </c>
      <c r="AQ21" s="3">
        <f t="shared" si="3"/>
        <v>32.83</v>
      </c>
      <c r="AR21" s="3">
        <f t="shared" si="3"/>
        <v>32.83</v>
      </c>
      <c r="AS21" s="3">
        <f t="shared" si="3"/>
        <v>32.83</v>
      </c>
      <c r="AT21" s="3">
        <f t="shared" si="3"/>
        <v>32.83</v>
      </c>
      <c r="AU21" s="3">
        <f t="shared" si="3"/>
        <v>32.83</v>
      </c>
    </row>
    <row r="22" spans="2:50">
      <c r="K22" s="221" t="s">
        <v>51</v>
      </c>
      <c r="L22" s="303">
        <f>IF(L24=0,0,2)</f>
        <v>0</v>
      </c>
      <c r="M22" s="303">
        <f t="shared" ref="M22:AU22" si="4">IF(M24=0,0,2)</f>
        <v>0</v>
      </c>
      <c r="N22" s="303">
        <f t="shared" si="4"/>
        <v>0</v>
      </c>
      <c r="O22" s="303">
        <f t="shared" si="4"/>
        <v>2</v>
      </c>
      <c r="P22" s="303">
        <f t="shared" si="4"/>
        <v>2</v>
      </c>
      <c r="Q22" s="303">
        <f t="shared" si="4"/>
        <v>2</v>
      </c>
      <c r="R22" s="303">
        <f t="shared" si="4"/>
        <v>2</v>
      </c>
      <c r="S22" s="303">
        <f t="shared" si="4"/>
        <v>2</v>
      </c>
      <c r="T22" s="303">
        <f t="shared" si="4"/>
        <v>2</v>
      </c>
      <c r="U22" s="303">
        <f t="shared" si="4"/>
        <v>2</v>
      </c>
      <c r="V22" s="303">
        <f t="shared" si="4"/>
        <v>2</v>
      </c>
      <c r="W22" s="303">
        <f t="shared" si="4"/>
        <v>2</v>
      </c>
      <c r="X22" s="303">
        <f t="shared" si="4"/>
        <v>2</v>
      </c>
      <c r="Y22" s="303">
        <f t="shared" si="4"/>
        <v>2</v>
      </c>
      <c r="Z22" s="303">
        <f t="shared" si="4"/>
        <v>2</v>
      </c>
      <c r="AA22" s="303">
        <f t="shared" si="4"/>
        <v>2</v>
      </c>
      <c r="AB22" s="303">
        <f t="shared" si="4"/>
        <v>2</v>
      </c>
      <c r="AC22" s="303">
        <f t="shared" si="4"/>
        <v>2</v>
      </c>
      <c r="AD22" s="303">
        <f t="shared" si="4"/>
        <v>2</v>
      </c>
      <c r="AE22" s="303">
        <f t="shared" si="4"/>
        <v>2</v>
      </c>
      <c r="AF22" s="303">
        <f t="shared" si="4"/>
        <v>2</v>
      </c>
      <c r="AG22" s="303">
        <f t="shared" si="4"/>
        <v>2</v>
      </c>
      <c r="AH22" s="303">
        <f t="shared" si="4"/>
        <v>2</v>
      </c>
      <c r="AI22" s="303">
        <f t="shared" si="4"/>
        <v>2</v>
      </c>
      <c r="AJ22" s="303">
        <f t="shared" si="4"/>
        <v>2</v>
      </c>
      <c r="AK22" s="303">
        <f t="shared" si="4"/>
        <v>2</v>
      </c>
      <c r="AL22" s="303">
        <f t="shared" si="4"/>
        <v>2</v>
      </c>
      <c r="AM22" s="303">
        <f t="shared" si="4"/>
        <v>2</v>
      </c>
      <c r="AN22" s="303">
        <f t="shared" si="4"/>
        <v>2</v>
      </c>
      <c r="AO22" s="303">
        <f t="shared" si="4"/>
        <v>2</v>
      </c>
      <c r="AP22" s="303">
        <f t="shared" si="4"/>
        <v>2</v>
      </c>
      <c r="AQ22" s="303">
        <f t="shared" si="4"/>
        <v>2</v>
      </c>
      <c r="AR22" s="303">
        <f t="shared" si="4"/>
        <v>2</v>
      </c>
      <c r="AS22" s="303">
        <f t="shared" si="4"/>
        <v>2</v>
      </c>
      <c r="AT22" s="303">
        <f t="shared" si="4"/>
        <v>2</v>
      </c>
      <c r="AU22" s="303">
        <f t="shared" si="4"/>
        <v>2</v>
      </c>
    </row>
    <row r="23" spans="2:50">
      <c r="K23" s="221" t="s">
        <v>52</v>
      </c>
      <c r="L23" s="3">
        <f t="shared" ref="L23:AU23" si="5">IF(L24=0,0,L21*L22)</f>
        <v>0</v>
      </c>
      <c r="M23" s="3">
        <f t="shared" si="5"/>
        <v>0</v>
      </c>
      <c r="N23" s="3">
        <f t="shared" si="5"/>
        <v>0</v>
      </c>
      <c r="O23" s="3">
        <f t="shared" si="5"/>
        <v>65.66</v>
      </c>
      <c r="P23" s="3">
        <f t="shared" si="5"/>
        <v>65.66</v>
      </c>
      <c r="Q23" s="3">
        <f t="shared" si="5"/>
        <v>65.66</v>
      </c>
      <c r="R23" s="3">
        <f t="shared" si="5"/>
        <v>65.66</v>
      </c>
      <c r="S23" s="3">
        <f t="shared" si="5"/>
        <v>65.66</v>
      </c>
      <c r="T23" s="3">
        <f t="shared" si="5"/>
        <v>65.66</v>
      </c>
      <c r="U23" s="3">
        <f t="shared" si="5"/>
        <v>65.66</v>
      </c>
      <c r="V23" s="3">
        <f t="shared" si="5"/>
        <v>65.66</v>
      </c>
      <c r="W23" s="3">
        <f t="shared" si="5"/>
        <v>65.66</v>
      </c>
      <c r="X23" s="3">
        <f t="shared" si="5"/>
        <v>65.66</v>
      </c>
      <c r="Y23" s="3">
        <f t="shared" si="5"/>
        <v>65.66</v>
      </c>
      <c r="Z23" s="3">
        <f t="shared" si="5"/>
        <v>65.66</v>
      </c>
      <c r="AA23" s="3">
        <f t="shared" si="5"/>
        <v>65.66</v>
      </c>
      <c r="AB23" s="3">
        <f t="shared" si="5"/>
        <v>65.66</v>
      </c>
      <c r="AC23" s="3">
        <f t="shared" si="5"/>
        <v>65.66</v>
      </c>
      <c r="AD23" s="3">
        <f t="shared" si="5"/>
        <v>65.66</v>
      </c>
      <c r="AE23" s="3">
        <f t="shared" si="5"/>
        <v>65.66</v>
      </c>
      <c r="AF23" s="3">
        <f t="shared" si="5"/>
        <v>65.66</v>
      </c>
      <c r="AG23" s="3">
        <f t="shared" si="5"/>
        <v>65.66</v>
      </c>
      <c r="AH23" s="3">
        <f t="shared" si="5"/>
        <v>65.66</v>
      </c>
      <c r="AI23" s="3">
        <f t="shared" si="5"/>
        <v>65.66</v>
      </c>
      <c r="AJ23" s="3">
        <f t="shared" si="5"/>
        <v>65.66</v>
      </c>
      <c r="AK23" s="3">
        <f t="shared" si="5"/>
        <v>65.66</v>
      </c>
      <c r="AL23" s="3">
        <f t="shared" si="5"/>
        <v>65.66</v>
      </c>
      <c r="AM23" s="3">
        <f t="shared" si="5"/>
        <v>65.66</v>
      </c>
      <c r="AN23" s="3">
        <f t="shared" si="5"/>
        <v>65.66</v>
      </c>
      <c r="AO23" s="3">
        <f t="shared" si="5"/>
        <v>65.66</v>
      </c>
      <c r="AP23" s="3">
        <f t="shared" si="5"/>
        <v>65.66</v>
      </c>
      <c r="AQ23" s="3">
        <f t="shared" si="5"/>
        <v>65.66</v>
      </c>
      <c r="AR23" s="3">
        <f t="shared" si="5"/>
        <v>65.66</v>
      </c>
      <c r="AS23" s="3">
        <f t="shared" si="5"/>
        <v>65.66</v>
      </c>
      <c r="AT23" s="3">
        <f t="shared" si="5"/>
        <v>65.66</v>
      </c>
      <c r="AU23" s="3">
        <f t="shared" si="5"/>
        <v>65.66</v>
      </c>
    </row>
    <row r="24" spans="2:50">
      <c r="K24" s="221" t="s">
        <v>53</v>
      </c>
      <c r="L24" s="302">
        <f t="shared" ref="L24:AU24" si="6">IF(L20&lt;=$G$12,0,IF(L20&gt;=12,70%,65%))</f>
        <v>0</v>
      </c>
      <c r="M24" s="302">
        <f t="shared" si="6"/>
        <v>0</v>
      </c>
      <c r="N24" s="302">
        <f t="shared" si="6"/>
        <v>0</v>
      </c>
      <c r="O24" s="302">
        <f t="shared" si="6"/>
        <v>0.65</v>
      </c>
      <c r="P24" s="302">
        <f t="shared" si="6"/>
        <v>0.65</v>
      </c>
      <c r="Q24" s="302">
        <f t="shared" si="6"/>
        <v>0.65</v>
      </c>
      <c r="R24" s="302">
        <f t="shared" si="6"/>
        <v>0.65</v>
      </c>
      <c r="S24" s="302">
        <f t="shared" si="6"/>
        <v>0.65</v>
      </c>
      <c r="T24" s="302">
        <f t="shared" si="6"/>
        <v>0.65</v>
      </c>
      <c r="U24" s="302">
        <f t="shared" si="6"/>
        <v>0.65</v>
      </c>
      <c r="V24" s="302">
        <f t="shared" si="6"/>
        <v>0.65</v>
      </c>
      <c r="W24" s="302">
        <f t="shared" si="6"/>
        <v>0.65</v>
      </c>
      <c r="X24" s="302">
        <f t="shared" si="6"/>
        <v>0.7</v>
      </c>
      <c r="Y24" s="302">
        <f t="shared" si="6"/>
        <v>0.7</v>
      </c>
      <c r="Z24" s="302">
        <f t="shared" si="6"/>
        <v>0.7</v>
      </c>
      <c r="AA24" s="302">
        <f t="shared" si="6"/>
        <v>0.7</v>
      </c>
      <c r="AB24" s="302">
        <f t="shared" si="6"/>
        <v>0.7</v>
      </c>
      <c r="AC24" s="302">
        <f t="shared" si="6"/>
        <v>0.7</v>
      </c>
      <c r="AD24" s="302">
        <f t="shared" si="6"/>
        <v>0.7</v>
      </c>
      <c r="AE24" s="302">
        <f t="shared" si="6"/>
        <v>0.7</v>
      </c>
      <c r="AF24" s="302">
        <f t="shared" si="6"/>
        <v>0.7</v>
      </c>
      <c r="AG24" s="302">
        <f t="shared" si="6"/>
        <v>0.7</v>
      </c>
      <c r="AH24" s="302">
        <f t="shared" si="6"/>
        <v>0.7</v>
      </c>
      <c r="AI24" s="302">
        <f t="shared" si="6"/>
        <v>0.7</v>
      </c>
      <c r="AJ24" s="302">
        <f t="shared" si="6"/>
        <v>0.7</v>
      </c>
      <c r="AK24" s="302">
        <f t="shared" si="6"/>
        <v>0.7</v>
      </c>
      <c r="AL24" s="302">
        <f t="shared" si="6"/>
        <v>0.7</v>
      </c>
      <c r="AM24" s="302">
        <f t="shared" si="6"/>
        <v>0.7</v>
      </c>
      <c r="AN24" s="302">
        <f t="shared" si="6"/>
        <v>0.7</v>
      </c>
      <c r="AO24" s="302">
        <f t="shared" si="6"/>
        <v>0.7</v>
      </c>
      <c r="AP24" s="302">
        <f t="shared" si="6"/>
        <v>0.7</v>
      </c>
      <c r="AQ24" s="302">
        <f t="shared" si="6"/>
        <v>0.7</v>
      </c>
      <c r="AR24" s="302">
        <f t="shared" si="6"/>
        <v>0.7</v>
      </c>
      <c r="AS24" s="302">
        <f t="shared" si="6"/>
        <v>0.7</v>
      </c>
      <c r="AT24" s="302">
        <f t="shared" si="6"/>
        <v>0.7</v>
      </c>
      <c r="AU24" s="302">
        <f t="shared" si="6"/>
        <v>0.7</v>
      </c>
    </row>
    <row r="25" spans="2:50">
      <c r="K25" t="s">
        <v>54</v>
      </c>
      <c r="L25" s="4">
        <f t="shared" ref="L25:AU25" si="7">IF(L20&lt;=$G$12,0,$L$186*L24*L23)</f>
        <v>0</v>
      </c>
      <c r="M25" s="4">
        <f t="shared" si="7"/>
        <v>0</v>
      </c>
      <c r="N25" s="4">
        <f t="shared" si="7"/>
        <v>0</v>
      </c>
      <c r="O25" s="4">
        <f t="shared" si="7"/>
        <v>714984.2154000001</v>
      </c>
      <c r="P25" s="4">
        <f t="shared" si="7"/>
        <v>714984.2154000001</v>
      </c>
      <c r="Q25" s="4">
        <f t="shared" si="7"/>
        <v>714984.2154000001</v>
      </c>
      <c r="R25" s="4">
        <f t="shared" si="7"/>
        <v>714984.2154000001</v>
      </c>
      <c r="S25" s="4">
        <f t="shared" si="7"/>
        <v>714984.2154000001</v>
      </c>
      <c r="T25" s="4">
        <f t="shared" si="7"/>
        <v>714984.2154000001</v>
      </c>
      <c r="U25" s="4">
        <f t="shared" si="7"/>
        <v>714984.2154000001</v>
      </c>
      <c r="V25" s="4">
        <f t="shared" si="7"/>
        <v>714984.2154000001</v>
      </c>
      <c r="W25" s="4">
        <f t="shared" si="7"/>
        <v>714984.2154000001</v>
      </c>
      <c r="X25" s="4">
        <f t="shared" si="7"/>
        <v>769983.00120000006</v>
      </c>
      <c r="Y25" s="4">
        <f t="shared" si="7"/>
        <v>769983.00120000006</v>
      </c>
      <c r="Z25" s="4">
        <f t="shared" si="7"/>
        <v>769983.00120000006</v>
      </c>
      <c r="AA25" s="4">
        <f t="shared" si="7"/>
        <v>769983.00120000006</v>
      </c>
      <c r="AB25" s="4">
        <f t="shared" si="7"/>
        <v>769983.00120000006</v>
      </c>
      <c r="AC25" s="4">
        <f t="shared" si="7"/>
        <v>769983.00120000006</v>
      </c>
      <c r="AD25" s="4">
        <f t="shared" si="7"/>
        <v>769983.00120000006</v>
      </c>
      <c r="AE25" s="4">
        <f t="shared" si="7"/>
        <v>769983.00120000006</v>
      </c>
      <c r="AF25" s="4">
        <f t="shared" si="7"/>
        <v>769983.00120000006</v>
      </c>
      <c r="AG25" s="4">
        <f t="shared" si="7"/>
        <v>769983.00120000006</v>
      </c>
      <c r="AH25" s="4">
        <f t="shared" si="7"/>
        <v>769983.00120000006</v>
      </c>
      <c r="AI25" s="4">
        <f t="shared" si="7"/>
        <v>769983.00120000006</v>
      </c>
      <c r="AJ25" s="4">
        <f t="shared" si="7"/>
        <v>769983.00120000006</v>
      </c>
      <c r="AK25" s="4">
        <f t="shared" si="7"/>
        <v>769983.00120000006</v>
      </c>
      <c r="AL25" s="4">
        <f t="shared" si="7"/>
        <v>769983.00120000006</v>
      </c>
      <c r="AM25" s="4">
        <f t="shared" si="7"/>
        <v>769983.00120000006</v>
      </c>
      <c r="AN25" s="4">
        <f t="shared" si="7"/>
        <v>769983.00120000006</v>
      </c>
      <c r="AO25" s="4">
        <f t="shared" si="7"/>
        <v>769983.00120000006</v>
      </c>
      <c r="AP25" s="4">
        <f t="shared" si="7"/>
        <v>769983.00120000006</v>
      </c>
      <c r="AQ25" s="4">
        <f t="shared" si="7"/>
        <v>769983.00120000006</v>
      </c>
      <c r="AR25" s="4">
        <f t="shared" si="7"/>
        <v>769983.00120000006</v>
      </c>
      <c r="AS25" s="4">
        <f t="shared" si="7"/>
        <v>769983.00120000006</v>
      </c>
      <c r="AT25" s="4">
        <f t="shared" si="7"/>
        <v>769983.00120000006</v>
      </c>
      <c r="AU25" s="4">
        <f t="shared" si="7"/>
        <v>769983.00120000006</v>
      </c>
    </row>
    <row r="26" spans="2:50" ht="15.75">
      <c r="B26" s="63"/>
      <c r="C26" s="64" t="s">
        <v>55</v>
      </c>
      <c r="D26" s="63"/>
      <c r="E26" s="63"/>
      <c r="F26" s="63"/>
      <c r="G26" s="63"/>
      <c r="H26" s="63"/>
      <c r="K26" s="222" t="s">
        <v>56</v>
      </c>
      <c r="L26" s="302">
        <f t="shared" ref="L26:AU26" si="8">IF(L25=0,0,$L$18)</f>
        <v>0</v>
      </c>
      <c r="M26" s="302">
        <f t="shared" si="8"/>
        <v>0</v>
      </c>
      <c r="N26" s="302">
        <f t="shared" si="8"/>
        <v>0</v>
      </c>
      <c r="O26" s="302">
        <f t="shared" si="8"/>
        <v>7.0000000000000007E-2</v>
      </c>
      <c r="P26" s="302">
        <f t="shared" si="8"/>
        <v>7.0000000000000007E-2</v>
      </c>
      <c r="Q26" s="302">
        <f t="shared" si="8"/>
        <v>7.0000000000000007E-2</v>
      </c>
      <c r="R26" s="302">
        <f t="shared" si="8"/>
        <v>7.0000000000000007E-2</v>
      </c>
      <c r="S26" s="302">
        <f t="shared" si="8"/>
        <v>7.0000000000000007E-2</v>
      </c>
      <c r="T26" s="302">
        <f t="shared" si="8"/>
        <v>7.0000000000000007E-2</v>
      </c>
      <c r="U26" s="302">
        <f t="shared" si="8"/>
        <v>7.0000000000000007E-2</v>
      </c>
      <c r="V26" s="302">
        <f t="shared" si="8"/>
        <v>7.0000000000000007E-2</v>
      </c>
      <c r="W26" s="302">
        <f t="shared" si="8"/>
        <v>7.0000000000000007E-2</v>
      </c>
      <c r="X26" s="302">
        <f t="shared" si="8"/>
        <v>7.0000000000000007E-2</v>
      </c>
      <c r="Y26" s="302">
        <f t="shared" si="8"/>
        <v>7.0000000000000007E-2</v>
      </c>
      <c r="Z26" s="302">
        <f t="shared" si="8"/>
        <v>7.0000000000000007E-2</v>
      </c>
      <c r="AA26" s="302">
        <f t="shared" si="8"/>
        <v>7.0000000000000007E-2</v>
      </c>
      <c r="AB26" s="302">
        <f t="shared" si="8"/>
        <v>7.0000000000000007E-2</v>
      </c>
      <c r="AC26" s="302">
        <f t="shared" si="8"/>
        <v>7.0000000000000007E-2</v>
      </c>
      <c r="AD26" s="302">
        <f t="shared" si="8"/>
        <v>7.0000000000000007E-2</v>
      </c>
      <c r="AE26" s="302">
        <f t="shared" si="8"/>
        <v>7.0000000000000007E-2</v>
      </c>
      <c r="AF26" s="302">
        <f t="shared" si="8"/>
        <v>7.0000000000000007E-2</v>
      </c>
      <c r="AG26" s="302">
        <f t="shared" si="8"/>
        <v>7.0000000000000007E-2</v>
      </c>
      <c r="AH26" s="302">
        <f t="shared" si="8"/>
        <v>7.0000000000000007E-2</v>
      </c>
      <c r="AI26" s="302">
        <f t="shared" si="8"/>
        <v>7.0000000000000007E-2</v>
      </c>
      <c r="AJ26" s="302">
        <f t="shared" si="8"/>
        <v>7.0000000000000007E-2</v>
      </c>
      <c r="AK26" s="302">
        <f t="shared" si="8"/>
        <v>7.0000000000000007E-2</v>
      </c>
      <c r="AL26" s="302">
        <f t="shared" si="8"/>
        <v>7.0000000000000007E-2</v>
      </c>
      <c r="AM26" s="302">
        <f t="shared" si="8"/>
        <v>7.0000000000000007E-2</v>
      </c>
      <c r="AN26" s="302">
        <f t="shared" si="8"/>
        <v>7.0000000000000007E-2</v>
      </c>
      <c r="AO26" s="302">
        <f t="shared" si="8"/>
        <v>7.0000000000000007E-2</v>
      </c>
      <c r="AP26" s="302">
        <f t="shared" si="8"/>
        <v>7.0000000000000007E-2</v>
      </c>
      <c r="AQ26" s="302">
        <f t="shared" si="8"/>
        <v>7.0000000000000007E-2</v>
      </c>
      <c r="AR26" s="302">
        <f t="shared" si="8"/>
        <v>7.0000000000000007E-2</v>
      </c>
      <c r="AS26" s="302">
        <f t="shared" si="8"/>
        <v>7.0000000000000007E-2</v>
      </c>
      <c r="AT26" s="302">
        <f t="shared" si="8"/>
        <v>7.0000000000000007E-2</v>
      </c>
      <c r="AU26" s="302">
        <f t="shared" si="8"/>
        <v>7.0000000000000007E-2</v>
      </c>
    </row>
    <row r="27" spans="2:50">
      <c r="E27" s="325"/>
      <c r="K27" s="222" t="s">
        <v>57</v>
      </c>
      <c r="L27" s="4">
        <f>L26*L25</f>
        <v>0</v>
      </c>
      <c r="M27" s="4">
        <f>M26*M25</f>
        <v>0</v>
      </c>
      <c r="N27" s="4">
        <f>N26*N25</f>
        <v>0</v>
      </c>
      <c r="O27" s="4">
        <f>O26*O25</f>
        <v>50048.895078000009</v>
      </c>
      <c r="P27" s="4">
        <f t="shared" ref="P27:AU27" si="9">P26*P25</f>
        <v>50048.895078000009</v>
      </c>
      <c r="Q27" s="4">
        <f t="shared" si="9"/>
        <v>50048.895078000009</v>
      </c>
      <c r="R27" s="4">
        <f t="shared" si="9"/>
        <v>50048.895078000009</v>
      </c>
      <c r="S27" s="4">
        <f t="shared" si="9"/>
        <v>50048.895078000009</v>
      </c>
      <c r="T27" s="4">
        <f t="shared" si="9"/>
        <v>50048.895078000009</v>
      </c>
      <c r="U27" s="4">
        <f>U26*U25</f>
        <v>50048.895078000009</v>
      </c>
      <c r="V27" s="4">
        <f t="shared" si="9"/>
        <v>50048.895078000009</v>
      </c>
      <c r="W27" s="4">
        <f t="shared" si="9"/>
        <v>50048.895078000009</v>
      </c>
      <c r="X27" s="4">
        <f t="shared" si="9"/>
        <v>53898.810084000012</v>
      </c>
      <c r="Y27" s="4">
        <f t="shared" si="9"/>
        <v>53898.810084000012</v>
      </c>
      <c r="Z27" s="4">
        <f t="shared" si="9"/>
        <v>53898.810084000012</v>
      </c>
      <c r="AA27" s="4">
        <f t="shared" si="9"/>
        <v>53898.810084000012</v>
      </c>
      <c r="AB27" s="4">
        <f t="shared" si="9"/>
        <v>53898.810084000012</v>
      </c>
      <c r="AC27" s="4">
        <f t="shared" si="9"/>
        <v>53898.810084000012</v>
      </c>
      <c r="AD27" s="4">
        <f t="shared" si="9"/>
        <v>53898.810084000012</v>
      </c>
      <c r="AE27" s="4">
        <f t="shared" si="9"/>
        <v>53898.810084000012</v>
      </c>
      <c r="AF27" s="4">
        <f t="shared" si="9"/>
        <v>53898.810084000012</v>
      </c>
      <c r="AG27" s="4">
        <f t="shared" si="9"/>
        <v>53898.810084000012</v>
      </c>
      <c r="AH27" s="4">
        <f t="shared" si="9"/>
        <v>53898.810084000012</v>
      </c>
      <c r="AI27" s="4">
        <f t="shared" si="9"/>
        <v>53898.810084000012</v>
      </c>
      <c r="AJ27" s="4">
        <f t="shared" si="9"/>
        <v>53898.810084000012</v>
      </c>
      <c r="AK27" s="4">
        <f t="shared" si="9"/>
        <v>53898.810084000012</v>
      </c>
      <c r="AL27" s="4">
        <f t="shared" si="9"/>
        <v>53898.810084000012</v>
      </c>
      <c r="AM27" s="4">
        <f t="shared" si="9"/>
        <v>53898.810084000012</v>
      </c>
      <c r="AN27" s="4">
        <f t="shared" si="9"/>
        <v>53898.810084000012</v>
      </c>
      <c r="AO27" s="4">
        <f t="shared" si="9"/>
        <v>53898.810084000012</v>
      </c>
      <c r="AP27" s="4">
        <f t="shared" si="9"/>
        <v>53898.810084000012</v>
      </c>
      <c r="AQ27" s="4">
        <f t="shared" si="9"/>
        <v>53898.810084000012</v>
      </c>
      <c r="AR27" s="4">
        <f t="shared" si="9"/>
        <v>53898.810084000012</v>
      </c>
      <c r="AS27" s="4">
        <f t="shared" si="9"/>
        <v>53898.810084000012</v>
      </c>
      <c r="AT27" s="4">
        <f t="shared" si="9"/>
        <v>53898.810084000012</v>
      </c>
      <c r="AU27" s="4">
        <f t="shared" si="9"/>
        <v>53898.810084000012</v>
      </c>
    </row>
    <row r="28" spans="2:50">
      <c r="C28" s="417" t="s">
        <v>58</v>
      </c>
      <c r="D28" s="417"/>
      <c r="E28" s="325"/>
      <c r="L28" s="224"/>
      <c r="M28" s="224"/>
    </row>
    <row r="29" spans="2:50">
      <c r="C29" s="412" t="s">
        <v>8</v>
      </c>
      <c r="D29" s="412" t="s">
        <v>14</v>
      </c>
      <c r="E29" s="325"/>
      <c r="K29" s="224"/>
      <c r="L29" s="224"/>
      <c r="M29" s="224"/>
    </row>
    <row r="30" spans="2:50">
      <c r="B30" s="72">
        <v>1</v>
      </c>
      <c r="C30" s="11" t="s">
        <v>59</v>
      </c>
      <c r="D30" s="5" t="s">
        <v>19</v>
      </c>
      <c r="E30" s="325"/>
      <c r="O30" s="309"/>
    </row>
    <row r="31" spans="2:50">
      <c r="B31" s="72">
        <v>1</v>
      </c>
      <c r="C31" s="11" t="s">
        <v>60</v>
      </c>
      <c r="D31" s="5" t="s">
        <v>22</v>
      </c>
      <c r="E31" s="325"/>
      <c r="K31" s="411" t="s">
        <v>61</v>
      </c>
      <c r="L31" s="411"/>
    </row>
    <row r="32" spans="2:50">
      <c r="B32" s="72">
        <v>1</v>
      </c>
      <c r="C32" s="11" t="s">
        <v>62</v>
      </c>
      <c r="D32" s="5" t="s">
        <v>15</v>
      </c>
      <c r="E32" s="330" t="s">
        <v>63</v>
      </c>
      <c r="L32" s="1">
        <v>0</v>
      </c>
      <c r="M32" s="1">
        <v>1</v>
      </c>
      <c r="N32" s="1">
        <v>2</v>
      </c>
      <c r="O32" s="1">
        <v>3</v>
      </c>
      <c r="P32" s="1">
        <v>4</v>
      </c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">
        <v>17</v>
      </c>
      <c r="AD32" s="1">
        <v>18</v>
      </c>
      <c r="AE32" s="1">
        <v>19</v>
      </c>
      <c r="AF32" s="1">
        <v>20</v>
      </c>
      <c r="AG32" s="1">
        <v>21</v>
      </c>
      <c r="AH32" s="1">
        <v>22</v>
      </c>
      <c r="AI32" s="1">
        <v>23</v>
      </c>
      <c r="AJ32" s="1">
        <v>24</v>
      </c>
      <c r="AK32" s="1">
        <v>25</v>
      </c>
      <c r="AL32" s="1">
        <v>26</v>
      </c>
      <c r="AM32" s="1">
        <v>27</v>
      </c>
      <c r="AN32" s="1">
        <v>28</v>
      </c>
      <c r="AO32" s="1">
        <v>29</v>
      </c>
      <c r="AP32" s="1">
        <v>30</v>
      </c>
      <c r="AQ32" s="1">
        <v>31</v>
      </c>
      <c r="AR32" s="1">
        <v>32</v>
      </c>
      <c r="AS32" s="1">
        <v>33</v>
      </c>
      <c r="AT32" s="1">
        <v>34</v>
      </c>
      <c r="AU32" s="1">
        <v>35</v>
      </c>
      <c r="AX32" s="208"/>
    </row>
    <row r="33" spans="2:85">
      <c r="B33" s="72">
        <v>1</v>
      </c>
      <c r="C33" s="11" t="s">
        <v>64</v>
      </c>
      <c r="D33" s="5" t="s">
        <v>15</v>
      </c>
      <c r="E33" s="330" t="s">
        <v>65</v>
      </c>
      <c r="K33" t="s">
        <v>66</v>
      </c>
      <c r="L33" s="4">
        <f t="shared" ref="L33:AU33" si="10">IF(L32&lt;=$G$12,0,$L$17)</f>
        <v>0</v>
      </c>
      <c r="M33" s="4">
        <f t="shared" si="10"/>
        <v>0</v>
      </c>
      <c r="N33" s="4">
        <f t="shared" si="10"/>
        <v>0</v>
      </c>
      <c r="O33" s="4">
        <f t="shared" si="10"/>
        <v>3243021.6000000006</v>
      </c>
      <c r="P33" s="4">
        <f t="shared" si="10"/>
        <v>3243021.6000000006</v>
      </c>
      <c r="Q33" s="4">
        <f t="shared" si="10"/>
        <v>3243021.6000000006</v>
      </c>
      <c r="R33" s="4">
        <f t="shared" si="10"/>
        <v>3243021.6000000006</v>
      </c>
      <c r="S33" s="4">
        <f t="shared" si="10"/>
        <v>3243021.6000000006</v>
      </c>
      <c r="T33" s="4">
        <f t="shared" si="10"/>
        <v>3243021.6000000006</v>
      </c>
      <c r="U33" s="4">
        <f t="shared" si="10"/>
        <v>3243021.6000000006</v>
      </c>
      <c r="V33" s="4">
        <f t="shared" si="10"/>
        <v>3243021.6000000006</v>
      </c>
      <c r="W33" s="4">
        <f t="shared" si="10"/>
        <v>3243021.6000000006</v>
      </c>
      <c r="X33" s="4">
        <f t="shared" si="10"/>
        <v>3243021.6000000006</v>
      </c>
      <c r="Y33" s="4">
        <f t="shared" si="10"/>
        <v>3243021.6000000006</v>
      </c>
      <c r="Z33" s="4">
        <f t="shared" si="10"/>
        <v>3243021.6000000006</v>
      </c>
      <c r="AA33" s="4">
        <f t="shared" si="10"/>
        <v>3243021.6000000006</v>
      </c>
      <c r="AB33" s="4">
        <f t="shared" si="10"/>
        <v>3243021.6000000006</v>
      </c>
      <c r="AC33" s="4">
        <f t="shared" si="10"/>
        <v>3243021.6000000006</v>
      </c>
      <c r="AD33" s="4">
        <f t="shared" si="10"/>
        <v>3243021.6000000006</v>
      </c>
      <c r="AE33" s="4">
        <f t="shared" si="10"/>
        <v>3243021.6000000006</v>
      </c>
      <c r="AF33" s="4">
        <f t="shared" si="10"/>
        <v>3243021.6000000006</v>
      </c>
      <c r="AG33" s="4">
        <f t="shared" si="10"/>
        <v>3243021.6000000006</v>
      </c>
      <c r="AH33" s="4">
        <f t="shared" si="10"/>
        <v>3243021.6000000006</v>
      </c>
      <c r="AI33" s="4">
        <f t="shared" si="10"/>
        <v>3243021.6000000006</v>
      </c>
      <c r="AJ33" s="4">
        <f t="shared" si="10"/>
        <v>3243021.6000000006</v>
      </c>
      <c r="AK33" s="4">
        <f t="shared" si="10"/>
        <v>3243021.6000000006</v>
      </c>
      <c r="AL33" s="4">
        <f t="shared" si="10"/>
        <v>3243021.6000000006</v>
      </c>
      <c r="AM33" s="4">
        <f t="shared" si="10"/>
        <v>3243021.6000000006</v>
      </c>
      <c r="AN33" s="4">
        <f t="shared" si="10"/>
        <v>3243021.6000000006</v>
      </c>
      <c r="AO33" s="4">
        <f t="shared" si="10"/>
        <v>3243021.6000000006</v>
      </c>
      <c r="AP33" s="4">
        <f t="shared" si="10"/>
        <v>3243021.6000000006</v>
      </c>
      <c r="AQ33" s="4">
        <f t="shared" si="10"/>
        <v>3243021.6000000006</v>
      </c>
      <c r="AR33" s="4">
        <f t="shared" si="10"/>
        <v>3243021.6000000006</v>
      </c>
      <c r="AS33" s="4">
        <f t="shared" si="10"/>
        <v>3243021.6000000006</v>
      </c>
      <c r="AT33" s="4">
        <f t="shared" si="10"/>
        <v>3243021.6000000006</v>
      </c>
      <c r="AU33" s="4">
        <f t="shared" si="10"/>
        <v>3243021.6000000006</v>
      </c>
      <c r="AX33" s="208"/>
    </row>
    <row r="34" spans="2:85">
      <c r="B34" s="72">
        <v>1</v>
      </c>
      <c r="C34" s="11" t="s">
        <v>67</v>
      </c>
      <c r="D34" s="5" t="s">
        <v>19</v>
      </c>
      <c r="E34" s="330"/>
      <c r="K34" t="s">
        <v>68</v>
      </c>
      <c r="L34" s="4">
        <f>L27</f>
        <v>0</v>
      </c>
      <c r="M34" s="4">
        <f>M27</f>
        <v>0</v>
      </c>
      <c r="N34" s="4">
        <f t="shared" ref="N34:AU34" si="11">N27</f>
        <v>0</v>
      </c>
      <c r="O34" s="4">
        <f>O27</f>
        <v>50048.895078000009</v>
      </c>
      <c r="P34" s="4">
        <f t="shared" si="11"/>
        <v>50048.895078000009</v>
      </c>
      <c r="Q34" s="4">
        <f t="shared" si="11"/>
        <v>50048.895078000009</v>
      </c>
      <c r="R34" s="4">
        <f t="shared" si="11"/>
        <v>50048.895078000009</v>
      </c>
      <c r="S34" s="4">
        <f t="shared" si="11"/>
        <v>50048.895078000009</v>
      </c>
      <c r="T34" s="4">
        <f t="shared" si="11"/>
        <v>50048.895078000009</v>
      </c>
      <c r="U34" s="4">
        <f t="shared" si="11"/>
        <v>50048.895078000009</v>
      </c>
      <c r="V34" s="4">
        <f t="shared" si="11"/>
        <v>50048.895078000009</v>
      </c>
      <c r="W34" s="4">
        <f t="shared" si="11"/>
        <v>50048.895078000009</v>
      </c>
      <c r="X34" s="4">
        <f t="shared" si="11"/>
        <v>53898.810084000012</v>
      </c>
      <c r="Y34" s="4">
        <f t="shared" si="11"/>
        <v>53898.810084000012</v>
      </c>
      <c r="Z34" s="4">
        <f t="shared" si="11"/>
        <v>53898.810084000012</v>
      </c>
      <c r="AA34" s="4">
        <f t="shared" si="11"/>
        <v>53898.810084000012</v>
      </c>
      <c r="AB34" s="4">
        <f t="shared" si="11"/>
        <v>53898.810084000012</v>
      </c>
      <c r="AC34" s="4">
        <f t="shared" si="11"/>
        <v>53898.810084000012</v>
      </c>
      <c r="AD34" s="4">
        <f t="shared" si="11"/>
        <v>53898.810084000012</v>
      </c>
      <c r="AE34" s="4">
        <f t="shared" si="11"/>
        <v>53898.810084000012</v>
      </c>
      <c r="AF34" s="4">
        <f t="shared" si="11"/>
        <v>53898.810084000012</v>
      </c>
      <c r="AG34" s="4">
        <f t="shared" si="11"/>
        <v>53898.810084000012</v>
      </c>
      <c r="AH34" s="4">
        <f t="shared" si="11"/>
        <v>53898.810084000012</v>
      </c>
      <c r="AI34" s="4">
        <f t="shared" si="11"/>
        <v>53898.810084000012</v>
      </c>
      <c r="AJ34" s="4">
        <f t="shared" si="11"/>
        <v>53898.810084000012</v>
      </c>
      <c r="AK34" s="4">
        <f t="shared" si="11"/>
        <v>53898.810084000012</v>
      </c>
      <c r="AL34" s="4">
        <f t="shared" si="11"/>
        <v>53898.810084000012</v>
      </c>
      <c r="AM34" s="4">
        <f t="shared" si="11"/>
        <v>53898.810084000012</v>
      </c>
      <c r="AN34" s="4">
        <f t="shared" si="11"/>
        <v>53898.810084000012</v>
      </c>
      <c r="AO34" s="4">
        <f t="shared" si="11"/>
        <v>53898.810084000012</v>
      </c>
      <c r="AP34" s="4">
        <f t="shared" si="11"/>
        <v>53898.810084000012</v>
      </c>
      <c r="AQ34" s="4">
        <f t="shared" si="11"/>
        <v>53898.810084000012</v>
      </c>
      <c r="AR34" s="4">
        <f t="shared" si="11"/>
        <v>53898.810084000012</v>
      </c>
      <c r="AS34" s="4">
        <f>AS27</f>
        <v>53898.810084000012</v>
      </c>
      <c r="AT34" s="4">
        <f t="shared" si="11"/>
        <v>53898.810084000012</v>
      </c>
      <c r="AU34" s="4">
        <f t="shared" si="11"/>
        <v>53898.810084000012</v>
      </c>
    </row>
    <row r="35" spans="2:85">
      <c r="B35" s="72">
        <v>1</v>
      </c>
      <c r="C35" s="11" t="s">
        <v>69</v>
      </c>
      <c r="D35" s="5" t="s">
        <v>15</v>
      </c>
      <c r="E35" s="330" t="s">
        <v>70</v>
      </c>
      <c r="K35" s="120" t="s">
        <v>71</v>
      </c>
      <c r="L35" s="328">
        <f t="shared" ref="L35:AU35" si="12">SUM(L33:L34)</f>
        <v>0</v>
      </c>
      <c r="M35" s="328">
        <f t="shared" si="12"/>
        <v>0</v>
      </c>
      <c r="N35" s="328">
        <f t="shared" si="12"/>
        <v>0</v>
      </c>
      <c r="O35" s="328">
        <f t="shared" si="12"/>
        <v>3293070.4950780007</v>
      </c>
      <c r="P35" s="328">
        <f t="shared" si="12"/>
        <v>3293070.4950780007</v>
      </c>
      <c r="Q35" s="328">
        <f t="shared" si="12"/>
        <v>3293070.4950780007</v>
      </c>
      <c r="R35" s="328">
        <f t="shared" si="12"/>
        <v>3293070.4950780007</v>
      </c>
      <c r="S35" s="328">
        <f t="shared" si="12"/>
        <v>3293070.4950780007</v>
      </c>
      <c r="T35" s="328">
        <f t="shared" si="12"/>
        <v>3293070.4950780007</v>
      </c>
      <c r="U35" s="328">
        <f t="shared" si="12"/>
        <v>3293070.4950780007</v>
      </c>
      <c r="V35" s="328">
        <f t="shared" si="12"/>
        <v>3293070.4950780007</v>
      </c>
      <c r="W35" s="328">
        <f t="shared" si="12"/>
        <v>3293070.4950780007</v>
      </c>
      <c r="X35" s="328">
        <f t="shared" si="12"/>
        <v>3296920.4100840008</v>
      </c>
      <c r="Y35" s="328">
        <f t="shared" si="12"/>
        <v>3296920.4100840008</v>
      </c>
      <c r="Z35" s="328">
        <f t="shared" si="12"/>
        <v>3296920.4100840008</v>
      </c>
      <c r="AA35" s="328">
        <f t="shared" si="12"/>
        <v>3296920.4100840008</v>
      </c>
      <c r="AB35" s="328">
        <f t="shared" si="12"/>
        <v>3296920.4100840008</v>
      </c>
      <c r="AC35" s="328">
        <f t="shared" si="12"/>
        <v>3296920.4100840008</v>
      </c>
      <c r="AD35" s="328">
        <f t="shared" si="12"/>
        <v>3296920.4100840008</v>
      </c>
      <c r="AE35" s="328">
        <f t="shared" si="12"/>
        <v>3296920.4100840008</v>
      </c>
      <c r="AF35" s="328">
        <f t="shared" si="12"/>
        <v>3296920.4100840008</v>
      </c>
      <c r="AG35" s="328">
        <f t="shared" si="12"/>
        <v>3296920.4100840008</v>
      </c>
      <c r="AH35" s="328">
        <f t="shared" si="12"/>
        <v>3296920.4100840008</v>
      </c>
      <c r="AI35" s="328">
        <f t="shared" si="12"/>
        <v>3296920.4100840008</v>
      </c>
      <c r="AJ35" s="328">
        <f t="shared" si="12"/>
        <v>3296920.4100840008</v>
      </c>
      <c r="AK35" s="328">
        <f t="shared" si="12"/>
        <v>3296920.4100840008</v>
      </c>
      <c r="AL35" s="328">
        <f t="shared" si="12"/>
        <v>3296920.4100840008</v>
      </c>
      <c r="AM35" s="328">
        <f t="shared" si="12"/>
        <v>3296920.4100840008</v>
      </c>
      <c r="AN35" s="328">
        <f t="shared" si="12"/>
        <v>3296920.4100840008</v>
      </c>
      <c r="AO35" s="328">
        <f t="shared" si="12"/>
        <v>3296920.4100840008</v>
      </c>
      <c r="AP35" s="328">
        <f t="shared" si="12"/>
        <v>3296920.4100840008</v>
      </c>
      <c r="AQ35" s="328">
        <f t="shared" si="12"/>
        <v>3296920.4100840008</v>
      </c>
      <c r="AR35" s="328">
        <f t="shared" si="12"/>
        <v>3296920.4100840008</v>
      </c>
      <c r="AS35" s="328">
        <f t="shared" si="12"/>
        <v>3296920.4100840008</v>
      </c>
      <c r="AT35" s="328">
        <f t="shared" si="12"/>
        <v>3296920.4100840008</v>
      </c>
      <c r="AU35" s="328">
        <f t="shared" si="12"/>
        <v>3296920.4100840008</v>
      </c>
      <c r="AY35" s="208"/>
    </row>
    <row r="36" spans="2:85">
      <c r="B36" s="72">
        <v>1</v>
      </c>
      <c r="C36" s="11" t="s">
        <v>72</v>
      </c>
      <c r="D36" s="5" t="s">
        <v>15</v>
      </c>
      <c r="E36" s="330" t="s">
        <v>73</v>
      </c>
      <c r="K36" s="8"/>
      <c r="L36" s="3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Y36" s="208"/>
    </row>
    <row r="37" spans="2:85">
      <c r="B37" s="72">
        <v>1</v>
      </c>
      <c r="C37" s="11" t="s">
        <v>74</v>
      </c>
      <c r="D37" s="5" t="s">
        <v>19</v>
      </c>
      <c r="E37" s="325"/>
      <c r="O37" s="347" t="s">
        <v>75</v>
      </c>
      <c r="P37" s="348" t="s">
        <v>76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85" ht="15.75">
      <c r="B38" s="72">
        <v>1</v>
      </c>
      <c r="C38" s="11" t="s">
        <v>77</v>
      </c>
      <c r="D38" s="5" t="s">
        <v>22</v>
      </c>
      <c r="E38" s="325"/>
      <c r="K38" s="8" t="s">
        <v>78</v>
      </c>
      <c r="L38" s="408">
        <f>SUM(M35:AU35)/35</f>
        <v>3107534.979934799</v>
      </c>
      <c r="N38" s="227" t="str">
        <f>K33</f>
        <v>Hospedagem</v>
      </c>
      <c r="O38" s="332">
        <f>SUM(M33:AU33)</f>
        <v>107019712.79999995</v>
      </c>
      <c r="P38" s="332">
        <f>O38/G6</f>
        <v>3057706.0799999987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85">
      <c r="B39" s="72">
        <v>1</v>
      </c>
      <c r="C39" s="11" t="s">
        <v>79</v>
      </c>
      <c r="D39" s="5" t="s">
        <v>22</v>
      </c>
      <c r="E39" s="325"/>
      <c r="F39" s="148"/>
      <c r="G39" s="148"/>
      <c r="H39" s="148"/>
      <c r="K39" s="8" t="s">
        <v>80</v>
      </c>
      <c r="L39" s="332">
        <f>L38/12</f>
        <v>258961.24832789993</v>
      </c>
      <c r="N39" s="349" t="str">
        <f>K34</f>
        <v>Arrendamento Restaurante</v>
      </c>
      <c r="O39" s="350">
        <f>SUM(M34:AU34)</f>
        <v>1744011.4977180001</v>
      </c>
      <c r="P39" s="350">
        <f>O39/G6</f>
        <v>49828.8999348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</row>
    <row r="40" spans="2:85">
      <c r="B40" s="72">
        <v>1</v>
      </c>
      <c r="C40" s="11" t="s">
        <v>81</v>
      </c>
      <c r="D40" s="5" t="s">
        <v>19</v>
      </c>
      <c r="E40" s="325"/>
      <c r="N40" s="227" t="s">
        <v>82</v>
      </c>
      <c r="O40" s="350">
        <f>SUM(O38:O39)</f>
        <v>108763724.29771796</v>
      </c>
      <c r="P40" s="332">
        <f>SUM(P38:P39)</f>
        <v>3107534.9799347986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X40" s="3"/>
      <c r="AY40" s="3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</row>
    <row r="41" spans="2:85" ht="18.75">
      <c r="B41" s="72">
        <v>1</v>
      </c>
      <c r="C41" s="11" t="s">
        <v>83</v>
      </c>
      <c r="D41" s="5" t="s">
        <v>15</v>
      </c>
      <c r="E41" s="325" t="s">
        <v>73</v>
      </c>
      <c r="K41" s="413" t="s">
        <v>84</v>
      </c>
      <c r="L41" s="41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85">
      <c r="B42" s="72"/>
      <c r="C42" s="11"/>
      <c r="D42" s="5"/>
      <c r="L42" s="1">
        <v>0</v>
      </c>
      <c r="M42" s="1">
        <v>1</v>
      </c>
      <c r="N42" s="1">
        <v>2</v>
      </c>
      <c r="O42" s="1">
        <v>3</v>
      </c>
      <c r="P42" s="1">
        <v>4</v>
      </c>
      <c r="Q42" s="1">
        <v>5</v>
      </c>
      <c r="R42" s="1">
        <v>6</v>
      </c>
      <c r="S42" s="1">
        <v>7</v>
      </c>
      <c r="T42" s="1">
        <v>8</v>
      </c>
      <c r="U42" s="1">
        <v>9</v>
      </c>
      <c r="V42" s="1">
        <v>10</v>
      </c>
      <c r="W42" s="1">
        <v>11</v>
      </c>
      <c r="X42" s="1">
        <v>12</v>
      </c>
      <c r="Y42" s="1">
        <v>13</v>
      </c>
      <c r="Z42" s="1">
        <v>14</v>
      </c>
      <c r="AA42" s="1">
        <v>15</v>
      </c>
      <c r="AB42" s="1">
        <v>16</v>
      </c>
      <c r="AC42" s="1">
        <v>17</v>
      </c>
      <c r="AD42" s="1">
        <v>18</v>
      </c>
      <c r="AE42" s="1">
        <v>19</v>
      </c>
      <c r="AF42" s="1">
        <v>20</v>
      </c>
      <c r="AG42" s="1">
        <v>21</v>
      </c>
      <c r="AH42" s="1">
        <v>22</v>
      </c>
      <c r="AI42" s="1">
        <v>23</v>
      </c>
      <c r="AJ42" s="1">
        <v>24</v>
      </c>
      <c r="AK42" s="1">
        <v>25</v>
      </c>
      <c r="AL42" s="1">
        <v>26</v>
      </c>
      <c r="AM42" s="1">
        <v>27</v>
      </c>
      <c r="AN42" s="1">
        <v>28</v>
      </c>
      <c r="AO42" s="1">
        <v>29</v>
      </c>
      <c r="AP42" s="1">
        <v>30</v>
      </c>
      <c r="AQ42" s="1">
        <v>31</v>
      </c>
      <c r="AR42" s="1">
        <v>32</v>
      </c>
      <c r="AS42" s="1">
        <v>33</v>
      </c>
      <c r="AT42" s="1">
        <v>34</v>
      </c>
      <c r="AU42" s="1">
        <v>35</v>
      </c>
    </row>
    <row r="43" spans="2:85" ht="18.75">
      <c r="K43" t="str">
        <f t="shared" ref="K43:K49" si="13">C72</f>
        <v>FOPAG  Direta</v>
      </c>
      <c r="L43" s="4">
        <f t="shared" ref="L43:AU43" si="14">IF(L$42&lt;=$G$12,0,$F72)</f>
        <v>0</v>
      </c>
      <c r="M43" s="4">
        <f t="shared" si="14"/>
        <v>0</v>
      </c>
      <c r="N43" s="4">
        <f t="shared" si="14"/>
        <v>0</v>
      </c>
      <c r="O43" s="4">
        <f t="shared" si="14"/>
        <v>848304.40401382442</v>
      </c>
      <c r="P43" s="4">
        <f t="shared" si="14"/>
        <v>848304.40401382442</v>
      </c>
      <c r="Q43" s="4">
        <f t="shared" si="14"/>
        <v>848304.40401382442</v>
      </c>
      <c r="R43" s="4">
        <f t="shared" si="14"/>
        <v>848304.40401382442</v>
      </c>
      <c r="S43" s="4">
        <f t="shared" si="14"/>
        <v>848304.40401382442</v>
      </c>
      <c r="T43" s="4">
        <f t="shared" si="14"/>
        <v>848304.40401382442</v>
      </c>
      <c r="U43" s="4">
        <f t="shared" si="14"/>
        <v>848304.40401382442</v>
      </c>
      <c r="V43" s="4">
        <f t="shared" si="14"/>
        <v>848304.40401382442</v>
      </c>
      <c r="W43" s="4">
        <f t="shared" si="14"/>
        <v>848304.40401382442</v>
      </c>
      <c r="X43" s="4">
        <f t="shared" si="14"/>
        <v>848304.40401382442</v>
      </c>
      <c r="Y43" s="4">
        <f t="shared" si="14"/>
        <v>848304.40401382442</v>
      </c>
      <c r="Z43" s="4">
        <f t="shared" si="14"/>
        <v>848304.40401382442</v>
      </c>
      <c r="AA43" s="4">
        <f t="shared" si="14"/>
        <v>848304.40401382442</v>
      </c>
      <c r="AB43" s="4">
        <f>IF(AB$42&lt;=$G$12,0,$F72)</f>
        <v>848304.40401382442</v>
      </c>
      <c r="AC43" s="4">
        <f t="shared" si="14"/>
        <v>848304.40401382442</v>
      </c>
      <c r="AD43" s="4">
        <f t="shared" si="14"/>
        <v>848304.40401382442</v>
      </c>
      <c r="AE43" s="4">
        <f t="shared" si="14"/>
        <v>848304.40401382442</v>
      </c>
      <c r="AF43" s="4">
        <f t="shared" si="14"/>
        <v>848304.40401382442</v>
      </c>
      <c r="AG43" s="4">
        <f t="shared" si="14"/>
        <v>848304.40401382442</v>
      </c>
      <c r="AH43" s="4">
        <f t="shared" si="14"/>
        <v>848304.40401382442</v>
      </c>
      <c r="AI43" s="4">
        <f t="shared" si="14"/>
        <v>848304.40401382442</v>
      </c>
      <c r="AJ43" s="4">
        <f t="shared" si="14"/>
        <v>848304.40401382442</v>
      </c>
      <c r="AK43" s="4">
        <f t="shared" si="14"/>
        <v>848304.40401382442</v>
      </c>
      <c r="AL43" s="4">
        <f t="shared" si="14"/>
        <v>848304.40401382442</v>
      </c>
      <c r="AM43" s="4">
        <f t="shared" si="14"/>
        <v>848304.40401382442</v>
      </c>
      <c r="AN43" s="4">
        <f t="shared" si="14"/>
        <v>848304.40401382442</v>
      </c>
      <c r="AO43" s="4">
        <f t="shared" si="14"/>
        <v>848304.40401382442</v>
      </c>
      <c r="AP43" s="4">
        <f t="shared" si="14"/>
        <v>848304.40401382442</v>
      </c>
      <c r="AQ43" s="4">
        <f t="shared" si="14"/>
        <v>848304.40401382442</v>
      </c>
      <c r="AR43" s="4">
        <f t="shared" si="14"/>
        <v>848304.40401382442</v>
      </c>
      <c r="AS43" s="4">
        <f t="shared" si="14"/>
        <v>848304.40401382442</v>
      </c>
      <c r="AT43" s="4">
        <f t="shared" si="14"/>
        <v>848304.40401382442</v>
      </c>
      <c r="AU43" s="4">
        <f t="shared" si="14"/>
        <v>848304.40401382442</v>
      </c>
      <c r="AW43" s="413" t="s">
        <v>84</v>
      </c>
      <c r="AX43" s="413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2:85">
      <c r="C44" s="411" t="s">
        <v>85</v>
      </c>
      <c r="D44" s="411"/>
      <c r="E44" s="60"/>
      <c r="K44" t="str">
        <f t="shared" si="13"/>
        <v>Serviço de Terceiros</v>
      </c>
      <c r="L44" s="4">
        <f t="shared" ref="L44:AU44" si="15">IF(L$42&lt;=$G$12,0,$F73)</f>
        <v>0</v>
      </c>
      <c r="M44" s="4">
        <f t="shared" si="15"/>
        <v>0</v>
      </c>
      <c r="N44" s="4">
        <f t="shared" si="15"/>
        <v>0</v>
      </c>
      <c r="O44" s="4">
        <f t="shared" si="15"/>
        <v>536766.84918730264</v>
      </c>
      <c r="P44" s="4">
        <f t="shared" si="15"/>
        <v>536766.84918730264</v>
      </c>
      <c r="Q44" s="4">
        <f t="shared" si="15"/>
        <v>536766.84918730264</v>
      </c>
      <c r="R44" s="4">
        <f t="shared" si="15"/>
        <v>536766.84918730264</v>
      </c>
      <c r="S44" s="4">
        <f t="shared" si="15"/>
        <v>536766.84918730264</v>
      </c>
      <c r="T44" s="4">
        <f t="shared" si="15"/>
        <v>536766.84918730264</v>
      </c>
      <c r="U44" s="4">
        <f t="shared" si="15"/>
        <v>536766.84918730264</v>
      </c>
      <c r="V44" s="4">
        <f t="shared" si="15"/>
        <v>536766.84918730264</v>
      </c>
      <c r="W44" s="4">
        <f t="shared" si="15"/>
        <v>536766.84918730264</v>
      </c>
      <c r="X44" s="4">
        <f t="shared" si="15"/>
        <v>536766.84918730264</v>
      </c>
      <c r="Y44" s="4">
        <f t="shared" si="15"/>
        <v>536766.84918730264</v>
      </c>
      <c r="Z44" s="4">
        <f t="shared" si="15"/>
        <v>536766.84918730264</v>
      </c>
      <c r="AA44" s="4">
        <f t="shared" si="15"/>
        <v>536766.84918730264</v>
      </c>
      <c r="AB44" s="4">
        <f t="shared" si="15"/>
        <v>536766.84918730264</v>
      </c>
      <c r="AC44" s="4">
        <f t="shared" si="15"/>
        <v>536766.84918730264</v>
      </c>
      <c r="AD44" s="4">
        <f t="shared" si="15"/>
        <v>536766.84918730264</v>
      </c>
      <c r="AE44" s="4">
        <f t="shared" si="15"/>
        <v>536766.84918730264</v>
      </c>
      <c r="AF44" s="4">
        <f t="shared" si="15"/>
        <v>536766.84918730264</v>
      </c>
      <c r="AG44" s="4">
        <f t="shared" si="15"/>
        <v>536766.84918730264</v>
      </c>
      <c r="AH44" s="4">
        <f t="shared" si="15"/>
        <v>536766.84918730264</v>
      </c>
      <c r="AI44" s="4">
        <f t="shared" si="15"/>
        <v>536766.84918730264</v>
      </c>
      <c r="AJ44" s="4">
        <f t="shared" si="15"/>
        <v>536766.84918730264</v>
      </c>
      <c r="AK44" s="4">
        <f t="shared" si="15"/>
        <v>536766.84918730264</v>
      </c>
      <c r="AL44" s="4">
        <f t="shared" si="15"/>
        <v>536766.84918730264</v>
      </c>
      <c r="AM44" s="4">
        <f t="shared" si="15"/>
        <v>536766.84918730264</v>
      </c>
      <c r="AN44" s="4">
        <f t="shared" si="15"/>
        <v>536766.84918730264</v>
      </c>
      <c r="AO44" s="4">
        <f t="shared" si="15"/>
        <v>536766.84918730264</v>
      </c>
      <c r="AP44" s="4">
        <f t="shared" si="15"/>
        <v>536766.84918730264</v>
      </c>
      <c r="AQ44" s="4">
        <f t="shared" si="15"/>
        <v>536766.84918730264</v>
      </c>
      <c r="AR44" s="4">
        <f t="shared" si="15"/>
        <v>536766.84918730264</v>
      </c>
      <c r="AS44" s="4">
        <f t="shared" si="15"/>
        <v>536766.84918730264</v>
      </c>
      <c r="AT44" s="4">
        <f t="shared" si="15"/>
        <v>536766.84918730264</v>
      </c>
      <c r="AU44" s="4">
        <f t="shared" si="15"/>
        <v>536766.84918730264</v>
      </c>
      <c r="AX44" s="1"/>
      <c r="AY44" s="1">
        <v>1</v>
      </c>
      <c r="AZ44" s="1">
        <v>2</v>
      </c>
      <c r="BA44" s="1">
        <v>3</v>
      </c>
      <c r="BB44" s="1">
        <v>4</v>
      </c>
      <c r="BC44" s="1">
        <v>5</v>
      </c>
      <c r="BD44" s="1">
        <v>6</v>
      </c>
      <c r="BE44" s="1">
        <v>7</v>
      </c>
      <c r="BF44" s="1">
        <v>8</v>
      </c>
      <c r="BG44" s="1">
        <v>9</v>
      </c>
      <c r="BH44" s="1">
        <v>10</v>
      </c>
      <c r="BI44" s="1">
        <v>11</v>
      </c>
      <c r="BJ44" s="1">
        <v>12</v>
      </c>
      <c r="BK44" s="1">
        <v>13</v>
      </c>
      <c r="BL44" s="1">
        <v>14</v>
      </c>
      <c r="BM44" s="1">
        <v>15</v>
      </c>
      <c r="BN44" s="1">
        <v>16</v>
      </c>
      <c r="BO44" s="1">
        <v>17</v>
      </c>
      <c r="BP44" s="1">
        <v>18</v>
      </c>
      <c r="BQ44" s="1">
        <v>19</v>
      </c>
      <c r="BR44" s="1">
        <v>20</v>
      </c>
      <c r="BS44" s="1">
        <v>21</v>
      </c>
      <c r="BT44" s="1">
        <v>22</v>
      </c>
      <c r="BU44" s="1">
        <v>23</v>
      </c>
      <c r="BV44" s="1">
        <v>24</v>
      </c>
      <c r="BW44" s="1">
        <v>25</v>
      </c>
      <c r="BX44" s="1">
        <v>26</v>
      </c>
      <c r="BY44" s="1">
        <v>27</v>
      </c>
      <c r="BZ44" s="1">
        <v>28</v>
      </c>
      <c r="CA44" s="1">
        <v>29</v>
      </c>
      <c r="CB44" s="1">
        <v>30</v>
      </c>
      <c r="CC44" s="1">
        <v>31</v>
      </c>
      <c r="CD44" s="1">
        <v>32</v>
      </c>
      <c r="CE44" s="1">
        <v>33</v>
      </c>
      <c r="CF44" s="1">
        <v>34</v>
      </c>
      <c r="CG44" s="1">
        <v>35</v>
      </c>
    </row>
    <row r="45" spans="2:85" ht="20.45" customHeight="1">
      <c r="C45" s="57" t="s">
        <v>14</v>
      </c>
      <c r="D45" s="57" t="s">
        <v>18</v>
      </c>
      <c r="E45" s="329" t="s">
        <v>86</v>
      </c>
      <c r="K45" t="str">
        <f t="shared" si="13"/>
        <v>Insumos Lavanderia/Hospedagem/Administração/ Enxoval</v>
      </c>
      <c r="L45" s="4">
        <f t="shared" ref="L45:AU45" si="16">IF(L$42&lt;=$G$12,0,$F74)</f>
        <v>0</v>
      </c>
      <c r="M45" s="4">
        <f t="shared" si="16"/>
        <v>0</v>
      </c>
      <c r="N45" s="4">
        <f t="shared" si="16"/>
        <v>0</v>
      </c>
      <c r="O45" s="4">
        <f t="shared" si="16"/>
        <v>79103.11840923928</v>
      </c>
      <c r="P45" s="4">
        <f t="shared" si="16"/>
        <v>79103.11840923928</v>
      </c>
      <c r="Q45" s="4">
        <f t="shared" si="16"/>
        <v>79103.11840923928</v>
      </c>
      <c r="R45" s="4">
        <f t="shared" si="16"/>
        <v>79103.11840923928</v>
      </c>
      <c r="S45" s="4">
        <f t="shared" si="16"/>
        <v>79103.11840923928</v>
      </c>
      <c r="T45" s="4">
        <f t="shared" si="16"/>
        <v>79103.11840923928</v>
      </c>
      <c r="U45" s="4">
        <f t="shared" si="16"/>
        <v>79103.11840923928</v>
      </c>
      <c r="V45" s="4">
        <f t="shared" si="16"/>
        <v>79103.11840923928</v>
      </c>
      <c r="W45" s="4">
        <f t="shared" si="16"/>
        <v>79103.11840923928</v>
      </c>
      <c r="X45" s="4">
        <f t="shared" si="16"/>
        <v>79103.11840923928</v>
      </c>
      <c r="Y45" s="4">
        <f t="shared" si="16"/>
        <v>79103.11840923928</v>
      </c>
      <c r="Z45" s="4">
        <f t="shared" si="16"/>
        <v>79103.11840923928</v>
      </c>
      <c r="AA45" s="4">
        <f t="shared" si="16"/>
        <v>79103.11840923928</v>
      </c>
      <c r="AB45" s="4">
        <f t="shared" si="16"/>
        <v>79103.11840923928</v>
      </c>
      <c r="AC45" s="4">
        <f t="shared" si="16"/>
        <v>79103.11840923928</v>
      </c>
      <c r="AD45" s="4">
        <f t="shared" si="16"/>
        <v>79103.11840923928</v>
      </c>
      <c r="AE45" s="4">
        <f t="shared" si="16"/>
        <v>79103.11840923928</v>
      </c>
      <c r="AF45" s="4">
        <f t="shared" si="16"/>
        <v>79103.11840923928</v>
      </c>
      <c r="AG45" s="4">
        <f t="shared" si="16"/>
        <v>79103.11840923928</v>
      </c>
      <c r="AH45" s="4">
        <f t="shared" si="16"/>
        <v>79103.11840923928</v>
      </c>
      <c r="AI45" s="4">
        <f t="shared" si="16"/>
        <v>79103.11840923928</v>
      </c>
      <c r="AJ45" s="4">
        <f t="shared" si="16"/>
        <v>79103.11840923928</v>
      </c>
      <c r="AK45" s="4">
        <f t="shared" si="16"/>
        <v>79103.11840923928</v>
      </c>
      <c r="AL45" s="4">
        <f t="shared" si="16"/>
        <v>79103.11840923928</v>
      </c>
      <c r="AM45" s="4">
        <f t="shared" si="16"/>
        <v>79103.11840923928</v>
      </c>
      <c r="AN45" s="4">
        <f t="shared" si="16"/>
        <v>79103.11840923928</v>
      </c>
      <c r="AO45" s="4">
        <f t="shared" si="16"/>
        <v>79103.11840923928</v>
      </c>
      <c r="AP45" s="4">
        <f t="shared" si="16"/>
        <v>79103.11840923928</v>
      </c>
      <c r="AQ45" s="4">
        <f t="shared" si="16"/>
        <v>79103.11840923928</v>
      </c>
      <c r="AR45" s="4">
        <f t="shared" si="16"/>
        <v>79103.11840923928</v>
      </c>
      <c r="AS45" s="4">
        <f t="shared" si="16"/>
        <v>79103.11840923928</v>
      </c>
      <c r="AT45" s="4">
        <f t="shared" si="16"/>
        <v>79103.11840923928</v>
      </c>
      <c r="AU45" s="4">
        <f t="shared" si="16"/>
        <v>79103.11840923928</v>
      </c>
      <c r="AW45" t="s">
        <v>87</v>
      </c>
      <c r="AY45" s="4">
        <f t="shared" ref="AY45:BH46" si="17">M43</f>
        <v>0</v>
      </c>
      <c r="AZ45" s="4">
        <f t="shared" si="17"/>
        <v>0</v>
      </c>
      <c r="BA45" s="4">
        <f t="shared" si="17"/>
        <v>848304.40401382442</v>
      </c>
      <c r="BB45" s="4">
        <f t="shared" si="17"/>
        <v>848304.40401382442</v>
      </c>
      <c r="BC45" s="4">
        <f t="shared" si="17"/>
        <v>848304.40401382442</v>
      </c>
      <c r="BD45" s="4">
        <f t="shared" si="17"/>
        <v>848304.40401382442</v>
      </c>
      <c r="BE45" s="4">
        <f t="shared" si="17"/>
        <v>848304.40401382442</v>
      </c>
      <c r="BF45" s="4">
        <f t="shared" si="17"/>
        <v>848304.40401382442</v>
      </c>
      <c r="BG45" s="4">
        <f t="shared" si="17"/>
        <v>848304.40401382442</v>
      </c>
      <c r="BH45" s="4">
        <f t="shared" si="17"/>
        <v>848304.40401382442</v>
      </c>
      <c r="BI45" s="4">
        <f t="shared" ref="BI45:BR46" si="18">W43</f>
        <v>848304.40401382442</v>
      </c>
      <c r="BJ45" s="4">
        <f t="shared" si="18"/>
        <v>848304.40401382442</v>
      </c>
      <c r="BK45" s="4">
        <f t="shared" si="18"/>
        <v>848304.40401382442</v>
      </c>
      <c r="BL45" s="4">
        <f t="shared" si="18"/>
        <v>848304.40401382442</v>
      </c>
      <c r="BM45" s="4">
        <f t="shared" si="18"/>
        <v>848304.40401382442</v>
      </c>
      <c r="BN45" s="4">
        <f t="shared" si="18"/>
        <v>848304.40401382442</v>
      </c>
      <c r="BO45" s="4">
        <f t="shared" si="18"/>
        <v>848304.40401382442</v>
      </c>
      <c r="BP45" s="4">
        <f t="shared" si="18"/>
        <v>848304.40401382442</v>
      </c>
      <c r="BQ45" s="4">
        <f t="shared" si="18"/>
        <v>848304.40401382442</v>
      </c>
      <c r="BR45" s="4">
        <f t="shared" si="18"/>
        <v>848304.40401382442</v>
      </c>
      <c r="BS45" s="4">
        <f t="shared" ref="BS45:CB46" si="19">AG43</f>
        <v>848304.40401382442</v>
      </c>
      <c r="BT45" s="4">
        <f t="shared" si="19"/>
        <v>848304.40401382442</v>
      </c>
      <c r="BU45" s="4">
        <f t="shared" si="19"/>
        <v>848304.40401382442</v>
      </c>
      <c r="BV45" s="4">
        <f t="shared" si="19"/>
        <v>848304.40401382442</v>
      </c>
      <c r="BW45" s="4">
        <f t="shared" si="19"/>
        <v>848304.40401382442</v>
      </c>
      <c r="BX45" s="4">
        <f t="shared" si="19"/>
        <v>848304.40401382442</v>
      </c>
      <c r="BY45" s="4">
        <f t="shared" si="19"/>
        <v>848304.40401382442</v>
      </c>
      <c r="BZ45" s="4">
        <f t="shared" si="19"/>
        <v>848304.40401382442</v>
      </c>
      <c r="CA45" s="4">
        <f t="shared" si="19"/>
        <v>848304.40401382442</v>
      </c>
      <c r="CB45" s="4">
        <f t="shared" si="19"/>
        <v>848304.40401382442</v>
      </c>
      <c r="CC45" s="4">
        <f t="shared" ref="CC45:CG46" si="20">AQ43</f>
        <v>848304.40401382442</v>
      </c>
      <c r="CD45" s="4">
        <f t="shared" si="20"/>
        <v>848304.40401382442</v>
      </c>
      <c r="CE45" s="4">
        <f t="shared" si="20"/>
        <v>848304.40401382442</v>
      </c>
      <c r="CF45" s="4">
        <f t="shared" si="20"/>
        <v>848304.40401382442</v>
      </c>
      <c r="CG45" s="4">
        <f t="shared" si="20"/>
        <v>848304.40401382442</v>
      </c>
    </row>
    <row r="46" spans="2:85" ht="15.75">
      <c r="C46" t="s">
        <v>15</v>
      </c>
      <c r="D46" s="319">
        <v>0.65</v>
      </c>
      <c r="E46" s="5">
        <f>SUMIF($D$30:$D$41,C46,$B$30:$B$41)</f>
        <v>5</v>
      </c>
      <c r="K46" t="str">
        <f t="shared" si="13"/>
        <v>Uniformes, fardamentos e EPI</v>
      </c>
      <c r="L46" s="4">
        <f t="shared" ref="L46:AU46" si="21">IF(L$42&lt;=$G$12,0,$F75)</f>
        <v>0</v>
      </c>
      <c r="M46" s="4">
        <f t="shared" si="21"/>
        <v>0</v>
      </c>
      <c r="N46" s="4">
        <f t="shared" si="21"/>
        <v>0</v>
      </c>
      <c r="O46" s="4">
        <f t="shared" si="21"/>
        <v>5445.12</v>
      </c>
      <c r="P46" s="4">
        <f t="shared" si="21"/>
        <v>5445.12</v>
      </c>
      <c r="Q46" s="4">
        <f t="shared" si="21"/>
        <v>5445.12</v>
      </c>
      <c r="R46" s="4">
        <f t="shared" si="21"/>
        <v>5445.12</v>
      </c>
      <c r="S46" s="4">
        <f t="shared" si="21"/>
        <v>5445.12</v>
      </c>
      <c r="T46" s="4">
        <f t="shared" si="21"/>
        <v>5445.12</v>
      </c>
      <c r="U46" s="4">
        <f t="shared" si="21"/>
        <v>5445.12</v>
      </c>
      <c r="V46" s="4">
        <f t="shared" si="21"/>
        <v>5445.12</v>
      </c>
      <c r="W46" s="4">
        <f t="shared" si="21"/>
        <v>5445.12</v>
      </c>
      <c r="X46" s="4">
        <f t="shared" si="21"/>
        <v>5445.12</v>
      </c>
      <c r="Y46" s="4">
        <f t="shared" si="21"/>
        <v>5445.12</v>
      </c>
      <c r="Z46" s="4">
        <f t="shared" si="21"/>
        <v>5445.12</v>
      </c>
      <c r="AA46" s="4">
        <f t="shared" si="21"/>
        <v>5445.12</v>
      </c>
      <c r="AB46" s="4">
        <f t="shared" si="21"/>
        <v>5445.12</v>
      </c>
      <c r="AC46" s="4">
        <f t="shared" si="21"/>
        <v>5445.12</v>
      </c>
      <c r="AD46" s="4">
        <f t="shared" si="21"/>
        <v>5445.12</v>
      </c>
      <c r="AE46" s="4">
        <f t="shared" si="21"/>
        <v>5445.12</v>
      </c>
      <c r="AF46" s="4">
        <f t="shared" si="21"/>
        <v>5445.12</v>
      </c>
      <c r="AG46" s="4">
        <f t="shared" si="21"/>
        <v>5445.12</v>
      </c>
      <c r="AH46" s="4">
        <f t="shared" si="21"/>
        <v>5445.12</v>
      </c>
      <c r="AI46" s="4">
        <f t="shared" si="21"/>
        <v>5445.12</v>
      </c>
      <c r="AJ46" s="4">
        <f t="shared" si="21"/>
        <v>5445.12</v>
      </c>
      <c r="AK46" s="4">
        <f t="shared" si="21"/>
        <v>5445.12</v>
      </c>
      <c r="AL46" s="4">
        <f t="shared" si="21"/>
        <v>5445.12</v>
      </c>
      <c r="AM46" s="4">
        <f t="shared" si="21"/>
        <v>5445.12</v>
      </c>
      <c r="AN46" s="4">
        <f t="shared" si="21"/>
        <v>5445.12</v>
      </c>
      <c r="AO46" s="4">
        <f t="shared" si="21"/>
        <v>5445.12</v>
      </c>
      <c r="AP46" s="4">
        <f t="shared" si="21"/>
        <v>5445.12</v>
      </c>
      <c r="AQ46" s="4">
        <f t="shared" si="21"/>
        <v>5445.12</v>
      </c>
      <c r="AR46" s="4">
        <f t="shared" si="21"/>
        <v>5445.12</v>
      </c>
      <c r="AS46" s="4">
        <f t="shared" si="21"/>
        <v>5445.12</v>
      </c>
      <c r="AT46" s="4">
        <f t="shared" si="21"/>
        <v>5445.12</v>
      </c>
      <c r="AU46" s="4">
        <f t="shared" si="21"/>
        <v>5445.12</v>
      </c>
      <c r="AW46" t="s">
        <v>88</v>
      </c>
      <c r="AY46" s="4">
        <f t="shared" si="17"/>
        <v>0</v>
      </c>
      <c r="AZ46" s="4">
        <f t="shared" si="17"/>
        <v>0</v>
      </c>
      <c r="BA46" s="4">
        <f t="shared" si="17"/>
        <v>536766.84918730264</v>
      </c>
      <c r="BB46" s="4">
        <f t="shared" si="17"/>
        <v>536766.84918730264</v>
      </c>
      <c r="BC46" s="4">
        <f t="shared" si="17"/>
        <v>536766.84918730264</v>
      </c>
      <c r="BD46" s="4">
        <f t="shared" si="17"/>
        <v>536766.84918730264</v>
      </c>
      <c r="BE46" s="4">
        <f t="shared" si="17"/>
        <v>536766.84918730264</v>
      </c>
      <c r="BF46" s="4">
        <f t="shared" si="17"/>
        <v>536766.84918730264</v>
      </c>
      <c r="BG46" s="4">
        <f t="shared" si="17"/>
        <v>536766.84918730264</v>
      </c>
      <c r="BH46" s="4">
        <f t="shared" si="17"/>
        <v>536766.84918730264</v>
      </c>
      <c r="BI46" s="4">
        <f t="shared" si="18"/>
        <v>536766.84918730264</v>
      </c>
      <c r="BJ46" s="4">
        <f t="shared" si="18"/>
        <v>536766.84918730264</v>
      </c>
      <c r="BK46" s="4">
        <f t="shared" si="18"/>
        <v>536766.84918730264</v>
      </c>
      <c r="BL46" s="4">
        <f t="shared" si="18"/>
        <v>536766.84918730264</v>
      </c>
      <c r="BM46" s="4">
        <f t="shared" si="18"/>
        <v>536766.84918730264</v>
      </c>
      <c r="BN46" s="4">
        <f t="shared" si="18"/>
        <v>536766.84918730264</v>
      </c>
      <c r="BO46" s="4">
        <f t="shared" si="18"/>
        <v>536766.84918730264</v>
      </c>
      <c r="BP46" s="4">
        <f t="shared" si="18"/>
        <v>536766.84918730264</v>
      </c>
      <c r="BQ46" s="4">
        <f t="shared" si="18"/>
        <v>536766.84918730264</v>
      </c>
      <c r="BR46" s="4">
        <f t="shared" si="18"/>
        <v>536766.84918730264</v>
      </c>
      <c r="BS46" s="4">
        <f t="shared" si="19"/>
        <v>536766.84918730264</v>
      </c>
      <c r="BT46" s="4">
        <f t="shared" si="19"/>
        <v>536766.84918730264</v>
      </c>
      <c r="BU46" s="4">
        <f t="shared" si="19"/>
        <v>536766.84918730264</v>
      </c>
      <c r="BV46" s="4">
        <f t="shared" si="19"/>
        <v>536766.84918730264</v>
      </c>
      <c r="BW46" s="4">
        <f t="shared" si="19"/>
        <v>536766.84918730264</v>
      </c>
      <c r="BX46" s="4">
        <f t="shared" si="19"/>
        <v>536766.84918730264</v>
      </c>
      <c r="BY46" s="4">
        <f t="shared" si="19"/>
        <v>536766.84918730264</v>
      </c>
      <c r="BZ46" s="4">
        <f t="shared" si="19"/>
        <v>536766.84918730264</v>
      </c>
      <c r="CA46" s="4">
        <f t="shared" si="19"/>
        <v>536766.84918730264</v>
      </c>
      <c r="CB46" s="4">
        <f t="shared" si="19"/>
        <v>536766.84918730264</v>
      </c>
      <c r="CC46" s="4">
        <f t="shared" si="20"/>
        <v>536766.84918730264</v>
      </c>
      <c r="CD46" s="4">
        <f t="shared" si="20"/>
        <v>536766.84918730264</v>
      </c>
      <c r="CE46" s="4">
        <f t="shared" si="20"/>
        <v>536766.84918730264</v>
      </c>
      <c r="CF46" s="4">
        <f t="shared" si="20"/>
        <v>536766.84918730264</v>
      </c>
      <c r="CG46" s="4">
        <f t="shared" si="20"/>
        <v>536766.84918730264</v>
      </c>
    </row>
    <row r="47" spans="2:85" ht="15.75">
      <c r="C47" t="s">
        <v>19</v>
      </c>
      <c r="D47" s="319">
        <v>0.56000000000000005</v>
      </c>
      <c r="E47" s="5">
        <f>SUMIF($D$30:$D$41,C47,$B$30:$B$41)</f>
        <v>4</v>
      </c>
      <c r="K47" t="str">
        <f t="shared" si="13"/>
        <v>Internet</v>
      </c>
      <c r="L47" s="4">
        <f t="shared" ref="L47:AU47" si="22">IF(L$42&lt;=$G$12,0,$F76)</f>
        <v>0</v>
      </c>
      <c r="M47" s="4">
        <f t="shared" si="22"/>
        <v>0</v>
      </c>
      <c r="N47" s="4">
        <f t="shared" si="22"/>
        <v>0</v>
      </c>
      <c r="O47" s="4">
        <f t="shared" si="22"/>
        <v>30499.08</v>
      </c>
      <c r="P47" s="4">
        <f t="shared" si="22"/>
        <v>30499.08</v>
      </c>
      <c r="Q47" s="4">
        <f t="shared" si="22"/>
        <v>30499.08</v>
      </c>
      <c r="R47" s="4">
        <f t="shared" si="22"/>
        <v>30499.08</v>
      </c>
      <c r="S47" s="4">
        <f t="shared" si="22"/>
        <v>30499.08</v>
      </c>
      <c r="T47" s="4">
        <f t="shared" si="22"/>
        <v>30499.08</v>
      </c>
      <c r="U47" s="4">
        <f t="shared" si="22"/>
        <v>30499.08</v>
      </c>
      <c r="V47" s="4">
        <f t="shared" si="22"/>
        <v>30499.08</v>
      </c>
      <c r="W47" s="4">
        <f t="shared" si="22"/>
        <v>30499.08</v>
      </c>
      <c r="X47" s="4">
        <f t="shared" si="22"/>
        <v>30499.08</v>
      </c>
      <c r="Y47" s="4">
        <f t="shared" si="22"/>
        <v>30499.08</v>
      </c>
      <c r="Z47" s="4">
        <f t="shared" si="22"/>
        <v>30499.08</v>
      </c>
      <c r="AA47" s="4">
        <f t="shared" si="22"/>
        <v>30499.08</v>
      </c>
      <c r="AB47" s="4">
        <f t="shared" si="22"/>
        <v>30499.08</v>
      </c>
      <c r="AC47" s="4">
        <f t="shared" si="22"/>
        <v>30499.08</v>
      </c>
      <c r="AD47" s="4">
        <f t="shared" si="22"/>
        <v>30499.08</v>
      </c>
      <c r="AE47" s="4">
        <f t="shared" si="22"/>
        <v>30499.08</v>
      </c>
      <c r="AF47" s="4">
        <f t="shared" si="22"/>
        <v>30499.08</v>
      </c>
      <c r="AG47" s="4">
        <f t="shared" si="22"/>
        <v>30499.08</v>
      </c>
      <c r="AH47" s="4">
        <f t="shared" si="22"/>
        <v>30499.08</v>
      </c>
      <c r="AI47" s="4">
        <f t="shared" si="22"/>
        <v>30499.08</v>
      </c>
      <c r="AJ47" s="4">
        <f t="shared" si="22"/>
        <v>30499.08</v>
      </c>
      <c r="AK47" s="4">
        <f t="shared" si="22"/>
        <v>30499.08</v>
      </c>
      <c r="AL47" s="4">
        <f t="shared" si="22"/>
        <v>30499.08</v>
      </c>
      <c r="AM47" s="4">
        <f t="shared" si="22"/>
        <v>30499.08</v>
      </c>
      <c r="AN47" s="4">
        <f t="shared" si="22"/>
        <v>30499.08</v>
      </c>
      <c r="AO47" s="4">
        <f t="shared" si="22"/>
        <v>30499.08</v>
      </c>
      <c r="AP47" s="4">
        <f t="shared" si="22"/>
        <v>30499.08</v>
      </c>
      <c r="AQ47" s="4">
        <f t="shared" si="22"/>
        <v>30499.08</v>
      </c>
      <c r="AR47" s="4">
        <f t="shared" si="22"/>
        <v>30499.08</v>
      </c>
      <c r="AS47" s="4">
        <f t="shared" si="22"/>
        <v>30499.08</v>
      </c>
      <c r="AT47" s="4">
        <f t="shared" si="22"/>
        <v>30499.08</v>
      </c>
      <c r="AU47" s="4">
        <f t="shared" si="22"/>
        <v>30499.08</v>
      </c>
      <c r="AW47" t="s">
        <v>89</v>
      </c>
      <c r="AY47" s="4">
        <f t="shared" ref="AY47:BH48" si="23">M48</f>
        <v>0</v>
      </c>
      <c r="AZ47" s="4">
        <f t="shared" si="23"/>
        <v>0</v>
      </c>
      <c r="BA47" s="4">
        <f t="shared" ca="1" si="23"/>
        <v>74142.248400000011</v>
      </c>
      <c r="BB47" s="4">
        <f t="shared" ca="1" si="23"/>
        <v>74142.248400000011</v>
      </c>
      <c r="BC47" s="4">
        <f t="shared" ca="1" si="23"/>
        <v>74142.248400000011</v>
      </c>
      <c r="BD47" s="4">
        <f t="shared" ca="1" si="23"/>
        <v>74142.248400000011</v>
      </c>
      <c r="BE47" s="4">
        <f t="shared" ca="1" si="23"/>
        <v>74142.248400000011</v>
      </c>
      <c r="BF47" s="4">
        <f t="shared" ca="1" si="23"/>
        <v>74142.248400000011</v>
      </c>
      <c r="BG47" s="4">
        <f t="shared" ca="1" si="23"/>
        <v>74142.248400000011</v>
      </c>
      <c r="BH47" s="4">
        <f t="shared" ca="1" si="23"/>
        <v>74142.248400000011</v>
      </c>
      <c r="BI47" s="4">
        <f t="shared" ref="BI47:BR48" ca="1" si="24">W48</f>
        <v>74142.248400000011</v>
      </c>
      <c r="BJ47" s="4">
        <f t="shared" ca="1" si="24"/>
        <v>74142.248400000011</v>
      </c>
      <c r="BK47" s="4">
        <f t="shared" ca="1" si="24"/>
        <v>74142.248400000011</v>
      </c>
      <c r="BL47" s="4">
        <f t="shared" ca="1" si="24"/>
        <v>74142.248400000011</v>
      </c>
      <c r="BM47" s="4">
        <f t="shared" ca="1" si="24"/>
        <v>74142.248400000011</v>
      </c>
      <c r="BN47" s="4">
        <f t="shared" ca="1" si="24"/>
        <v>74142.248400000011</v>
      </c>
      <c r="BO47" s="4">
        <f t="shared" ca="1" si="24"/>
        <v>74142.248400000011</v>
      </c>
      <c r="BP47" s="4">
        <f t="shared" ca="1" si="24"/>
        <v>74142.248400000011</v>
      </c>
      <c r="BQ47" s="4">
        <f t="shared" ca="1" si="24"/>
        <v>74142.248400000011</v>
      </c>
      <c r="BR47" s="4">
        <f t="shared" ca="1" si="24"/>
        <v>74142.248400000011</v>
      </c>
      <c r="BS47" s="4">
        <f t="shared" ref="BS47:CB48" ca="1" si="25">AG48</f>
        <v>74142.248400000011</v>
      </c>
      <c r="BT47" s="4">
        <f t="shared" ca="1" si="25"/>
        <v>74142.248400000011</v>
      </c>
      <c r="BU47" s="4">
        <f t="shared" ca="1" si="25"/>
        <v>74142.248400000011</v>
      </c>
      <c r="BV47" s="4">
        <f t="shared" ca="1" si="25"/>
        <v>74142.248400000011</v>
      </c>
      <c r="BW47" s="4">
        <f t="shared" ca="1" si="25"/>
        <v>74142.248400000011</v>
      </c>
      <c r="BX47" s="4">
        <f t="shared" ca="1" si="25"/>
        <v>74142.248400000011</v>
      </c>
      <c r="BY47" s="4">
        <f t="shared" ca="1" si="25"/>
        <v>74142.248400000011</v>
      </c>
      <c r="BZ47" s="4">
        <f t="shared" ca="1" si="25"/>
        <v>74142.248400000011</v>
      </c>
      <c r="CA47" s="4">
        <f t="shared" ca="1" si="25"/>
        <v>74142.248400000011</v>
      </c>
      <c r="CB47" s="4">
        <f t="shared" ca="1" si="25"/>
        <v>74142.248400000011</v>
      </c>
      <c r="CC47" s="4">
        <f t="shared" ref="CC47:CG48" ca="1" si="26">AQ48</f>
        <v>74142.248400000011</v>
      </c>
      <c r="CD47" s="4">
        <f t="shared" ca="1" si="26"/>
        <v>74142.248400000011</v>
      </c>
      <c r="CE47" s="4">
        <f t="shared" ca="1" si="26"/>
        <v>74142.248400000011</v>
      </c>
      <c r="CF47" s="4">
        <f t="shared" ca="1" si="26"/>
        <v>74142.248400000011</v>
      </c>
      <c r="CG47" s="4">
        <f t="shared" ca="1" si="26"/>
        <v>74142.248400000011</v>
      </c>
    </row>
    <row r="48" spans="2:85" ht="15.75">
      <c r="C48" t="s">
        <v>22</v>
      </c>
      <c r="D48" s="319">
        <v>0.44</v>
      </c>
      <c r="E48" s="5">
        <f>SUMIF($D$30:$D$41,C48,$B$30:$B$41)</f>
        <v>3</v>
      </c>
      <c r="K48" t="str">
        <f t="shared" si="13"/>
        <v>Energia</v>
      </c>
      <c r="L48" s="4">
        <f t="shared" ref="L48:AU48" si="27">IF(L$42&lt;=$G$12,0,$F77)</f>
        <v>0</v>
      </c>
      <c r="M48" s="4">
        <f t="shared" si="27"/>
        <v>0</v>
      </c>
      <c r="N48" s="4">
        <f t="shared" si="27"/>
        <v>0</v>
      </c>
      <c r="O48" s="4">
        <f t="shared" ca="1" si="27"/>
        <v>74142.248400000011</v>
      </c>
      <c r="P48" s="4">
        <f t="shared" ca="1" si="27"/>
        <v>74142.248400000011</v>
      </c>
      <c r="Q48" s="4">
        <f t="shared" ca="1" si="27"/>
        <v>74142.248400000011</v>
      </c>
      <c r="R48" s="4">
        <f t="shared" ca="1" si="27"/>
        <v>74142.248400000011</v>
      </c>
      <c r="S48" s="4">
        <f t="shared" ca="1" si="27"/>
        <v>74142.248400000011</v>
      </c>
      <c r="T48" s="4">
        <f t="shared" ca="1" si="27"/>
        <v>74142.248400000011</v>
      </c>
      <c r="U48" s="4">
        <f t="shared" ca="1" si="27"/>
        <v>74142.248400000011</v>
      </c>
      <c r="V48" s="4">
        <f t="shared" ca="1" si="27"/>
        <v>74142.248400000011</v>
      </c>
      <c r="W48" s="4">
        <f t="shared" ca="1" si="27"/>
        <v>74142.248400000011</v>
      </c>
      <c r="X48" s="4">
        <f t="shared" ca="1" si="27"/>
        <v>74142.248400000011</v>
      </c>
      <c r="Y48" s="4">
        <f t="shared" ca="1" si="27"/>
        <v>74142.248400000011</v>
      </c>
      <c r="Z48" s="4">
        <f t="shared" ca="1" si="27"/>
        <v>74142.248400000011</v>
      </c>
      <c r="AA48" s="4">
        <f t="shared" ca="1" si="27"/>
        <v>74142.248400000011</v>
      </c>
      <c r="AB48" s="4">
        <f t="shared" ca="1" si="27"/>
        <v>74142.248400000011</v>
      </c>
      <c r="AC48" s="4">
        <f t="shared" ca="1" si="27"/>
        <v>74142.248400000011</v>
      </c>
      <c r="AD48" s="4">
        <f t="shared" ca="1" si="27"/>
        <v>74142.248400000011</v>
      </c>
      <c r="AE48" s="4">
        <f t="shared" ca="1" si="27"/>
        <v>74142.248400000011</v>
      </c>
      <c r="AF48" s="4">
        <f t="shared" ca="1" si="27"/>
        <v>74142.248400000011</v>
      </c>
      <c r="AG48" s="4">
        <f t="shared" ca="1" si="27"/>
        <v>74142.248400000011</v>
      </c>
      <c r="AH48" s="4">
        <f t="shared" ca="1" si="27"/>
        <v>74142.248400000011</v>
      </c>
      <c r="AI48" s="4">
        <f t="shared" ca="1" si="27"/>
        <v>74142.248400000011</v>
      </c>
      <c r="AJ48" s="4">
        <f t="shared" ca="1" si="27"/>
        <v>74142.248400000011</v>
      </c>
      <c r="AK48" s="4">
        <f t="shared" ca="1" si="27"/>
        <v>74142.248400000011</v>
      </c>
      <c r="AL48" s="4">
        <f t="shared" ca="1" si="27"/>
        <v>74142.248400000011</v>
      </c>
      <c r="AM48" s="4">
        <f t="shared" ca="1" si="27"/>
        <v>74142.248400000011</v>
      </c>
      <c r="AN48" s="4">
        <f t="shared" ca="1" si="27"/>
        <v>74142.248400000011</v>
      </c>
      <c r="AO48" s="4">
        <f t="shared" ca="1" si="27"/>
        <v>74142.248400000011</v>
      </c>
      <c r="AP48" s="4">
        <f t="shared" ca="1" si="27"/>
        <v>74142.248400000011</v>
      </c>
      <c r="AQ48" s="4">
        <f t="shared" ca="1" si="27"/>
        <v>74142.248400000011</v>
      </c>
      <c r="AR48" s="4">
        <f t="shared" ca="1" si="27"/>
        <v>74142.248400000011</v>
      </c>
      <c r="AS48" s="4">
        <f t="shared" ca="1" si="27"/>
        <v>74142.248400000011</v>
      </c>
      <c r="AT48" s="4">
        <f t="shared" ca="1" si="27"/>
        <v>74142.248400000011</v>
      </c>
      <c r="AU48" s="4">
        <f t="shared" ca="1" si="27"/>
        <v>74142.248400000011</v>
      </c>
      <c r="AW48" t="s">
        <v>90</v>
      </c>
      <c r="AY48" s="4">
        <f t="shared" si="23"/>
        <v>0</v>
      </c>
      <c r="AZ48" s="4">
        <f t="shared" si="23"/>
        <v>0</v>
      </c>
      <c r="BA48" s="4">
        <f t="shared" ca="1" si="23"/>
        <v>112849.80389999998</v>
      </c>
      <c r="BB48" s="4">
        <f t="shared" ca="1" si="23"/>
        <v>112849.80389999998</v>
      </c>
      <c r="BC48" s="4">
        <f t="shared" ca="1" si="23"/>
        <v>112849.80389999998</v>
      </c>
      <c r="BD48" s="4">
        <f t="shared" ca="1" si="23"/>
        <v>112849.80389999998</v>
      </c>
      <c r="BE48" s="4">
        <f t="shared" ca="1" si="23"/>
        <v>112849.80389999998</v>
      </c>
      <c r="BF48" s="4">
        <f t="shared" ca="1" si="23"/>
        <v>112849.80389999998</v>
      </c>
      <c r="BG48" s="4">
        <f t="shared" ca="1" si="23"/>
        <v>112849.80389999998</v>
      </c>
      <c r="BH48" s="4">
        <f t="shared" ca="1" si="23"/>
        <v>112849.80389999998</v>
      </c>
      <c r="BI48" s="4">
        <f t="shared" ca="1" si="24"/>
        <v>112849.80389999998</v>
      </c>
      <c r="BJ48" s="4">
        <f t="shared" ca="1" si="24"/>
        <v>112849.80389999998</v>
      </c>
      <c r="BK48" s="4">
        <f t="shared" ca="1" si="24"/>
        <v>112849.80389999998</v>
      </c>
      <c r="BL48" s="4">
        <f t="shared" ca="1" si="24"/>
        <v>112849.80389999998</v>
      </c>
      <c r="BM48" s="4">
        <f t="shared" ca="1" si="24"/>
        <v>112849.80389999998</v>
      </c>
      <c r="BN48" s="4">
        <f t="shared" ca="1" si="24"/>
        <v>112849.80389999998</v>
      </c>
      <c r="BO48" s="4">
        <f t="shared" ca="1" si="24"/>
        <v>112849.80389999998</v>
      </c>
      <c r="BP48" s="4">
        <f t="shared" ca="1" si="24"/>
        <v>112849.80389999998</v>
      </c>
      <c r="BQ48" s="4">
        <f t="shared" ca="1" si="24"/>
        <v>112849.80389999998</v>
      </c>
      <c r="BR48" s="4">
        <f t="shared" ca="1" si="24"/>
        <v>112849.80389999998</v>
      </c>
      <c r="BS48" s="4">
        <f t="shared" ca="1" si="25"/>
        <v>112849.80389999998</v>
      </c>
      <c r="BT48" s="4">
        <f t="shared" ca="1" si="25"/>
        <v>112849.80389999998</v>
      </c>
      <c r="BU48" s="4">
        <f t="shared" ca="1" si="25"/>
        <v>112849.80389999998</v>
      </c>
      <c r="BV48" s="4">
        <f t="shared" ca="1" si="25"/>
        <v>112849.80389999998</v>
      </c>
      <c r="BW48" s="4">
        <f t="shared" ca="1" si="25"/>
        <v>112849.80389999998</v>
      </c>
      <c r="BX48" s="4">
        <f t="shared" ca="1" si="25"/>
        <v>112849.80389999998</v>
      </c>
      <c r="BY48" s="4">
        <f t="shared" ca="1" si="25"/>
        <v>112849.80389999998</v>
      </c>
      <c r="BZ48" s="4">
        <f t="shared" ca="1" si="25"/>
        <v>112849.80389999998</v>
      </c>
      <c r="CA48" s="4">
        <f t="shared" ca="1" si="25"/>
        <v>112849.80389999998</v>
      </c>
      <c r="CB48" s="4">
        <f t="shared" ca="1" si="25"/>
        <v>112849.80389999998</v>
      </c>
      <c r="CC48" s="4">
        <f t="shared" ca="1" si="26"/>
        <v>112849.80389999998</v>
      </c>
      <c r="CD48" s="4">
        <f t="shared" ca="1" si="26"/>
        <v>112849.80389999998</v>
      </c>
      <c r="CE48" s="4">
        <f t="shared" ca="1" si="26"/>
        <v>112849.80389999998</v>
      </c>
      <c r="CF48" s="4">
        <f t="shared" ca="1" si="26"/>
        <v>112849.80389999998</v>
      </c>
      <c r="CG48" s="4">
        <f t="shared" ca="1" si="26"/>
        <v>112849.80389999998</v>
      </c>
    </row>
    <row r="49" spans="3:85">
      <c r="E49" s="5"/>
      <c r="K49" t="str">
        <f t="shared" si="13"/>
        <v>Água</v>
      </c>
      <c r="L49" s="4">
        <f t="shared" ref="L49:AU49" si="28">IF(L$42&lt;=$G$12,0,$F78)</f>
        <v>0</v>
      </c>
      <c r="M49" s="4">
        <f t="shared" si="28"/>
        <v>0</v>
      </c>
      <c r="N49" s="4">
        <f t="shared" si="28"/>
        <v>0</v>
      </c>
      <c r="O49" s="4">
        <f t="shared" ca="1" si="28"/>
        <v>112849.80389999998</v>
      </c>
      <c r="P49" s="4">
        <f t="shared" ca="1" si="28"/>
        <v>112849.80389999998</v>
      </c>
      <c r="Q49" s="4">
        <f t="shared" ca="1" si="28"/>
        <v>112849.80389999998</v>
      </c>
      <c r="R49" s="4">
        <f t="shared" ca="1" si="28"/>
        <v>112849.80389999998</v>
      </c>
      <c r="S49" s="4">
        <f t="shared" ca="1" si="28"/>
        <v>112849.80389999998</v>
      </c>
      <c r="T49" s="4">
        <f t="shared" ca="1" si="28"/>
        <v>112849.80389999998</v>
      </c>
      <c r="U49" s="4">
        <f t="shared" ca="1" si="28"/>
        <v>112849.80389999998</v>
      </c>
      <c r="V49" s="4">
        <f t="shared" ca="1" si="28"/>
        <v>112849.80389999998</v>
      </c>
      <c r="W49" s="4">
        <f t="shared" ca="1" si="28"/>
        <v>112849.80389999998</v>
      </c>
      <c r="X49" s="4">
        <f t="shared" ca="1" si="28"/>
        <v>112849.80389999998</v>
      </c>
      <c r="Y49" s="4">
        <f t="shared" ca="1" si="28"/>
        <v>112849.80389999998</v>
      </c>
      <c r="Z49" s="4">
        <f t="shared" ca="1" si="28"/>
        <v>112849.80389999998</v>
      </c>
      <c r="AA49" s="4">
        <f t="shared" ca="1" si="28"/>
        <v>112849.80389999998</v>
      </c>
      <c r="AB49" s="4">
        <f t="shared" ca="1" si="28"/>
        <v>112849.80389999998</v>
      </c>
      <c r="AC49" s="4">
        <f t="shared" ca="1" si="28"/>
        <v>112849.80389999998</v>
      </c>
      <c r="AD49" s="4">
        <f t="shared" ca="1" si="28"/>
        <v>112849.80389999998</v>
      </c>
      <c r="AE49" s="4">
        <f t="shared" ca="1" si="28"/>
        <v>112849.80389999998</v>
      </c>
      <c r="AF49" s="4">
        <f t="shared" ca="1" si="28"/>
        <v>112849.80389999998</v>
      </c>
      <c r="AG49" s="4">
        <f t="shared" ca="1" si="28"/>
        <v>112849.80389999998</v>
      </c>
      <c r="AH49" s="4">
        <f t="shared" ca="1" si="28"/>
        <v>112849.80389999998</v>
      </c>
      <c r="AI49" s="4">
        <f t="shared" ca="1" si="28"/>
        <v>112849.80389999998</v>
      </c>
      <c r="AJ49" s="4">
        <f t="shared" ca="1" si="28"/>
        <v>112849.80389999998</v>
      </c>
      <c r="AK49" s="4">
        <f t="shared" ca="1" si="28"/>
        <v>112849.80389999998</v>
      </c>
      <c r="AL49" s="4">
        <f t="shared" ca="1" si="28"/>
        <v>112849.80389999998</v>
      </c>
      <c r="AM49" s="4">
        <f t="shared" ca="1" si="28"/>
        <v>112849.80389999998</v>
      </c>
      <c r="AN49" s="4">
        <f t="shared" ca="1" si="28"/>
        <v>112849.80389999998</v>
      </c>
      <c r="AO49" s="4">
        <f t="shared" ca="1" si="28"/>
        <v>112849.80389999998</v>
      </c>
      <c r="AP49" s="4">
        <f t="shared" ca="1" si="28"/>
        <v>112849.80389999998</v>
      </c>
      <c r="AQ49" s="4">
        <f t="shared" ca="1" si="28"/>
        <v>112849.80389999998</v>
      </c>
      <c r="AR49" s="4">
        <f t="shared" ca="1" si="28"/>
        <v>112849.80389999998</v>
      </c>
      <c r="AS49" s="4">
        <f t="shared" ca="1" si="28"/>
        <v>112849.80389999998</v>
      </c>
      <c r="AT49" s="4">
        <f t="shared" ca="1" si="28"/>
        <v>112849.80389999998</v>
      </c>
      <c r="AU49" s="4">
        <f t="shared" ca="1" si="28"/>
        <v>112849.80389999998</v>
      </c>
      <c r="AW49" t="s">
        <v>91</v>
      </c>
      <c r="AY49" s="4">
        <f t="shared" ref="AY49:CG49" si="29">SUM(M45:M47,M50)</f>
        <v>0</v>
      </c>
      <c r="AZ49" s="4">
        <f t="shared" si="29"/>
        <v>0</v>
      </c>
      <c r="BA49" s="4">
        <f t="shared" si="29"/>
        <v>115047.31840923928</v>
      </c>
      <c r="BB49" s="4">
        <f t="shared" si="29"/>
        <v>115047.31840923928</v>
      </c>
      <c r="BC49" s="4">
        <f t="shared" si="29"/>
        <v>115047.31840923928</v>
      </c>
      <c r="BD49" s="4">
        <f t="shared" si="29"/>
        <v>115047.31840923928</v>
      </c>
      <c r="BE49" s="4">
        <f t="shared" si="29"/>
        <v>115047.31840923928</v>
      </c>
      <c r="BF49" s="4">
        <f t="shared" si="29"/>
        <v>115047.31840923928</v>
      </c>
      <c r="BG49" s="4">
        <f t="shared" si="29"/>
        <v>115047.31840923928</v>
      </c>
      <c r="BH49" s="4">
        <f t="shared" si="29"/>
        <v>115047.31840923928</v>
      </c>
      <c r="BI49" s="4">
        <f t="shared" si="29"/>
        <v>115047.31840923928</v>
      </c>
      <c r="BJ49" s="4">
        <f t="shared" si="29"/>
        <v>115047.31840923928</v>
      </c>
      <c r="BK49" s="4">
        <f t="shared" si="29"/>
        <v>115047.31840923928</v>
      </c>
      <c r="BL49" s="4">
        <f t="shared" si="29"/>
        <v>115047.31840923928</v>
      </c>
      <c r="BM49" s="4">
        <f t="shared" si="29"/>
        <v>115047.31840923928</v>
      </c>
      <c r="BN49" s="4">
        <f t="shared" si="29"/>
        <v>115047.31840923928</v>
      </c>
      <c r="BO49" s="4">
        <f t="shared" si="29"/>
        <v>115047.31840923928</v>
      </c>
      <c r="BP49" s="4">
        <f t="shared" si="29"/>
        <v>115047.31840923928</v>
      </c>
      <c r="BQ49" s="4">
        <f t="shared" si="29"/>
        <v>115047.31840923928</v>
      </c>
      <c r="BR49" s="4">
        <f t="shared" si="29"/>
        <v>115047.31840923928</v>
      </c>
      <c r="BS49" s="4">
        <f t="shared" si="29"/>
        <v>115047.31840923928</v>
      </c>
      <c r="BT49" s="4">
        <f t="shared" si="29"/>
        <v>115047.31840923928</v>
      </c>
      <c r="BU49" s="4">
        <f t="shared" si="29"/>
        <v>115047.31840923928</v>
      </c>
      <c r="BV49" s="4">
        <f t="shared" si="29"/>
        <v>115047.31840923928</v>
      </c>
      <c r="BW49" s="4">
        <f t="shared" si="29"/>
        <v>115047.31840923928</v>
      </c>
      <c r="BX49" s="4">
        <f t="shared" si="29"/>
        <v>115047.31840923928</v>
      </c>
      <c r="BY49" s="4">
        <f t="shared" si="29"/>
        <v>115047.31840923928</v>
      </c>
      <c r="BZ49" s="4">
        <f t="shared" si="29"/>
        <v>115047.31840923928</v>
      </c>
      <c r="CA49" s="4">
        <f t="shared" si="29"/>
        <v>115047.31840923928</v>
      </c>
      <c r="CB49" s="4">
        <f t="shared" si="29"/>
        <v>115047.31840923928</v>
      </c>
      <c r="CC49" s="4">
        <f t="shared" si="29"/>
        <v>115047.31840923928</v>
      </c>
      <c r="CD49" s="4">
        <f t="shared" si="29"/>
        <v>115047.31840923928</v>
      </c>
      <c r="CE49" s="4">
        <f t="shared" si="29"/>
        <v>115047.31840923928</v>
      </c>
      <c r="CF49" s="4">
        <f t="shared" si="29"/>
        <v>115047.31840923928</v>
      </c>
      <c r="CG49" s="4">
        <f t="shared" si="29"/>
        <v>115047.31840923928</v>
      </c>
    </row>
    <row r="50" spans="3:85"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W50" s="120" t="s">
        <v>82</v>
      </c>
      <c r="AX50" s="120"/>
      <c r="AY50" s="121">
        <f t="shared" ref="AY50:CG50" si="30">SUM(AY45:AY49)</f>
        <v>0</v>
      </c>
      <c r="AZ50" s="121">
        <f t="shared" si="30"/>
        <v>0</v>
      </c>
      <c r="BA50" s="121">
        <f t="shared" ca="1" si="30"/>
        <v>1687110.6239103661</v>
      </c>
      <c r="BB50" s="121">
        <f t="shared" ca="1" si="30"/>
        <v>1687110.6239103661</v>
      </c>
      <c r="BC50" s="121">
        <f t="shared" ca="1" si="30"/>
        <v>1687110.6239103661</v>
      </c>
      <c r="BD50" s="121">
        <f t="shared" ca="1" si="30"/>
        <v>1687110.6239103661</v>
      </c>
      <c r="BE50" s="121">
        <f t="shared" ca="1" si="30"/>
        <v>1687110.6239103661</v>
      </c>
      <c r="BF50" s="121">
        <f t="shared" ca="1" si="30"/>
        <v>1687110.6239103661</v>
      </c>
      <c r="BG50" s="121">
        <f t="shared" ca="1" si="30"/>
        <v>1687110.6239103661</v>
      </c>
      <c r="BH50" s="121">
        <f t="shared" ca="1" si="30"/>
        <v>1687110.6239103661</v>
      </c>
      <c r="BI50" s="121">
        <f t="shared" ca="1" si="30"/>
        <v>1687110.6239103661</v>
      </c>
      <c r="BJ50" s="121">
        <f t="shared" ca="1" si="30"/>
        <v>1687110.6239103661</v>
      </c>
      <c r="BK50" s="121">
        <f t="shared" ca="1" si="30"/>
        <v>1687110.6239103661</v>
      </c>
      <c r="BL50" s="121">
        <f t="shared" ca="1" si="30"/>
        <v>1687110.6239103661</v>
      </c>
      <c r="BM50" s="121">
        <f t="shared" ca="1" si="30"/>
        <v>1687110.6239103661</v>
      </c>
      <c r="BN50" s="121">
        <f t="shared" ca="1" si="30"/>
        <v>1687110.6239103661</v>
      </c>
      <c r="BO50" s="121">
        <f t="shared" ca="1" si="30"/>
        <v>1687110.6239103661</v>
      </c>
      <c r="BP50" s="121">
        <f t="shared" ca="1" si="30"/>
        <v>1687110.6239103661</v>
      </c>
      <c r="BQ50" s="121">
        <f t="shared" ca="1" si="30"/>
        <v>1687110.6239103661</v>
      </c>
      <c r="BR50" s="121">
        <f t="shared" ca="1" si="30"/>
        <v>1687110.6239103661</v>
      </c>
      <c r="BS50" s="121">
        <f t="shared" ca="1" si="30"/>
        <v>1687110.6239103661</v>
      </c>
      <c r="BT50" s="121">
        <f t="shared" ca="1" si="30"/>
        <v>1687110.6239103661</v>
      </c>
      <c r="BU50" s="121">
        <f t="shared" ca="1" si="30"/>
        <v>1687110.6239103661</v>
      </c>
      <c r="BV50" s="121">
        <f t="shared" ca="1" si="30"/>
        <v>1687110.6239103661</v>
      </c>
      <c r="BW50" s="121">
        <f t="shared" ca="1" si="30"/>
        <v>1687110.6239103661</v>
      </c>
      <c r="BX50" s="121">
        <f t="shared" ca="1" si="30"/>
        <v>1687110.6239103661</v>
      </c>
      <c r="BY50" s="121">
        <f t="shared" ca="1" si="30"/>
        <v>1687110.6239103661</v>
      </c>
      <c r="BZ50" s="121">
        <f t="shared" ca="1" si="30"/>
        <v>1687110.6239103661</v>
      </c>
      <c r="CA50" s="121">
        <f t="shared" ca="1" si="30"/>
        <v>1687110.6239103661</v>
      </c>
      <c r="CB50" s="121">
        <f t="shared" ca="1" si="30"/>
        <v>1687110.6239103661</v>
      </c>
      <c r="CC50" s="121">
        <f t="shared" ca="1" si="30"/>
        <v>1687110.6239103661</v>
      </c>
      <c r="CD50" s="121">
        <f t="shared" ca="1" si="30"/>
        <v>1687110.6239103661</v>
      </c>
      <c r="CE50" s="121">
        <f t="shared" ca="1" si="30"/>
        <v>1687110.6239103661</v>
      </c>
      <c r="CF50" s="121">
        <f t="shared" ca="1" si="30"/>
        <v>1687110.6239103661</v>
      </c>
      <c r="CG50" s="121">
        <f t="shared" ca="1" si="30"/>
        <v>1687110.6239103661</v>
      </c>
    </row>
    <row r="51" spans="3:85">
      <c r="D51" s="232" t="s">
        <v>82</v>
      </c>
      <c r="E51" s="232" t="s">
        <v>92</v>
      </c>
      <c r="K51" s="120" t="s">
        <v>82</v>
      </c>
      <c r="L51" s="121">
        <f>IF(L42&lt;=$G$12,0,SUM(L43:L50))</f>
        <v>0</v>
      </c>
      <c r="M51" s="121">
        <f>IF(M42&lt;=$G$12,0,SUM(M43:M50))</f>
        <v>0</v>
      </c>
      <c r="N51" s="121">
        <f t="shared" ref="N51:AU51" si="31">IF(N42&lt;=$G$12,0,SUM(N43:N50))</f>
        <v>0</v>
      </c>
      <c r="O51" s="121">
        <f t="shared" ca="1" si="31"/>
        <v>1687110.6239103663</v>
      </c>
      <c r="P51" s="121">
        <f t="shared" ca="1" si="31"/>
        <v>1687110.6239103663</v>
      </c>
      <c r="Q51" s="121">
        <f t="shared" ca="1" si="31"/>
        <v>1687110.6239103663</v>
      </c>
      <c r="R51" s="121">
        <f t="shared" ca="1" si="31"/>
        <v>1687110.6239103663</v>
      </c>
      <c r="S51" s="121">
        <f t="shared" ca="1" si="31"/>
        <v>1687110.6239103663</v>
      </c>
      <c r="T51" s="121">
        <f t="shared" ca="1" si="31"/>
        <v>1687110.6239103663</v>
      </c>
      <c r="U51" s="121">
        <f t="shared" ca="1" si="31"/>
        <v>1687110.6239103663</v>
      </c>
      <c r="V51" s="121">
        <f t="shared" ca="1" si="31"/>
        <v>1687110.6239103663</v>
      </c>
      <c r="W51" s="121">
        <f t="shared" ca="1" si="31"/>
        <v>1687110.6239103663</v>
      </c>
      <c r="X51" s="121">
        <f t="shared" ca="1" si="31"/>
        <v>1687110.6239103663</v>
      </c>
      <c r="Y51" s="121">
        <f t="shared" ca="1" si="31"/>
        <v>1687110.6239103663</v>
      </c>
      <c r="Z51" s="121">
        <f t="shared" ca="1" si="31"/>
        <v>1687110.6239103663</v>
      </c>
      <c r="AA51" s="121">
        <f t="shared" ca="1" si="31"/>
        <v>1687110.6239103663</v>
      </c>
      <c r="AB51" s="121">
        <f t="shared" ca="1" si="31"/>
        <v>1687110.6239103663</v>
      </c>
      <c r="AC51" s="121">
        <f t="shared" ca="1" si="31"/>
        <v>1687110.6239103663</v>
      </c>
      <c r="AD51" s="121">
        <f t="shared" ca="1" si="31"/>
        <v>1687110.6239103663</v>
      </c>
      <c r="AE51" s="121">
        <f t="shared" ca="1" si="31"/>
        <v>1687110.6239103663</v>
      </c>
      <c r="AF51" s="121">
        <f t="shared" ca="1" si="31"/>
        <v>1687110.6239103663</v>
      </c>
      <c r="AG51" s="121">
        <f t="shared" ca="1" si="31"/>
        <v>1687110.6239103663</v>
      </c>
      <c r="AH51" s="121">
        <f t="shared" ca="1" si="31"/>
        <v>1687110.6239103663</v>
      </c>
      <c r="AI51" s="121">
        <f t="shared" ca="1" si="31"/>
        <v>1687110.6239103663</v>
      </c>
      <c r="AJ51" s="121">
        <f t="shared" ca="1" si="31"/>
        <v>1687110.6239103663</v>
      </c>
      <c r="AK51" s="121">
        <f t="shared" ca="1" si="31"/>
        <v>1687110.6239103663</v>
      </c>
      <c r="AL51" s="121">
        <f t="shared" ca="1" si="31"/>
        <v>1687110.6239103663</v>
      </c>
      <c r="AM51" s="121">
        <f t="shared" ca="1" si="31"/>
        <v>1687110.6239103663</v>
      </c>
      <c r="AN51" s="121">
        <f t="shared" ca="1" si="31"/>
        <v>1687110.6239103663</v>
      </c>
      <c r="AO51" s="121">
        <f t="shared" ca="1" si="31"/>
        <v>1687110.6239103663</v>
      </c>
      <c r="AP51" s="121">
        <f t="shared" ca="1" si="31"/>
        <v>1687110.6239103663</v>
      </c>
      <c r="AQ51" s="121">
        <f t="shared" ca="1" si="31"/>
        <v>1687110.6239103663</v>
      </c>
      <c r="AR51" s="121">
        <f t="shared" ca="1" si="31"/>
        <v>1687110.6239103663</v>
      </c>
      <c r="AS51" s="121">
        <f t="shared" ca="1" si="31"/>
        <v>1687110.6239103663</v>
      </c>
      <c r="AT51" s="121">
        <f t="shared" ca="1" si="31"/>
        <v>1687110.6239103663</v>
      </c>
      <c r="AU51" s="121">
        <f t="shared" ca="1" si="31"/>
        <v>1687110.6239103663</v>
      </c>
      <c r="AX51" s="289"/>
    </row>
    <row r="52" spans="3:85" ht="15.75">
      <c r="C52" s="60" t="s">
        <v>93</v>
      </c>
      <c r="D52" s="324">
        <v>52</v>
      </c>
      <c r="E52" s="324">
        <v>100</v>
      </c>
      <c r="H52" s="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X52" s="289"/>
    </row>
    <row r="53" spans="3:85">
      <c r="AX53" s="289"/>
    </row>
    <row r="54" spans="3:85" ht="15.75">
      <c r="C54" s="60" t="s">
        <v>94</v>
      </c>
      <c r="D54" s="321">
        <v>280</v>
      </c>
      <c r="K54" s="8" t="s">
        <v>95</v>
      </c>
      <c r="L54" s="225">
        <f ca="1">SUM(M51:AU51)/G6</f>
        <v>1590704.3025440604</v>
      </c>
      <c r="O54" s="208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X54" s="289"/>
    </row>
    <row r="55" spans="3:85" ht="15.75">
      <c r="C55" s="60" t="s">
        <v>96</v>
      </c>
      <c r="D55" s="319">
        <v>0.25</v>
      </c>
      <c r="K55" s="8" t="s">
        <v>97</v>
      </c>
      <c r="L55" s="225">
        <f ca="1">L54/12</f>
        <v>132558.6918786717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X55" s="289"/>
    </row>
    <row r="56" spans="3:85" ht="15.75">
      <c r="C56" s="60" t="s">
        <v>98</v>
      </c>
      <c r="D56" s="319">
        <v>0.15</v>
      </c>
      <c r="AX56" s="289"/>
    </row>
    <row r="57" spans="3:85" ht="25.5">
      <c r="K57" s="232" t="s">
        <v>99</v>
      </c>
      <c r="L57" s="66" t="s">
        <v>100</v>
      </c>
      <c r="M57" s="66" t="s">
        <v>101</v>
      </c>
      <c r="N57" s="66" t="s">
        <v>102</v>
      </c>
      <c r="O57" s="12" t="s">
        <v>103</v>
      </c>
      <c r="P57" s="66" t="s">
        <v>104</v>
      </c>
      <c r="Q57" s="14" t="s">
        <v>105</v>
      </c>
      <c r="AX57" s="289"/>
    </row>
    <row r="58" spans="3:85">
      <c r="C58" s="60" t="s">
        <v>106</v>
      </c>
      <c r="L58" s="67"/>
      <c r="M58" s="67"/>
      <c r="N58" s="67"/>
      <c r="O58" s="13">
        <v>0.67220000000000002</v>
      </c>
      <c r="P58" s="67"/>
      <c r="Q58" s="15"/>
      <c r="AX58" s="289"/>
    </row>
    <row r="59" spans="3:85" ht="15.75">
      <c r="C59" s="344" t="s">
        <v>107</v>
      </c>
      <c r="D59" s="345" t="s">
        <v>108</v>
      </c>
      <c r="E59" s="345" t="s">
        <v>8</v>
      </c>
      <c r="F59" s="345" t="s">
        <v>109</v>
      </c>
      <c r="K59" t="s">
        <v>110</v>
      </c>
      <c r="L59" s="324">
        <v>1</v>
      </c>
      <c r="M59" s="324">
        <v>3.3</v>
      </c>
      <c r="N59" s="4">
        <f>M59*$D$68</f>
        <v>5114.5652974504255</v>
      </c>
      <c r="O59" s="4">
        <f>$O$58*N59</f>
        <v>3438.010792946176</v>
      </c>
      <c r="P59" s="4">
        <f>SUM(N59:O59)</f>
        <v>8552.576090396602</v>
      </c>
      <c r="Q59" s="4">
        <f>P59*L59</f>
        <v>8552.576090396602</v>
      </c>
    </row>
    <row r="60" spans="3:85" ht="15.75">
      <c r="C60" s="283" t="s">
        <v>111</v>
      </c>
      <c r="D60" s="346">
        <f>D52</f>
        <v>52</v>
      </c>
      <c r="E60" s="346">
        <f>D60*30</f>
        <v>1560</v>
      </c>
      <c r="F60" s="346">
        <f>D60*365</f>
        <v>18980</v>
      </c>
      <c r="K60" t="s">
        <v>112</v>
      </c>
      <c r="L60" s="324">
        <v>2</v>
      </c>
      <c r="M60" s="324">
        <v>2</v>
      </c>
      <c r="N60" s="4">
        <f t="shared" ref="N60:N66" si="32">M60*$D$68</f>
        <v>3099.7365439093487</v>
      </c>
      <c r="O60" s="4">
        <f>$O$58*N60</f>
        <v>2083.6429048158643</v>
      </c>
      <c r="P60" s="4">
        <f t="shared" ref="P60:P66" si="33">SUM(N60:O60)</f>
        <v>5183.3794487252126</v>
      </c>
      <c r="Q60" s="4">
        <f t="shared" ref="Q60:Q66" si="34">P60*L60</f>
        <v>10366.758897450425</v>
      </c>
      <c r="AX60" s="16"/>
    </row>
    <row r="61" spans="3:85" ht="15.75">
      <c r="C61" t="s">
        <v>113</v>
      </c>
      <c r="D61" s="343">
        <f>E52</f>
        <v>100</v>
      </c>
      <c r="E61" s="343">
        <f>D61*30</f>
        <v>3000</v>
      </c>
      <c r="F61" s="343">
        <f>D61*365</f>
        <v>36500</v>
      </c>
      <c r="K61" t="s">
        <v>114</v>
      </c>
      <c r="L61" s="324">
        <v>3</v>
      </c>
      <c r="M61" s="324">
        <v>0.6</v>
      </c>
      <c r="N61" s="4">
        <f t="shared" si="32"/>
        <v>929.92096317280459</v>
      </c>
      <c r="O61" s="4">
        <v>0</v>
      </c>
      <c r="P61" s="4">
        <f t="shared" si="33"/>
        <v>929.92096317280459</v>
      </c>
      <c r="Q61" s="4">
        <f t="shared" si="34"/>
        <v>2789.7628895184139</v>
      </c>
      <c r="AX61" s="16"/>
    </row>
    <row r="62" spans="3:85" ht="15.75">
      <c r="K62" t="s">
        <v>115</v>
      </c>
      <c r="L62" s="5">
        <f>ROUND(D52/12,0)</f>
        <v>4</v>
      </c>
      <c r="M62" s="324">
        <v>1.1000000000000001</v>
      </c>
      <c r="N62" s="4">
        <f t="shared" si="32"/>
        <v>1704.855099150142</v>
      </c>
      <c r="O62" s="4">
        <f>$O$58*N62</f>
        <v>1146.0035976487254</v>
      </c>
      <c r="P62" s="4">
        <f t="shared" si="33"/>
        <v>2850.8586967988676</v>
      </c>
      <c r="Q62" s="4">
        <f t="shared" si="34"/>
        <v>11403.434787195471</v>
      </c>
      <c r="S62" s="359"/>
    </row>
    <row r="63" spans="3:85" ht="15.75">
      <c r="C63" s="411" t="s">
        <v>116</v>
      </c>
      <c r="D63" s="411"/>
      <c r="K63" t="s">
        <v>117</v>
      </c>
      <c r="L63" s="324">
        <v>3</v>
      </c>
      <c r="M63" s="324">
        <v>1.2</v>
      </c>
      <c r="N63" s="4">
        <f t="shared" si="32"/>
        <v>1859.8419263456092</v>
      </c>
      <c r="O63" s="4">
        <f>$O$58*N63</f>
        <v>1250.1857428895185</v>
      </c>
      <c r="P63" s="4">
        <f t="shared" si="33"/>
        <v>3110.0276692351276</v>
      </c>
      <c r="Q63" s="4">
        <f t="shared" si="34"/>
        <v>9330.0830077053834</v>
      </c>
      <c r="S63" s="359"/>
      <c r="T63" s="359"/>
    </row>
    <row r="64" spans="3:85" ht="15.75">
      <c r="C64" s="61" t="s">
        <v>118</v>
      </c>
      <c r="D64" s="3">
        <v>1412</v>
      </c>
      <c r="H64" s="62"/>
      <c r="K64" t="s">
        <v>119</v>
      </c>
      <c r="L64" s="324">
        <v>2</v>
      </c>
      <c r="M64" s="324">
        <v>1.1000000000000001</v>
      </c>
      <c r="N64" s="4">
        <f t="shared" si="32"/>
        <v>1704.855099150142</v>
      </c>
      <c r="O64" s="4">
        <f>$O$58*N64</f>
        <v>1146.0035976487254</v>
      </c>
      <c r="P64" s="4">
        <f t="shared" si="33"/>
        <v>2850.8586967988676</v>
      </c>
      <c r="Q64" s="4">
        <f t="shared" si="34"/>
        <v>5701.7173935977353</v>
      </c>
      <c r="S64" s="359"/>
      <c r="T64" s="359"/>
    </row>
    <row r="65" spans="3:20" ht="15.75">
      <c r="C65" s="61" t="s">
        <v>120</v>
      </c>
      <c r="D65" s="3">
        <v>1457</v>
      </c>
      <c r="H65" s="6"/>
      <c r="K65" t="s">
        <v>121</v>
      </c>
      <c r="L65" s="324">
        <v>3</v>
      </c>
      <c r="M65" s="324">
        <v>1.8</v>
      </c>
      <c r="N65" s="4">
        <f t="shared" si="32"/>
        <v>2789.7628895184139</v>
      </c>
      <c r="O65" s="4">
        <f>$O$58*N65</f>
        <v>1875.2786143342778</v>
      </c>
      <c r="P65" s="4">
        <f t="shared" si="33"/>
        <v>4665.0415038526917</v>
      </c>
      <c r="Q65" s="4">
        <f t="shared" si="34"/>
        <v>13995.124511558075</v>
      </c>
      <c r="S65" s="359"/>
      <c r="T65" s="359"/>
    </row>
    <row r="66" spans="3:20" ht="15.75">
      <c r="C66" s="61" t="s">
        <v>122</v>
      </c>
      <c r="D66" s="16">
        <f>(D65-D64)/D64</f>
        <v>3.1869688385269122E-2</v>
      </c>
      <c r="H66" s="6"/>
      <c r="K66" t="s">
        <v>123</v>
      </c>
      <c r="L66" s="324">
        <v>3</v>
      </c>
      <c r="M66" s="324">
        <v>1.1000000000000001</v>
      </c>
      <c r="N66" s="4">
        <f t="shared" si="32"/>
        <v>1704.855099150142</v>
      </c>
      <c r="O66" s="4">
        <f>$O$58*N66</f>
        <v>1146.0035976487254</v>
      </c>
      <c r="P66" s="4">
        <f t="shared" si="33"/>
        <v>2850.8586967988676</v>
      </c>
      <c r="Q66" s="4">
        <f t="shared" si="34"/>
        <v>8552.5760903966038</v>
      </c>
      <c r="S66" s="359"/>
      <c r="T66" s="359"/>
    </row>
    <row r="67" spans="3:20" ht="15.75">
      <c r="C67" s="61" t="s">
        <v>124</v>
      </c>
      <c r="D67" s="3">
        <v>1502</v>
      </c>
      <c r="E67" s="20" t="s">
        <v>125</v>
      </c>
      <c r="H67" s="6"/>
      <c r="K67" s="8" t="s">
        <v>82</v>
      </c>
      <c r="L67" s="68">
        <f>SUM(L59:L66)</f>
        <v>21</v>
      </c>
      <c r="Q67" s="69">
        <f>SUM(Q59:Q66)</f>
        <v>70692.033667818701</v>
      </c>
      <c r="R67" s="69">
        <f>SUM(Q59:Q66)*12</f>
        <v>848304.40401382442</v>
      </c>
      <c r="S67" s="359"/>
      <c r="T67" s="359"/>
    </row>
    <row r="68" spans="3:20">
      <c r="C68" s="61" t="s">
        <v>126</v>
      </c>
      <c r="D68" s="3">
        <f>D67*(1+D66)</f>
        <v>1549.8682719546744</v>
      </c>
      <c r="Q68" s="70" t="s">
        <v>127</v>
      </c>
      <c r="R68" s="70" t="s">
        <v>128</v>
      </c>
      <c r="S68" s="359"/>
      <c r="T68" s="359"/>
    </row>
    <row r="69" spans="3:20">
      <c r="S69" s="359"/>
      <c r="T69" s="359"/>
    </row>
    <row r="70" spans="3:20">
      <c r="C70" s="228" t="s">
        <v>129</v>
      </c>
      <c r="D70" s="229"/>
      <c r="E70" s="229"/>
      <c r="F70" s="229"/>
      <c r="K70" s="60" t="s">
        <v>130</v>
      </c>
      <c r="L70" s="60"/>
      <c r="M70" s="60"/>
      <c r="N70" s="60"/>
      <c r="O70" s="60"/>
      <c r="P70" s="60"/>
      <c r="S70" s="359"/>
    </row>
    <row r="71" spans="3:20">
      <c r="C71" s="71" t="s">
        <v>131</v>
      </c>
      <c r="D71" s="71" t="s">
        <v>132</v>
      </c>
      <c r="E71" s="71" t="s">
        <v>133</v>
      </c>
      <c r="F71" s="71" t="s">
        <v>134</v>
      </c>
      <c r="G71" s="71"/>
      <c r="L71" s="57" t="s">
        <v>48</v>
      </c>
      <c r="M71" s="57" t="s">
        <v>46</v>
      </c>
    </row>
    <row r="72" spans="3:20" ht="15.75">
      <c r="C72" s="229" t="s">
        <v>87</v>
      </c>
      <c r="D72" s="5" t="s">
        <v>135</v>
      </c>
      <c r="E72" s="230">
        <f>Q67</f>
        <v>70692.033667818701</v>
      </c>
      <c r="F72" s="230">
        <f>R67</f>
        <v>848304.40401382442</v>
      </c>
      <c r="G72" s="16"/>
      <c r="K72" t="s">
        <v>136</v>
      </c>
      <c r="L72" s="4">
        <f>SUM(P72:P73)</f>
        <v>15174.44076560855</v>
      </c>
      <c r="M72" s="4">
        <f t="shared" ref="M72:M77" si="35">L72*12</f>
        <v>182093.28918730258</v>
      </c>
      <c r="O72" t="s">
        <v>137</v>
      </c>
      <c r="P72" s="322">
        <v>11957.67</v>
      </c>
    </row>
    <row r="73" spans="3:20" ht="15.75">
      <c r="C73" s="229" t="s">
        <v>88</v>
      </c>
      <c r="D73" s="5" t="s">
        <v>138</v>
      </c>
      <c r="E73" s="230">
        <f>L78</f>
        <v>44730.570765608551</v>
      </c>
      <c r="F73" s="230">
        <f>M78</f>
        <v>536766.84918730264</v>
      </c>
      <c r="G73" s="16"/>
      <c r="K73" t="s">
        <v>139</v>
      </c>
      <c r="L73" s="322">
        <v>2295.27</v>
      </c>
      <c r="M73" s="4">
        <f t="shared" si="35"/>
        <v>27543.239999999998</v>
      </c>
      <c r="O73" t="s">
        <v>140</v>
      </c>
      <c r="P73" s="4">
        <f>Capex!AU37/10/12</f>
        <v>3216.770765608549</v>
      </c>
    </row>
    <row r="74" spans="3:20" ht="23.45" customHeight="1">
      <c r="C74" s="370" t="s">
        <v>141</v>
      </c>
      <c r="D74" s="5" t="s">
        <v>138</v>
      </c>
      <c r="E74" s="322">
        <v>6591.9265341032733</v>
      </c>
      <c r="F74" s="231">
        <f>E74*12</f>
        <v>79103.11840923928</v>
      </c>
      <c r="G74" s="16"/>
      <c r="K74" t="s">
        <v>142</v>
      </c>
      <c r="L74" s="322">
        <v>6473.65</v>
      </c>
      <c r="M74" s="4">
        <f t="shared" si="35"/>
        <v>77683.799999999988</v>
      </c>
      <c r="P74" s="4"/>
    </row>
    <row r="75" spans="3:20" ht="15.75">
      <c r="C75" s="229" t="s">
        <v>143</v>
      </c>
      <c r="D75" s="5" t="s">
        <v>135</v>
      </c>
      <c r="E75" s="230">
        <f>F75/12</f>
        <v>453.76</v>
      </c>
      <c r="F75" s="230">
        <f>P94</f>
        <v>5445.12</v>
      </c>
      <c r="G75" s="16"/>
      <c r="K75" t="s">
        <v>144</v>
      </c>
      <c r="L75" s="322">
        <v>6390.56</v>
      </c>
      <c r="M75" s="4">
        <f t="shared" si="35"/>
        <v>76686.720000000001</v>
      </c>
    </row>
    <row r="76" spans="3:20" ht="15.75">
      <c r="C76" s="229" t="s">
        <v>145</v>
      </c>
      <c r="D76" s="5" t="s">
        <v>138</v>
      </c>
      <c r="E76" s="322">
        <v>2541.59</v>
      </c>
      <c r="F76" s="231">
        <f>E76*12</f>
        <v>30499.08</v>
      </c>
      <c r="G76" s="16"/>
      <c r="K76" t="s">
        <v>146</v>
      </c>
      <c r="L76" s="322">
        <v>6848.25</v>
      </c>
      <c r="M76" s="4">
        <f t="shared" si="35"/>
        <v>82179</v>
      </c>
    </row>
    <row r="77" spans="3:20" ht="15.75">
      <c r="C77" s="229" t="s">
        <v>89</v>
      </c>
      <c r="D77" s="5" t="s">
        <v>135</v>
      </c>
      <c r="E77" s="231">
        <f ca="1">F77/12</f>
        <v>6178.5207000000009</v>
      </c>
      <c r="F77" s="231">
        <f ca="1">L129</f>
        <v>74142.248400000011</v>
      </c>
      <c r="G77" s="16"/>
      <c r="K77" t="s">
        <v>147</v>
      </c>
      <c r="L77" s="322">
        <v>7548.4</v>
      </c>
      <c r="M77" s="4">
        <f t="shared" si="35"/>
        <v>90580.799999999988</v>
      </c>
    </row>
    <row r="78" spans="3:20">
      <c r="C78" s="229" t="s">
        <v>90</v>
      </c>
      <c r="D78" s="5" t="s">
        <v>135</v>
      </c>
      <c r="E78" s="355">
        <f ca="1">F78/12</f>
        <v>9404.1503249999987</v>
      </c>
      <c r="F78" s="355">
        <f ca="1">L150</f>
        <v>112849.80389999998</v>
      </c>
      <c r="G78" s="16"/>
      <c r="K78" t="s">
        <v>82</v>
      </c>
      <c r="L78" s="4">
        <f>SUM(L72:L77)</f>
        <v>44730.570765608551</v>
      </c>
      <c r="M78" s="4">
        <f>SUM(M72:M77)</f>
        <v>536766.84918730264</v>
      </c>
    </row>
    <row r="79" spans="3:20" ht="14.45" customHeight="1">
      <c r="C79" s="316"/>
      <c r="D79" s="5"/>
      <c r="E79" s="317"/>
      <c r="F79" s="317"/>
      <c r="G79" s="16"/>
    </row>
    <row r="80" spans="3:20">
      <c r="C80" s="229" t="s">
        <v>148</v>
      </c>
      <c r="D80" s="368"/>
      <c r="E80" s="315">
        <f ca="1">SUM(E72:E78)</f>
        <v>140592.5519925305</v>
      </c>
      <c r="F80" s="315">
        <f ca="1">SUM(F72:F78)</f>
        <v>1687110.6239103663</v>
      </c>
      <c r="G80" s="3"/>
      <c r="H80" s="71"/>
    </row>
    <row r="81" spans="3:16">
      <c r="H81" s="4"/>
      <c r="K81" s="60" t="s">
        <v>149</v>
      </c>
    </row>
    <row r="82" spans="3:16" ht="15.75">
      <c r="C82" s="299" t="s">
        <v>150</v>
      </c>
      <c r="H82" s="4"/>
      <c r="K82" s="75" t="s">
        <v>151</v>
      </c>
      <c r="L82" s="76" t="s">
        <v>152</v>
      </c>
      <c r="M82" s="77" t="s">
        <v>153</v>
      </c>
      <c r="N82" s="77" t="s">
        <v>154</v>
      </c>
      <c r="O82" s="78" t="s">
        <v>155</v>
      </c>
      <c r="P82" s="78" t="s">
        <v>156</v>
      </c>
    </row>
    <row r="83" spans="3:16">
      <c r="C83" s="19" t="s">
        <v>157</v>
      </c>
      <c r="D83" s="19" t="s">
        <v>158</v>
      </c>
      <c r="E83" s="19" t="s">
        <v>159</v>
      </c>
      <c r="F83" s="19" t="s">
        <v>160</v>
      </c>
      <c r="G83" s="19" t="s">
        <v>161</v>
      </c>
      <c r="H83" s="3"/>
      <c r="K83" s="79" t="s">
        <v>162</v>
      </c>
      <c r="L83" s="80" t="s">
        <v>163</v>
      </c>
      <c r="M83" s="81">
        <v>70</v>
      </c>
      <c r="N83" s="82">
        <f>SUM(M83:M84)</f>
        <v>125</v>
      </c>
      <c r="O83" s="79">
        <f>L66</f>
        <v>3</v>
      </c>
      <c r="P83" s="83">
        <f>N83*O83</f>
        <v>375</v>
      </c>
    </row>
    <row r="84" spans="3:16">
      <c r="C84" s="298" t="s">
        <v>164</v>
      </c>
      <c r="D84" s="3">
        <v>1600</v>
      </c>
      <c r="E84" s="3">
        <v>152</v>
      </c>
      <c r="F84" s="3">
        <f>SUM(D84:E84)</f>
        <v>1752</v>
      </c>
      <c r="G84" s="3">
        <f>F84/5</f>
        <v>350.4</v>
      </c>
      <c r="H84" s="4"/>
      <c r="K84" s="84"/>
      <c r="L84" s="85" t="s">
        <v>165</v>
      </c>
      <c r="M84" s="81">
        <v>55</v>
      </c>
      <c r="N84" s="86"/>
      <c r="O84" s="84"/>
      <c r="P84" s="87"/>
    </row>
    <row r="85" spans="3:16">
      <c r="C85" s="298" t="s">
        <v>166</v>
      </c>
      <c r="D85" s="3">
        <v>1400</v>
      </c>
      <c r="E85" s="3">
        <v>133</v>
      </c>
      <c r="F85" s="3">
        <f>SUM(D85:E85)</f>
        <v>1533</v>
      </c>
      <c r="G85" s="3">
        <f>F85/5</f>
        <v>306.60000000000002</v>
      </c>
      <c r="H85" s="3"/>
      <c r="K85" s="79" t="s">
        <v>115</v>
      </c>
      <c r="L85" s="80" t="s">
        <v>163</v>
      </c>
      <c r="M85" s="88">
        <v>67.89</v>
      </c>
      <c r="N85" s="82">
        <f>SUM(M85:M87)</f>
        <v>128.88999999999999</v>
      </c>
      <c r="O85" s="79">
        <f>L62</f>
        <v>4</v>
      </c>
      <c r="P85" s="83">
        <f>N85*O85</f>
        <v>515.55999999999995</v>
      </c>
    </row>
    <row r="86" spans="3:16" ht="24">
      <c r="C86" s="298" t="s">
        <v>167</v>
      </c>
      <c r="D86" s="3">
        <v>1750</v>
      </c>
      <c r="E86" s="3">
        <v>0</v>
      </c>
      <c r="F86" s="3">
        <f>SUM(D86:E86)</f>
        <v>1750</v>
      </c>
      <c r="G86" s="3">
        <f>F86/5</f>
        <v>350</v>
      </c>
      <c r="H86" s="3"/>
      <c r="K86" s="89"/>
      <c r="L86" s="90" t="s">
        <v>168</v>
      </c>
      <c r="M86" s="81">
        <v>6</v>
      </c>
      <c r="N86" s="91"/>
      <c r="O86" s="89"/>
      <c r="P86" s="87"/>
    </row>
    <row r="87" spans="3:16">
      <c r="C87" s="298" t="s">
        <v>169</v>
      </c>
      <c r="D87" s="3">
        <v>1150</v>
      </c>
      <c r="E87" s="3">
        <v>110</v>
      </c>
      <c r="F87" s="3">
        <f>SUM(D87:E87)</f>
        <v>1260</v>
      </c>
      <c r="G87" s="3">
        <f>F87/5</f>
        <v>252</v>
      </c>
      <c r="H87" s="3"/>
      <c r="K87" s="84"/>
      <c r="L87" s="85" t="s">
        <v>165</v>
      </c>
      <c r="M87" s="81">
        <v>55</v>
      </c>
      <c r="N87" s="86"/>
      <c r="O87" s="84"/>
      <c r="P87" s="87"/>
    </row>
    <row r="88" spans="3:16" ht="48">
      <c r="C88" s="298" t="s">
        <v>170</v>
      </c>
      <c r="D88" s="3">
        <v>3892</v>
      </c>
      <c r="E88" s="3">
        <v>371</v>
      </c>
      <c r="F88" s="3">
        <f>SUM(D88:E88)</f>
        <v>4263</v>
      </c>
      <c r="G88" s="3">
        <v>692</v>
      </c>
      <c r="H88" s="3"/>
      <c r="K88" s="92" t="s">
        <v>121</v>
      </c>
      <c r="L88" s="85" t="s">
        <v>171</v>
      </c>
      <c r="M88" s="81">
        <v>289</v>
      </c>
      <c r="N88" s="93">
        <f>SUM(M88:M90)</f>
        <v>429</v>
      </c>
      <c r="O88" s="92">
        <f>L65</f>
        <v>3</v>
      </c>
      <c r="P88" s="94">
        <f>N88*O88</f>
        <v>1287</v>
      </c>
    </row>
    <row r="89" spans="3:16">
      <c r="C89" s="298" t="s">
        <v>172</v>
      </c>
      <c r="D89" s="3">
        <v>0</v>
      </c>
      <c r="E89" s="3">
        <v>0</v>
      </c>
      <c r="F89" s="3">
        <v>0</v>
      </c>
      <c r="G89" s="3">
        <v>265.8</v>
      </c>
      <c r="H89" s="3"/>
      <c r="K89" s="95"/>
      <c r="L89" s="90" t="s">
        <v>173</v>
      </c>
      <c r="M89" s="81">
        <v>90</v>
      </c>
      <c r="N89" s="96"/>
      <c r="O89" s="95"/>
      <c r="P89" s="97"/>
    </row>
    <row r="90" spans="3:16">
      <c r="C90" s="298" t="s">
        <v>174</v>
      </c>
      <c r="D90" s="3">
        <v>0</v>
      </c>
      <c r="E90" s="3">
        <v>0</v>
      </c>
      <c r="F90" s="3">
        <v>0</v>
      </c>
      <c r="G90" s="3">
        <v>230</v>
      </c>
      <c r="H90" s="3"/>
      <c r="K90" s="98"/>
      <c r="L90" s="90" t="s">
        <v>175</v>
      </c>
      <c r="M90" s="81">
        <v>50</v>
      </c>
      <c r="N90" s="99"/>
      <c r="O90" s="98"/>
      <c r="P90" s="97"/>
    </row>
    <row r="91" spans="3:16">
      <c r="C91" s="298" t="s">
        <v>176</v>
      </c>
      <c r="D91" s="3">
        <v>0</v>
      </c>
      <c r="E91" s="3">
        <v>0</v>
      </c>
      <c r="F91" s="3">
        <v>0</v>
      </c>
      <c r="G91" s="3">
        <v>756</v>
      </c>
      <c r="H91" s="3"/>
      <c r="K91" s="92" t="s">
        <v>117</v>
      </c>
      <c r="L91" s="80" t="s">
        <v>177</v>
      </c>
      <c r="M91" s="81">
        <v>65</v>
      </c>
      <c r="N91" s="93">
        <f>SUM(M91:M92)</f>
        <v>135</v>
      </c>
      <c r="O91" s="92">
        <f>L63</f>
        <v>3</v>
      </c>
      <c r="P91" s="94">
        <f>N91*O91</f>
        <v>405</v>
      </c>
    </row>
    <row r="92" spans="3:16">
      <c r="C92" s="298" t="s">
        <v>172</v>
      </c>
      <c r="D92" s="3">
        <v>0</v>
      </c>
      <c r="E92" s="3">
        <v>0</v>
      </c>
      <c r="F92" s="3">
        <v>0</v>
      </c>
      <c r="G92" s="3">
        <v>208</v>
      </c>
      <c r="H92" s="3"/>
      <c r="K92" s="98"/>
      <c r="L92" s="80" t="s">
        <v>178</v>
      </c>
      <c r="M92" s="81">
        <v>70</v>
      </c>
      <c r="N92" s="99"/>
      <c r="O92" s="98"/>
      <c r="P92" s="97"/>
    </row>
    <row r="93" spans="3:16" ht="48">
      <c r="F93" s="8" t="s">
        <v>19</v>
      </c>
      <c r="G93" s="295">
        <f>AVERAGE(G84:G92)</f>
        <v>378.97777777777782</v>
      </c>
      <c r="K93" s="87" t="s">
        <v>119</v>
      </c>
      <c r="L93" s="80" t="s">
        <v>179</v>
      </c>
      <c r="M93" s="81">
        <v>70</v>
      </c>
      <c r="N93" s="83">
        <f>SUM(M93)</f>
        <v>70</v>
      </c>
      <c r="O93" s="87">
        <f>L64</f>
        <v>2</v>
      </c>
      <c r="P93" s="83">
        <f>N93*O93</f>
        <v>140</v>
      </c>
    </row>
    <row r="94" spans="3:16">
      <c r="G94" s="16">
        <f>1- D54/G93</f>
        <v>0.26117039990618041</v>
      </c>
      <c r="K94" s="100"/>
      <c r="L94" s="100"/>
      <c r="M94" s="100"/>
      <c r="N94" s="100"/>
      <c r="O94" s="101">
        <f>SUM(O83:O93)</f>
        <v>15</v>
      </c>
      <c r="P94" s="102">
        <f>SUM(P83:P93)*2</f>
        <v>5445.12</v>
      </c>
    </row>
    <row r="96" spans="3:16">
      <c r="C96" s="342" t="s">
        <v>180</v>
      </c>
      <c r="D96" s="342"/>
      <c r="E96" s="342"/>
      <c r="F96" s="342"/>
      <c r="G96" s="342"/>
      <c r="K96" s="411" t="s">
        <v>181</v>
      </c>
      <c r="L96" s="411"/>
      <c r="M96" s="411"/>
    </row>
    <row r="97" spans="2:18">
      <c r="C97" s="342" t="s">
        <v>182</v>
      </c>
      <c r="D97" s="342"/>
      <c r="E97" s="342"/>
      <c r="F97" s="342"/>
      <c r="G97" s="342"/>
      <c r="K97" s="19" t="s">
        <v>183</v>
      </c>
      <c r="L97" s="19"/>
      <c r="M97" s="19" t="s">
        <v>184</v>
      </c>
      <c r="N97" s="19" t="s">
        <v>185</v>
      </c>
      <c r="O97" s="19" t="s">
        <v>186</v>
      </c>
      <c r="P97" s="19" t="s">
        <v>187</v>
      </c>
      <c r="Q97" s="19" t="s">
        <v>188</v>
      </c>
      <c r="R97" s="19" t="s">
        <v>189</v>
      </c>
    </row>
    <row r="98" spans="2:18">
      <c r="K98" t="s">
        <v>190</v>
      </c>
      <c r="L98" t="s">
        <v>191</v>
      </c>
      <c r="M98" s="20" t="s">
        <v>192</v>
      </c>
      <c r="N98">
        <v>20</v>
      </c>
      <c r="O98">
        <v>5</v>
      </c>
      <c r="P98">
        <v>30</v>
      </c>
      <c r="Q98">
        <f>(N98*O98*P98)/1000</f>
        <v>3</v>
      </c>
      <c r="R98" s="3">
        <v>21</v>
      </c>
    </row>
    <row r="99" spans="2:18">
      <c r="K99" t="s">
        <v>190</v>
      </c>
      <c r="L99" t="s">
        <v>191</v>
      </c>
      <c r="M99" s="20" t="s">
        <v>193</v>
      </c>
      <c r="N99">
        <v>20</v>
      </c>
      <c r="O99">
        <v>3</v>
      </c>
      <c r="P99">
        <v>30</v>
      </c>
      <c r="Q99">
        <f>(N99*O99*P99)/1000</f>
        <v>1.8</v>
      </c>
      <c r="R99" s="3">
        <v>21</v>
      </c>
    </row>
    <row r="100" spans="2:18">
      <c r="B100" s="358"/>
      <c r="C100" s="358"/>
      <c r="D100" s="358"/>
      <c r="E100" s="358"/>
      <c r="F100" s="358"/>
      <c r="G100" s="358"/>
      <c r="H100" s="358"/>
      <c r="K100" t="s">
        <v>190</v>
      </c>
      <c r="L100" t="s">
        <v>191</v>
      </c>
      <c r="M100" s="21" t="s">
        <v>194</v>
      </c>
      <c r="N100">
        <v>1063</v>
      </c>
      <c r="O100">
        <v>5</v>
      </c>
      <c r="P100">
        <v>30</v>
      </c>
      <c r="Q100">
        <f>(N100*O100*P100)/1000</f>
        <v>159.44999999999999</v>
      </c>
      <c r="R100" s="3">
        <v>2849.9</v>
      </c>
    </row>
    <row r="101" spans="2:18">
      <c r="B101" s="358"/>
      <c r="C101" s="358"/>
      <c r="D101" s="358"/>
      <c r="E101" s="358"/>
      <c r="F101" s="358"/>
      <c r="G101" s="358"/>
      <c r="H101" s="358"/>
      <c r="K101" t="s">
        <v>190</v>
      </c>
      <c r="L101" t="s">
        <v>191</v>
      </c>
      <c r="M101" s="20" t="s">
        <v>195</v>
      </c>
      <c r="N101">
        <v>48</v>
      </c>
      <c r="O101">
        <v>3</v>
      </c>
      <c r="P101">
        <v>30</v>
      </c>
      <c r="Q101">
        <f>(N101*O101*P101)/1000</f>
        <v>4.32</v>
      </c>
      <c r="R101" s="3">
        <v>1198.9000000000001</v>
      </c>
    </row>
    <row r="102" spans="2:18" ht="25.5" customHeight="1">
      <c r="B102" s="358"/>
      <c r="C102" s="358"/>
      <c r="D102" s="358"/>
      <c r="E102" s="358"/>
      <c r="F102" s="358"/>
      <c r="G102" s="358"/>
      <c r="H102" s="358"/>
      <c r="K102" t="s">
        <v>190</v>
      </c>
      <c r="L102" t="s">
        <v>191</v>
      </c>
      <c r="M102" s="21" t="s">
        <v>196</v>
      </c>
      <c r="N102">
        <v>25</v>
      </c>
      <c r="O102">
        <v>24</v>
      </c>
      <c r="P102">
        <v>30</v>
      </c>
      <c r="Q102">
        <f>(N102*O102*P102)/1000</f>
        <v>18</v>
      </c>
      <c r="R102" s="3">
        <v>729.81</v>
      </c>
    </row>
    <row r="103" spans="2:18">
      <c r="B103" s="358"/>
      <c r="C103" s="358"/>
      <c r="D103" s="358"/>
      <c r="E103" s="358"/>
      <c r="F103" s="358"/>
      <c r="G103" s="358"/>
      <c r="H103" s="358"/>
      <c r="K103" s="22" t="s">
        <v>82</v>
      </c>
      <c r="L103" s="22"/>
      <c r="M103" s="22"/>
      <c r="N103" s="22"/>
      <c r="O103" s="22"/>
      <c r="P103" s="22"/>
      <c r="Q103" s="17">
        <f>SUM(Q98:Q102)</f>
        <v>186.57</v>
      </c>
      <c r="R103" s="18">
        <f>SUM(R98:R102)</f>
        <v>4820.6100000000006</v>
      </c>
    </row>
    <row r="104" spans="2:18">
      <c r="B104" s="358"/>
      <c r="C104" s="358"/>
      <c r="D104" s="358"/>
      <c r="E104" s="358"/>
      <c r="F104" s="358"/>
      <c r="G104" s="358"/>
      <c r="H104" s="358"/>
    </row>
    <row r="105" spans="2:18">
      <c r="B105" s="358"/>
      <c r="C105" s="358"/>
      <c r="D105" s="358"/>
      <c r="E105" s="358"/>
      <c r="F105" s="358"/>
      <c r="G105" s="358"/>
      <c r="H105" s="358"/>
    </row>
    <row r="106" spans="2:18">
      <c r="B106" s="358"/>
      <c r="C106" s="358"/>
      <c r="D106" s="358"/>
      <c r="E106" s="358"/>
      <c r="F106" s="358"/>
      <c r="G106" s="358"/>
      <c r="H106" s="358"/>
      <c r="K106" s="65" t="s">
        <v>197</v>
      </c>
      <c r="L106" s="65"/>
      <c r="M106" s="65"/>
      <c r="N106" s="31" t="s">
        <v>198</v>
      </c>
      <c r="O106" s="32">
        <v>0</v>
      </c>
    </row>
    <row r="107" spans="2:18">
      <c r="B107" s="358"/>
      <c r="C107" s="358"/>
      <c r="D107" s="358"/>
      <c r="E107" s="358"/>
      <c r="F107" s="358"/>
      <c r="G107" s="358"/>
      <c r="H107" s="358"/>
      <c r="K107" s="23" t="s">
        <v>131</v>
      </c>
      <c r="L107" s="23" t="s">
        <v>199</v>
      </c>
      <c r="M107" s="23" t="s">
        <v>200</v>
      </c>
      <c r="N107" s="31" t="s">
        <v>201</v>
      </c>
      <c r="O107" s="31">
        <v>2.989E-2</v>
      </c>
    </row>
    <row r="108" spans="2:18" ht="15.75">
      <c r="B108" s="358"/>
      <c r="C108" s="358"/>
      <c r="D108" s="358"/>
      <c r="E108" s="358"/>
      <c r="F108" s="358"/>
      <c r="G108" s="358"/>
      <c r="H108" s="358"/>
      <c r="K108" s="24" t="s">
        <v>202</v>
      </c>
      <c r="L108" s="324">
        <v>0.74309999999999998</v>
      </c>
      <c r="M108" s="24" t="s">
        <v>203</v>
      </c>
      <c r="N108" s="31" t="s">
        <v>204</v>
      </c>
      <c r="O108" s="31">
        <v>6.5000000000000002E-2</v>
      </c>
    </row>
    <row r="109" spans="2:18" ht="16.5" thickBot="1">
      <c r="B109" s="358"/>
      <c r="C109" s="358"/>
      <c r="D109" s="358"/>
      <c r="E109" s="358"/>
      <c r="F109" s="358"/>
      <c r="G109" s="358"/>
      <c r="H109" s="358"/>
      <c r="K109" s="24" t="s">
        <v>205</v>
      </c>
      <c r="L109" s="324">
        <v>800</v>
      </c>
      <c r="M109" s="25" t="s">
        <v>206</v>
      </c>
      <c r="N109" s="31" t="s">
        <v>207</v>
      </c>
      <c r="O109" s="31">
        <v>9.7949999999999995E-2</v>
      </c>
    </row>
    <row r="110" spans="2:18" ht="15.75" thickBot="1">
      <c r="B110" s="358"/>
      <c r="C110" s="358"/>
      <c r="D110" s="358"/>
      <c r="E110" s="358"/>
      <c r="F110" s="358"/>
      <c r="G110" s="358"/>
      <c r="H110" s="358"/>
      <c r="K110" s="24" t="s">
        <v>208</v>
      </c>
      <c r="L110" s="26">
        <f>VLOOKUP(M110,N106:O109,2, FALSE)</f>
        <v>9.7949999999999995E-2</v>
      </c>
      <c r="M110" s="27" t="s">
        <v>207</v>
      </c>
    </row>
    <row r="111" spans="2:18">
      <c r="B111" s="358"/>
      <c r="C111" s="358"/>
      <c r="D111" s="358"/>
      <c r="E111" s="358"/>
      <c r="F111" s="358"/>
      <c r="G111" s="358"/>
      <c r="H111" s="358"/>
      <c r="K111" s="28" t="s">
        <v>82</v>
      </c>
      <c r="L111" s="29">
        <f>(L108+L110)*L109</f>
        <v>672.83999999999992</v>
      </c>
      <c r="M111" s="28" t="s">
        <v>209</v>
      </c>
    </row>
    <row r="112" spans="2:18">
      <c r="B112" s="358"/>
      <c r="C112" s="358"/>
      <c r="D112" s="358"/>
      <c r="E112" s="358"/>
      <c r="F112" s="358"/>
      <c r="G112" s="358"/>
      <c r="H112" s="358"/>
      <c r="K112" s="65" t="s">
        <v>210</v>
      </c>
      <c r="L112" s="65"/>
      <c r="M112" s="65"/>
    </row>
    <row r="113" spans="2:23">
      <c r="B113" s="358"/>
      <c r="C113" s="358"/>
      <c r="D113" s="358"/>
      <c r="E113" s="358"/>
      <c r="F113" s="358"/>
      <c r="G113" s="358"/>
      <c r="H113" s="358"/>
      <c r="K113" s="29" t="s">
        <v>211</v>
      </c>
      <c r="L113" s="26">
        <f>Q103</f>
        <v>186.57</v>
      </c>
      <c r="M113" s="30" t="s">
        <v>212</v>
      </c>
    </row>
    <row r="114" spans="2:23">
      <c r="B114" s="358"/>
      <c r="C114" s="358"/>
      <c r="D114" s="358"/>
      <c r="E114" s="358"/>
      <c r="F114" s="358"/>
      <c r="G114" s="358"/>
      <c r="H114" s="358"/>
    </row>
    <row r="115" spans="2:23">
      <c r="B115" s="358"/>
      <c r="C115" s="358"/>
      <c r="D115" s="358"/>
      <c r="E115" s="358"/>
      <c r="F115" s="358"/>
      <c r="G115" s="358"/>
      <c r="H115" s="358"/>
    </row>
    <row r="116" spans="2:23">
      <c r="B116" s="358"/>
      <c r="C116" s="358"/>
      <c r="D116" s="358"/>
      <c r="E116" s="358"/>
      <c r="F116" s="358"/>
      <c r="G116" s="358"/>
      <c r="H116" s="358"/>
    </row>
    <row r="117" spans="2:23">
      <c r="B117" s="358"/>
      <c r="C117" s="358"/>
      <c r="D117" s="358"/>
      <c r="E117" s="358"/>
      <c r="F117" s="358"/>
      <c r="G117" s="358"/>
      <c r="H117" s="358"/>
      <c r="L117" s="5" t="str">
        <f t="shared" ref="L117:W117" si="36">L9</f>
        <v>Média</v>
      </c>
      <c r="M117" s="5" t="str">
        <f t="shared" si="36"/>
        <v>Baixa</v>
      </c>
      <c r="N117" s="5" t="str">
        <f t="shared" si="36"/>
        <v>Alta</v>
      </c>
      <c r="O117" s="5" t="str">
        <f t="shared" si="36"/>
        <v>Alta</v>
      </c>
      <c r="P117" s="5" t="str">
        <f t="shared" si="36"/>
        <v>Média</v>
      </c>
      <c r="Q117" s="5" t="str">
        <f t="shared" si="36"/>
        <v>Alta</v>
      </c>
      <c r="R117" s="5" t="str">
        <f t="shared" si="36"/>
        <v>Alta</v>
      </c>
      <c r="S117" s="5" t="str">
        <f t="shared" si="36"/>
        <v>Média</v>
      </c>
      <c r="T117" s="5" t="str">
        <f t="shared" si="36"/>
        <v>Baixa</v>
      </c>
      <c r="U117" s="5" t="str">
        <f t="shared" si="36"/>
        <v>Baixa</v>
      </c>
      <c r="V117" s="5" t="str">
        <f t="shared" si="36"/>
        <v>Média</v>
      </c>
      <c r="W117" s="5" t="str">
        <f t="shared" si="36"/>
        <v>Alta</v>
      </c>
    </row>
    <row r="118" spans="2:23">
      <c r="B118" s="358"/>
      <c r="C118" s="358"/>
      <c r="D118" s="358"/>
      <c r="E118" s="358"/>
      <c r="F118" s="358"/>
      <c r="G118" s="358"/>
      <c r="H118" s="358"/>
      <c r="L118" s="57" t="s">
        <v>59</v>
      </c>
      <c r="M118" s="57" t="s">
        <v>60</v>
      </c>
      <c r="N118" s="57" t="s">
        <v>62</v>
      </c>
      <c r="O118" s="57" t="s">
        <v>64</v>
      </c>
      <c r="P118" s="57" t="s">
        <v>67</v>
      </c>
      <c r="Q118" s="57" t="s">
        <v>69</v>
      </c>
      <c r="R118" s="57" t="s">
        <v>72</v>
      </c>
      <c r="S118" s="57" t="s">
        <v>74</v>
      </c>
      <c r="T118" s="57" t="s">
        <v>77</v>
      </c>
      <c r="U118" s="57" t="s">
        <v>79</v>
      </c>
      <c r="V118" s="57" t="s">
        <v>81</v>
      </c>
      <c r="W118" s="57" t="s">
        <v>83</v>
      </c>
    </row>
    <row r="119" spans="2:23">
      <c r="B119" s="358"/>
      <c r="C119" s="358"/>
      <c r="D119" s="358"/>
      <c r="E119" s="358"/>
      <c r="F119" s="358"/>
      <c r="G119" s="358"/>
      <c r="H119" s="358"/>
      <c r="K119" s="8" t="s">
        <v>213</v>
      </c>
      <c r="L119" s="4">
        <f t="shared" ref="L119:W119" si="37">$L$113*L182</f>
        <v>5432.9184000000005</v>
      </c>
      <c r="M119" s="4">
        <f t="shared" si="37"/>
        <v>4268.7215999999999</v>
      </c>
      <c r="N119" s="4">
        <f t="shared" si="37"/>
        <v>6306.0660000000007</v>
      </c>
      <c r="O119" s="4">
        <f t="shared" si="37"/>
        <v>6306.0660000000007</v>
      </c>
      <c r="P119" s="4">
        <f t="shared" si="37"/>
        <v>5432.9184000000005</v>
      </c>
      <c r="Q119" s="4">
        <f t="shared" si="37"/>
        <v>6306.0660000000007</v>
      </c>
      <c r="R119" s="4">
        <f t="shared" si="37"/>
        <v>6306.0660000000007</v>
      </c>
      <c r="S119" s="4">
        <f t="shared" si="37"/>
        <v>5432.9184000000005</v>
      </c>
      <c r="T119" s="4">
        <f t="shared" si="37"/>
        <v>4268.7215999999999</v>
      </c>
      <c r="U119" s="4">
        <f t="shared" si="37"/>
        <v>4268.7215999999999</v>
      </c>
      <c r="V119" s="4">
        <f t="shared" si="37"/>
        <v>5432.9184000000005</v>
      </c>
      <c r="W119" s="4">
        <f t="shared" si="37"/>
        <v>6306.0660000000007</v>
      </c>
    </row>
    <row r="120" spans="2:23">
      <c r="B120" s="358"/>
      <c r="C120" s="358"/>
      <c r="D120" s="358"/>
      <c r="E120" s="358"/>
      <c r="F120" s="358"/>
      <c r="G120" s="358"/>
      <c r="H120" s="358"/>
      <c r="K120" t="s">
        <v>214</v>
      </c>
      <c r="L120" s="4">
        <f t="shared" ref="L120:W120" si="38">$L$111</f>
        <v>672.83999999999992</v>
      </c>
      <c r="M120" s="4">
        <f t="shared" si="38"/>
        <v>672.83999999999992</v>
      </c>
      <c r="N120" s="4">
        <f t="shared" si="38"/>
        <v>672.83999999999992</v>
      </c>
      <c r="O120" s="4">
        <f t="shared" si="38"/>
        <v>672.83999999999992</v>
      </c>
      <c r="P120" s="4">
        <f t="shared" si="38"/>
        <v>672.83999999999992</v>
      </c>
      <c r="Q120" s="4">
        <f t="shared" si="38"/>
        <v>672.83999999999992</v>
      </c>
      <c r="R120" s="4">
        <f t="shared" si="38"/>
        <v>672.83999999999992</v>
      </c>
      <c r="S120" s="4">
        <f t="shared" si="38"/>
        <v>672.83999999999992</v>
      </c>
      <c r="T120" s="4">
        <f t="shared" si="38"/>
        <v>672.83999999999992</v>
      </c>
      <c r="U120" s="4">
        <f t="shared" si="38"/>
        <v>672.83999999999992</v>
      </c>
      <c r="V120" s="4">
        <f t="shared" si="38"/>
        <v>672.83999999999992</v>
      </c>
      <c r="W120" s="4">
        <f t="shared" si="38"/>
        <v>672.83999999999992</v>
      </c>
    </row>
    <row r="121" spans="2:23">
      <c r="B121" s="358"/>
      <c r="C121" s="358"/>
      <c r="D121" s="358"/>
      <c r="E121" s="358"/>
      <c r="F121" s="358"/>
      <c r="G121" s="358"/>
      <c r="H121" s="358"/>
      <c r="K121" t="s">
        <v>82</v>
      </c>
      <c r="L121" s="4">
        <f t="shared" ref="L121:W121" si="39">SUM(L119,L120)</f>
        <v>6105.7584000000006</v>
      </c>
      <c r="M121" s="4">
        <f t="shared" si="39"/>
        <v>4941.5616</v>
      </c>
      <c r="N121" s="4">
        <f t="shared" si="39"/>
        <v>6978.9060000000009</v>
      </c>
      <c r="O121" s="4">
        <f t="shared" si="39"/>
        <v>6978.9060000000009</v>
      </c>
      <c r="P121" s="4">
        <f t="shared" si="39"/>
        <v>6105.7584000000006</v>
      </c>
      <c r="Q121" s="4">
        <f t="shared" si="39"/>
        <v>6978.9060000000009</v>
      </c>
      <c r="R121" s="4">
        <f t="shared" si="39"/>
        <v>6978.9060000000009</v>
      </c>
      <c r="S121" s="4">
        <f t="shared" si="39"/>
        <v>6105.7584000000006</v>
      </c>
      <c r="T121" s="4">
        <f t="shared" si="39"/>
        <v>4941.5616</v>
      </c>
      <c r="U121" s="4">
        <f t="shared" si="39"/>
        <v>4941.5616</v>
      </c>
      <c r="V121" s="4">
        <f t="shared" si="39"/>
        <v>6105.7584000000006</v>
      </c>
      <c r="W121" s="4">
        <f t="shared" si="39"/>
        <v>6978.9060000000009</v>
      </c>
    </row>
    <row r="122" spans="2:23">
      <c r="B122" s="358"/>
      <c r="C122" s="358"/>
      <c r="D122" s="358"/>
      <c r="E122" s="358"/>
      <c r="F122" s="358"/>
      <c r="G122" s="358"/>
      <c r="H122" s="358"/>
      <c r="K122" s="224" t="s">
        <v>215</v>
      </c>
    </row>
    <row r="123" spans="2:23">
      <c r="B123" s="358"/>
      <c r="C123" s="358"/>
      <c r="D123" s="358"/>
      <c r="E123" s="358"/>
      <c r="F123" s="358"/>
      <c r="G123" s="358"/>
      <c r="H123" s="358"/>
    </row>
    <row r="124" spans="2:23">
      <c r="B124" s="358"/>
      <c r="C124" s="358"/>
      <c r="D124" s="358"/>
      <c r="E124" s="358"/>
      <c r="F124" s="358"/>
      <c r="G124" s="358"/>
      <c r="H124" s="358"/>
    </row>
    <row r="125" spans="2:23">
      <c r="B125" s="358"/>
      <c r="C125" s="358"/>
      <c r="D125" s="358"/>
      <c r="E125" s="358"/>
      <c r="F125" s="358"/>
      <c r="G125" s="358"/>
      <c r="H125" s="358"/>
      <c r="L125" s="57" t="s">
        <v>216</v>
      </c>
      <c r="M125" s="57" t="s">
        <v>217</v>
      </c>
      <c r="N125" s="57" t="s">
        <v>218</v>
      </c>
    </row>
    <row r="126" spans="2:23">
      <c r="B126" s="358"/>
      <c r="C126" s="358"/>
      <c r="D126" s="358"/>
      <c r="E126" s="358"/>
      <c r="F126" s="358"/>
      <c r="G126" s="358"/>
      <c r="H126" s="358"/>
      <c r="K126" s="5" t="s">
        <v>15</v>
      </c>
      <c r="L126" s="3">
        <f ca="1">SUMIF($L$117:$W$119,$K126,$L$121:$W$121)</f>
        <v>34894.530000000006</v>
      </c>
      <c r="M126" s="57">
        <f>E46</f>
        <v>5</v>
      </c>
      <c r="N126" s="4">
        <f ca="1">L126/M126</f>
        <v>6978.9060000000009</v>
      </c>
    </row>
    <row r="127" spans="2:23">
      <c r="B127" s="358"/>
      <c r="C127" s="358"/>
      <c r="D127" s="358"/>
      <c r="E127" s="358"/>
      <c r="F127" s="358"/>
      <c r="G127" s="358"/>
      <c r="H127" s="358"/>
      <c r="K127" s="5" t="s">
        <v>19</v>
      </c>
      <c r="L127" s="3">
        <f ca="1">SUMIF($L$117:$W$119,$K127,$L$121:$W$121)</f>
        <v>24423.033600000002</v>
      </c>
      <c r="M127" s="57">
        <f>E47</f>
        <v>4</v>
      </c>
      <c r="N127" s="4">
        <f ca="1">L127/M127</f>
        <v>6105.7584000000006</v>
      </c>
    </row>
    <row r="128" spans="2:23">
      <c r="B128" s="358"/>
      <c r="C128" s="358"/>
      <c r="D128" s="358"/>
      <c r="E128" s="358"/>
      <c r="F128" s="358"/>
      <c r="G128" s="358"/>
      <c r="H128" s="358"/>
      <c r="K128" s="5" t="s">
        <v>22</v>
      </c>
      <c r="L128" s="3">
        <f ca="1">SUMIF($L$117:$W$119,$K128,$L$121:$W$121)</f>
        <v>14824.684799999999</v>
      </c>
      <c r="M128" s="57">
        <f>E48</f>
        <v>3</v>
      </c>
      <c r="N128" s="4">
        <f ca="1">L128/M128</f>
        <v>4941.5616</v>
      </c>
    </row>
    <row r="129" spans="2:23">
      <c r="B129" s="358"/>
      <c r="C129" s="358"/>
      <c r="D129" s="358"/>
      <c r="E129" s="358"/>
      <c r="F129" s="358"/>
      <c r="G129" s="358"/>
      <c r="H129" s="358"/>
      <c r="K129" t="s">
        <v>82</v>
      </c>
      <c r="L129" s="4">
        <f ca="1">SUM(L126:L128)</f>
        <v>74142.248400000011</v>
      </c>
      <c r="M129" s="57">
        <f>SUM(M126:M128)</f>
        <v>12</v>
      </c>
      <c r="N129" s="4">
        <f ca="1">N126*M126+N127*M127+N128*M128</f>
        <v>74142.248400000011</v>
      </c>
    </row>
    <row r="130" spans="2:23">
      <c r="B130" s="358"/>
      <c r="C130" s="358"/>
      <c r="D130" s="358"/>
      <c r="E130" s="358"/>
      <c r="F130" s="358"/>
      <c r="G130" s="358"/>
      <c r="H130" s="358"/>
      <c r="K130" t="s">
        <v>219</v>
      </c>
      <c r="L130" s="4">
        <f ca="1">L129/12</f>
        <v>6178.5207000000009</v>
      </c>
      <c r="N130" s="4">
        <f ca="1">N129/M129</f>
        <v>6178.5207000000009</v>
      </c>
    </row>
    <row r="131" spans="2:23">
      <c r="B131" s="358"/>
      <c r="C131" s="358"/>
      <c r="D131" s="358"/>
      <c r="E131" s="358"/>
      <c r="F131" s="358"/>
      <c r="G131" s="358"/>
      <c r="H131" s="358"/>
    </row>
    <row r="132" spans="2:23">
      <c r="B132" s="358"/>
      <c r="C132" s="358"/>
      <c r="D132" s="358"/>
      <c r="E132" s="358"/>
      <c r="F132" s="358"/>
      <c r="G132" s="358"/>
      <c r="H132" s="358"/>
      <c r="K132" s="411" t="s">
        <v>220</v>
      </c>
      <c r="L132" s="411"/>
      <c r="M132" s="411"/>
    </row>
    <row r="133" spans="2:23">
      <c r="B133" s="358"/>
      <c r="C133" s="358"/>
      <c r="D133" s="358"/>
      <c r="E133" s="358"/>
      <c r="F133" s="358"/>
      <c r="G133" s="358"/>
      <c r="H133" s="358"/>
      <c r="K133" s="65" t="s">
        <v>221</v>
      </c>
      <c r="L133" s="65"/>
      <c r="M133" s="65"/>
    </row>
    <row r="134" spans="2:23">
      <c r="B134" s="358"/>
      <c r="C134" s="358"/>
      <c r="D134" s="358"/>
      <c r="E134" s="358"/>
      <c r="F134" s="358"/>
      <c r="G134" s="358"/>
      <c r="H134" s="358"/>
      <c r="K134" s="23" t="s">
        <v>131</v>
      </c>
      <c r="L134" s="23" t="s">
        <v>199</v>
      </c>
      <c r="M134" s="23" t="s">
        <v>200</v>
      </c>
    </row>
    <row r="135" spans="2:23">
      <c r="B135" s="358"/>
      <c r="C135" s="358"/>
      <c r="D135" s="358"/>
      <c r="E135" s="358"/>
      <c r="F135" s="358"/>
      <c r="G135" s="358"/>
      <c r="H135" s="358"/>
      <c r="K135" s="24" t="s">
        <v>222</v>
      </c>
      <c r="L135" s="34">
        <v>14.929</v>
      </c>
      <c r="M135" s="24" t="s">
        <v>223</v>
      </c>
    </row>
    <row r="136" spans="2:23">
      <c r="B136" s="358"/>
      <c r="C136" s="358"/>
      <c r="D136" s="358"/>
      <c r="E136" s="358"/>
      <c r="F136" s="358"/>
      <c r="G136" s="358"/>
      <c r="H136" s="358"/>
      <c r="K136" s="24" t="s">
        <v>224</v>
      </c>
      <c r="L136" s="34">
        <v>14.929</v>
      </c>
      <c r="M136" s="24" t="s">
        <v>223</v>
      </c>
    </row>
    <row r="137" spans="2:23">
      <c r="B137" s="358"/>
      <c r="C137" s="358"/>
      <c r="D137" s="358"/>
      <c r="E137" s="358"/>
      <c r="F137" s="358"/>
      <c r="G137" s="358"/>
      <c r="H137" s="358"/>
      <c r="K137" s="35" t="s">
        <v>205</v>
      </c>
      <c r="L137" s="34">
        <v>5.55</v>
      </c>
      <c r="M137" s="36" t="s">
        <v>225</v>
      </c>
    </row>
    <row r="138" spans="2:23" ht="15.75">
      <c r="B138" s="358"/>
      <c r="C138" s="358"/>
      <c r="D138" s="358"/>
      <c r="E138" s="358"/>
      <c r="F138" s="358"/>
      <c r="G138" s="358"/>
      <c r="H138" s="358"/>
      <c r="K138" s="37" t="s">
        <v>226</v>
      </c>
      <c r="L138" s="319">
        <v>1</v>
      </c>
      <c r="M138" s="37" t="s">
        <v>227</v>
      </c>
    </row>
    <row r="139" spans="2:23">
      <c r="B139" s="358"/>
      <c r="C139" s="358"/>
      <c r="D139" s="358"/>
      <c r="E139" s="358"/>
      <c r="F139" s="358"/>
      <c r="G139" s="358"/>
      <c r="H139" s="358"/>
    </row>
    <row r="140" spans="2:23">
      <c r="B140" s="358"/>
      <c r="C140" s="358"/>
      <c r="D140" s="358"/>
      <c r="E140" s="358"/>
      <c r="F140" s="358"/>
      <c r="G140" s="358"/>
      <c r="H140" s="358"/>
    </row>
    <row r="141" spans="2:23">
      <c r="B141" s="358"/>
      <c r="C141" s="358"/>
      <c r="D141" s="358"/>
      <c r="E141" s="358"/>
      <c r="F141" s="358"/>
      <c r="G141" s="358"/>
      <c r="H141" s="358"/>
      <c r="L141" s="5" t="str">
        <f t="shared" ref="L141:W141" si="40">L9</f>
        <v>Média</v>
      </c>
      <c r="M141" s="5" t="str">
        <f t="shared" si="40"/>
        <v>Baixa</v>
      </c>
      <c r="N141" s="5" t="str">
        <f t="shared" si="40"/>
        <v>Alta</v>
      </c>
      <c r="O141" s="5" t="str">
        <f t="shared" si="40"/>
        <v>Alta</v>
      </c>
      <c r="P141" s="5" t="str">
        <f t="shared" si="40"/>
        <v>Média</v>
      </c>
      <c r="Q141" s="5" t="str">
        <f t="shared" si="40"/>
        <v>Alta</v>
      </c>
      <c r="R141" s="5" t="str">
        <f t="shared" si="40"/>
        <v>Alta</v>
      </c>
      <c r="S141" s="5" t="str">
        <f t="shared" si="40"/>
        <v>Média</v>
      </c>
      <c r="T141" s="5" t="str">
        <f t="shared" si="40"/>
        <v>Baixa</v>
      </c>
      <c r="U141" s="5" t="str">
        <f t="shared" si="40"/>
        <v>Baixa</v>
      </c>
      <c r="V141" s="5" t="str">
        <f t="shared" si="40"/>
        <v>Média</v>
      </c>
      <c r="W141" s="5" t="str">
        <f t="shared" si="40"/>
        <v>Alta</v>
      </c>
    </row>
    <row r="142" spans="2:23">
      <c r="B142" s="358"/>
      <c r="C142" s="358"/>
      <c r="D142" s="358"/>
      <c r="E142" s="358"/>
      <c r="F142" s="358"/>
      <c r="G142" s="358"/>
      <c r="H142" s="358"/>
      <c r="L142" s="57" t="s">
        <v>59</v>
      </c>
      <c r="M142" s="57" t="s">
        <v>60</v>
      </c>
      <c r="N142" s="57" t="s">
        <v>62</v>
      </c>
      <c r="O142" s="57" t="s">
        <v>64</v>
      </c>
      <c r="P142" s="57" t="s">
        <v>67</v>
      </c>
      <c r="Q142" s="57" t="s">
        <v>69</v>
      </c>
      <c r="R142" s="57" t="s">
        <v>72</v>
      </c>
      <c r="S142" s="57" t="s">
        <v>74</v>
      </c>
      <c r="T142" s="57" t="s">
        <v>77</v>
      </c>
      <c r="U142" s="57" t="s">
        <v>79</v>
      </c>
      <c r="V142" s="57" t="s">
        <v>81</v>
      </c>
      <c r="W142" s="57" t="s">
        <v>83</v>
      </c>
    </row>
    <row r="143" spans="2:23">
      <c r="B143" s="358"/>
      <c r="C143" s="358"/>
      <c r="D143" s="358"/>
      <c r="E143" s="358"/>
      <c r="F143" s="358"/>
      <c r="G143" s="358"/>
      <c r="H143" s="358"/>
      <c r="K143" s="8" t="s">
        <v>228</v>
      </c>
      <c r="L143" s="74">
        <f t="shared" ref="L143:W143" si="41">($L$137*(L183/30))</f>
        <v>310.8</v>
      </c>
      <c r="M143" s="74">
        <f t="shared" si="41"/>
        <v>244.2</v>
      </c>
      <c r="N143" s="74">
        <f t="shared" si="41"/>
        <v>360.75</v>
      </c>
      <c r="O143" s="74">
        <f t="shared" si="41"/>
        <v>360.75</v>
      </c>
      <c r="P143" s="74">
        <f t="shared" si="41"/>
        <v>310.8</v>
      </c>
      <c r="Q143" s="74">
        <f t="shared" si="41"/>
        <v>360.75</v>
      </c>
      <c r="R143" s="74">
        <f t="shared" si="41"/>
        <v>360.75</v>
      </c>
      <c r="S143" s="74">
        <f t="shared" si="41"/>
        <v>310.8</v>
      </c>
      <c r="T143" s="74">
        <f t="shared" si="41"/>
        <v>244.2</v>
      </c>
      <c r="U143" s="74">
        <f t="shared" si="41"/>
        <v>244.2</v>
      </c>
      <c r="V143" s="74">
        <f t="shared" si="41"/>
        <v>310.8</v>
      </c>
      <c r="W143" s="74">
        <f t="shared" si="41"/>
        <v>360.75</v>
      </c>
    </row>
    <row r="144" spans="2:23">
      <c r="B144" s="358"/>
      <c r="C144" s="358"/>
      <c r="D144" s="358"/>
      <c r="E144" s="358"/>
      <c r="F144" s="358"/>
      <c r="G144" s="358"/>
      <c r="H144" s="358"/>
      <c r="K144" t="s">
        <v>229</v>
      </c>
      <c r="L144" s="3">
        <f t="shared" ref="L144:W144" si="42">($L$135+$L$136)*L143*$L$138</f>
        <v>9279.8664000000008</v>
      </c>
      <c r="M144" s="3">
        <f t="shared" si="42"/>
        <v>7291.3235999999997</v>
      </c>
      <c r="N144" s="3">
        <f t="shared" si="42"/>
        <v>10771.273499999999</v>
      </c>
      <c r="O144" s="3">
        <f t="shared" si="42"/>
        <v>10771.273499999999</v>
      </c>
      <c r="P144" s="3">
        <f t="shared" si="42"/>
        <v>9279.8664000000008</v>
      </c>
      <c r="Q144" s="3">
        <f t="shared" si="42"/>
        <v>10771.273499999999</v>
      </c>
      <c r="R144" s="3">
        <f t="shared" si="42"/>
        <v>10771.273499999999</v>
      </c>
      <c r="S144" s="3">
        <f t="shared" si="42"/>
        <v>9279.8664000000008</v>
      </c>
      <c r="T144" s="3">
        <f t="shared" si="42"/>
        <v>7291.3235999999997</v>
      </c>
      <c r="U144" s="3">
        <f t="shared" si="42"/>
        <v>7291.3235999999997</v>
      </c>
      <c r="V144" s="3">
        <f t="shared" si="42"/>
        <v>9279.8664000000008</v>
      </c>
      <c r="W144" s="3">
        <f t="shared" si="42"/>
        <v>10771.273499999999</v>
      </c>
    </row>
    <row r="145" spans="2:48">
      <c r="B145" s="358"/>
      <c r="C145" s="358"/>
      <c r="D145" s="358"/>
      <c r="E145" s="358"/>
      <c r="F145" s="358"/>
      <c r="G145" s="358"/>
      <c r="H145" s="358"/>
      <c r="K145" s="224" t="s">
        <v>230</v>
      </c>
    </row>
    <row r="146" spans="2:48">
      <c r="B146" s="358"/>
      <c r="C146" s="358"/>
      <c r="D146" s="358"/>
      <c r="E146" s="358"/>
      <c r="F146" s="358"/>
      <c r="G146" s="358"/>
      <c r="H146" s="358"/>
      <c r="L146" s="73" t="s">
        <v>216</v>
      </c>
      <c r="M146" s="73" t="s">
        <v>217</v>
      </c>
      <c r="N146" s="73" t="s">
        <v>218</v>
      </c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2:48">
      <c r="B147" s="358"/>
      <c r="C147" s="358"/>
      <c r="D147" s="358"/>
      <c r="E147" s="358"/>
      <c r="F147" s="358"/>
      <c r="G147" s="358"/>
      <c r="H147" s="358"/>
      <c r="K147" s="5" t="s">
        <v>15</v>
      </c>
      <c r="L147" s="3">
        <f ca="1">SUMIF($L$141:$W$144,$K147,$L$144:$W$144)</f>
        <v>53856.367499999993</v>
      </c>
      <c r="M147">
        <f>E46</f>
        <v>5</v>
      </c>
      <c r="N147" s="4">
        <f ca="1">L147/M147</f>
        <v>10771.273499999999</v>
      </c>
    </row>
    <row r="148" spans="2:48">
      <c r="K148" s="5" t="s">
        <v>19</v>
      </c>
      <c r="L148" s="3">
        <f ca="1">SUMIF($L$141:$W$144,$K148,$L$144:$W$144)</f>
        <v>37119.465600000003</v>
      </c>
      <c r="M148">
        <f>E47</f>
        <v>4</v>
      </c>
      <c r="N148" s="4">
        <f ca="1">L148/M148</f>
        <v>9279.8664000000008</v>
      </c>
    </row>
    <row r="149" spans="2:48">
      <c r="K149" s="5" t="s">
        <v>22</v>
      </c>
      <c r="L149" s="3">
        <f ca="1">SUMIF($L$141:$W$144,$K149,$L$144:$W$144)</f>
        <v>21873.970799999999</v>
      </c>
      <c r="M149">
        <f>E48</f>
        <v>3</v>
      </c>
      <c r="N149" s="4">
        <f ca="1">L149/M149</f>
        <v>7291.3235999999997</v>
      </c>
    </row>
    <row r="150" spans="2:48">
      <c r="K150" t="s">
        <v>82</v>
      </c>
      <c r="L150" s="103">
        <f ca="1">SUM(L147:L149)</f>
        <v>112849.80389999998</v>
      </c>
      <c r="M150">
        <f>SUM(M147:M149)</f>
        <v>12</v>
      </c>
      <c r="N150" s="4"/>
    </row>
    <row r="151" spans="2:48">
      <c r="K151" t="s">
        <v>219</v>
      </c>
      <c r="L151" s="4">
        <f ca="1">L150/12</f>
        <v>9404.1503249999987</v>
      </c>
    </row>
    <row r="152" spans="2:48">
      <c r="D152" s="235"/>
      <c r="E152" s="16"/>
    </row>
    <row r="153" spans="2:48">
      <c r="E153" s="16"/>
    </row>
    <row r="155" spans="2:48">
      <c r="M155" s="38">
        <f>'Demonstrações Financeiras '!E4</f>
        <v>2025</v>
      </c>
      <c r="N155" s="38">
        <f>'Demonstrações Financeiras '!F4</f>
        <v>2026</v>
      </c>
      <c r="O155" s="38">
        <f>'Demonstrações Financeiras '!G4</f>
        <v>2027</v>
      </c>
      <c r="P155" s="38">
        <f>'Demonstrações Financeiras '!H4</f>
        <v>2028</v>
      </c>
      <c r="Q155" s="38">
        <f>'Demonstrações Financeiras '!I4</f>
        <v>2029</v>
      </c>
      <c r="R155" s="38">
        <f>'Demonstrações Financeiras '!J4</f>
        <v>2030</v>
      </c>
      <c r="S155" s="38">
        <f>'Demonstrações Financeiras '!K4</f>
        <v>2031</v>
      </c>
      <c r="T155" s="38">
        <f>'Demonstrações Financeiras '!L4</f>
        <v>2032</v>
      </c>
      <c r="U155" s="38">
        <f>'Demonstrações Financeiras '!M4</f>
        <v>2033</v>
      </c>
      <c r="V155" s="38">
        <f>'Demonstrações Financeiras '!N4</f>
        <v>2034</v>
      </c>
      <c r="W155" s="38">
        <f>'Demonstrações Financeiras '!O4</f>
        <v>2035</v>
      </c>
      <c r="X155" s="38">
        <f>'Demonstrações Financeiras '!P4</f>
        <v>2036</v>
      </c>
      <c r="Y155" s="38">
        <f>'Demonstrações Financeiras '!Q4</f>
        <v>2037</v>
      </c>
      <c r="Z155" s="38">
        <f>'Demonstrações Financeiras '!R4</f>
        <v>2038</v>
      </c>
      <c r="AA155" s="38">
        <f>'Demonstrações Financeiras '!S4</f>
        <v>2039</v>
      </c>
      <c r="AB155" s="38">
        <f>'Demonstrações Financeiras '!T4</f>
        <v>2040</v>
      </c>
      <c r="AC155" s="38">
        <f>'Demonstrações Financeiras '!U4</f>
        <v>2041</v>
      </c>
      <c r="AD155" s="38">
        <f>'Demonstrações Financeiras '!V4</f>
        <v>2042</v>
      </c>
      <c r="AE155" s="38">
        <f>'Demonstrações Financeiras '!W4</f>
        <v>2043</v>
      </c>
      <c r="AF155" s="38">
        <f>'Demonstrações Financeiras '!X4</f>
        <v>2044</v>
      </c>
      <c r="AG155" s="38">
        <f>'Demonstrações Financeiras '!Y4</f>
        <v>2045</v>
      </c>
      <c r="AH155" s="38">
        <f>'Demonstrações Financeiras '!Z4</f>
        <v>2046</v>
      </c>
      <c r="AI155" s="38">
        <f>'Demonstrações Financeiras '!AA4</f>
        <v>2047</v>
      </c>
      <c r="AJ155" s="38">
        <f>'Demonstrações Financeiras '!AB4</f>
        <v>2048</v>
      </c>
      <c r="AK155" s="38">
        <f>'Demonstrações Financeiras '!AC4</f>
        <v>2049</v>
      </c>
      <c r="AL155" s="38">
        <f>'Demonstrações Financeiras '!AD4</f>
        <v>2050</v>
      </c>
      <c r="AM155" s="38">
        <f>'Demonstrações Financeiras '!AE4</f>
        <v>2051</v>
      </c>
      <c r="AN155" s="38">
        <f>'Demonstrações Financeiras '!AF4</f>
        <v>2052</v>
      </c>
      <c r="AO155" s="38">
        <f>'Demonstrações Financeiras '!AG4</f>
        <v>2053</v>
      </c>
      <c r="AP155" s="38">
        <f>'Demonstrações Financeiras '!AH4</f>
        <v>2054</v>
      </c>
      <c r="AQ155" s="38">
        <f>'Demonstrações Financeiras '!AI4</f>
        <v>2055</v>
      </c>
      <c r="AR155" s="38">
        <f>'Demonstrações Financeiras '!AJ4</f>
        <v>2056</v>
      </c>
      <c r="AS155" s="38">
        <f>'Demonstrações Financeiras '!AK4</f>
        <v>2057</v>
      </c>
      <c r="AT155" s="38">
        <f>'Demonstrações Financeiras '!AL4</f>
        <v>2058</v>
      </c>
      <c r="AU155" s="38">
        <f>'Demonstrações Financeiras '!AM4</f>
        <v>2059</v>
      </c>
      <c r="AV155">
        <f>'Demonstrações Financeiras '!AN4</f>
        <v>2060</v>
      </c>
    </row>
    <row r="156" spans="2:48">
      <c r="M156" s="33" t="s">
        <v>231</v>
      </c>
      <c r="N156" s="33" t="s">
        <v>232</v>
      </c>
      <c r="O156" s="33">
        <v>2</v>
      </c>
      <c r="P156" s="33">
        <v>3</v>
      </c>
      <c r="Q156" s="33">
        <v>4</v>
      </c>
      <c r="R156" s="33">
        <v>5</v>
      </c>
      <c r="S156" s="33">
        <v>6</v>
      </c>
      <c r="T156" s="33">
        <v>7</v>
      </c>
      <c r="U156" s="33">
        <v>8</v>
      </c>
      <c r="V156" s="33">
        <v>9</v>
      </c>
      <c r="W156" s="33">
        <v>10</v>
      </c>
      <c r="X156" s="33">
        <v>11</v>
      </c>
      <c r="Y156" s="33">
        <v>12</v>
      </c>
      <c r="Z156" s="33">
        <v>13</v>
      </c>
      <c r="AA156" s="33">
        <v>14</v>
      </c>
      <c r="AB156" s="33">
        <v>15</v>
      </c>
      <c r="AC156" s="33">
        <v>16</v>
      </c>
      <c r="AD156" s="33">
        <v>17</v>
      </c>
      <c r="AE156" s="33">
        <v>18</v>
      </c>
      <c r="AF156" s="33">
        <v>19</v>
      </c>
      <c r="AG156" s="33">
        <v>20</v>
      </c>
      <c r="AH156" s="33">
        <v>21</v>
      </c>
      <c r="AI156" s="33">
        <v>22</v>
      </c>
      <c r="AJ156" s="33">
        <v>23</v>
      </c>
      <c r="AK156" s="33">
        <v>24</v>
      </c>
      <c r="AL156" s="33">
        <v>25</v>
      </c>
      <c r="AM156" s="33">
        <v>26</v>
      </c>
      <c r="AN156" s="33">
        <v>27</v>
      </c>
      <c r="AO156" s="33">
        <v>28</v>
      </c>
      <c r="AP156" s="33">
        <v>29</v>
      </c>
      <c r="AQ156" s="33">
        <v>30</v>
      </c>
      <c r="AR156" s="33">
        <v>31</v>
      </c>
      <c r="AS156" s="33">
        <v>32</v>
      </c>
      <c r="AT156" s="33">
        <v>33</v>
      </c>
      <c r="AU156" s="33">
        <v>34</v>
      </c>
      <c r="AV156">
        <v>35</v>
      </c>
    </row>
    <row r="157" spans="2:48">
      <c r="K157" s="383" t="s">
        <v>233</v>
      </c>
      <c r="L157" s="384"/>
      <c r="M157" s="119">
        <v>0</v>
      </c>
      <c r="N157" s="119">
        <v>-0.15</v>
      </c>
      <c r="O157" s="119">
        <v>-0.15</v>
      </c>
      <c r="P157" s="119">
        <v>-0.15</v>
      </c>
      <c r="Q157" s="119">
        <v>-0.15</v>
      </c>
      <c r="R157" s="119">
        <v>-0.1</v>
      </c>
      <c r="S157" s="119">
        <v>-0.1</v>
      </c>
      <c r="T157" s="119">
        <v>-0.1</v>
      </c>
      <c r="U157" s="119">
        <v>-0.1</v>
      </c>
      <c r="V157" s="119">
        <v>-0.1</v>
      </c>
      <c r="W157" s="119">
        <v>-0.1</v>
      </c>
      <c r="X157" s="119">
        <v>-0.1</v>
      </c>
      <c r="Y157" s="119">
        <v>-0.1</v>
      </c>
      <c r="Z157" s="119">
        <v>-0.1</v>
      </c>
      <c r="AA157" s="119">
        <v>-0.1</v>
      </c>
      <c r="AB157" s="119">
        <v>-0.08</v>
      </c>
      <c r="AC157" s="119">
        <v>-0.08</v>
      </c>
      <c r="AD157" s="119">
        <v>-0.08</v>
      </c>
      <c r="AE157" s="119">
        <v>-0.08</v>
      </c>
      <c r="AF157" s="119">
        <v>-0.08</v>
      </c>
      <c r="AG157" s="119">
        <v>-0.08</v>
      </c>
      <c r="AH157" s="119">
        <v>-0.08</v>
      </c>
      <c r="AI157" s="119">
        <v>-0.08</v>
      </c>
      <c r="AJ157" s="119">
        <v>-0.08</v>
      </c>
      <c r="AK157" s="119">
        <v>-0.08</v>
      </c>
      <c r="AL157" s="119">
        <v>-0.08</v>
      </c>
      <c r="AM157" s="119">
        <v>-0.08</v>
      </c>
      <c r="AN157" s="119">
        <v>-0.08</v>
      </c>
      <c r="AO157" s="119">
        <v>-0.08</v>
      </c>
      <c r="AP157" s="119">
        <v>-0.08</v>
      </c>
      <c r="AQ157" s="119">
        <v>-0.08</v>
      </c>
      <c r="AR157" s="119">
        <v>-0.08</v>
      </c>
      <c r="AS157" s="119">
        <v>-0.08</v>
      </c>
      <c r="AT157" s="119">
        <v>-0.08</v>
      </c>
      <c r="AU157" s="119">
        <v>-0.08</v>
      </c>
      <c r="AV157">
        <v>-0.08</v>
      </c>
    </row>
    <row r="162" spans="11:47">
      <c r="K162" s="385" t="s">
        <v>234</v>
      </c>
      <c r="L162" s="385"/>
    </row>
    <row r="163" spans="11:47">
      <c r="M163" s="38">
        <v>2025</v>
      </c>
      <c r="N163" s="38">
        <v>2026</v>
      </c>
      <c r="O163" s="38">
        <v>2027</v>
      </c>
      <c r="P163" s="38">
        <v>2028</v>
      </c>
      <c r="Q163" s="38">
        <v>2029</v>
      </c>
      <c r="R163" s="38">
        <v>2030</v>
      </c>
      <c r="S163" s="38">
        <v>2031</v>
      </c>
      <c r="T163" s="38">
        <v>2032</v>
      </c>
      <c r="U163" s="38">
        <v>2033</v>
      </c>
      <c r="V163" s="38">
        <v>2034</v>
      </c>
      <c r="W163" s="38">
        <v>2035</v>
      </c>
      <c r="X163" s="38">
        <v>2036</v>
      </c>
      <c r="Y163" s="38">
        <v>2037</v>
      </c>
      <c r="Z163" s="38">
        <v>2038</v>
      </c>
      <c r="AA163" s="38">
        <v>2039</v>
      </c>
      <c r="AB163" s="38">
        <v>2040</v>
      </c>
      <c r="AC163" s="38">
        <v>2041</v>
      </c>
      <c r="AD163" s="38">
        <v>2042</v>
      </c>
      <c r="AE163" s="38">
        <v>2043</v>
      </c>
      <c r="AF163" s="38">
        <v>2044</v>
      </c>
      <c r="AG163" s="38">
        <v>2045</v>
      </c>
      <c r="AH163" s="38">
        <v>2046</v>
      </c>
      <c r="AI163" s="38">
        <v>2047</v>
      </c>
      <c r="AJ163" s="38">
        <v>2048</v>
      </c>
      <c r="AK163" s="38">
        <v>2049</v>
      </c>
      <c r="AL163" s="38">
        <v>2050</v>
      </c>
      <c r="AM163" s="38">
        <v>2051</v>
      </c>
      <c r="AN163" s="38">
        <v>2052</v>
      </c>
      <c r="AO163" s="38">
        <v>2053</v>
      </c>
      <c r="AP163" s="38">
        <v>2054</v>
      </c>
      <c r="AQ163" s="38">
        <v>2055</v>
      </c>
      <c r="AR163" s="38">
        <v>2056</v>
      </c>
      <c r="AS163" s="38">
        <v>2057</v>
      </c>
      <c r="AT163" s="38">
        <v>2058</v>
      </c>
      <c r="AU163" s="38">
        <v>2059</v>
      </c>
    </row>
    <row r="164" spans="11:47">
      <c r="K164" s="33" t="s">
        <v>235</v>
      </c>
      <c r="L164" s="210" t="s">
        <v>236</v>
      </c>
      <c r="M164" s="211" t="s">
        <v>232</v>
      </c>
      <c r="N164" s="1">
        <v>2</v>
      </c>
      <c r="O164" s="1">
        <v>3</v>
      </c>
      <c r="P164" s="1">
        <v>4</v>
      </c>
      <c r="Q164" s="1">
        <v>5</v>
      </c>
      <c r="R164" s="1">
        <v>6</v>
      </c>
      <c r="S164" s="1">
        <v>7</v>
      </c>
      <c r="T164" s="1">
        <v>8</v>
      </c>
      <c r="U164" s="1">
        <v>9</v>
      </c>
      <c r="V164" s="1">
        <v>10</v>
      </c>
      <c r="W164" s="1">
        <v>11</v>
      </c>
      <c r="X164" s="1">
        <v>12</v>
      </c>
      <c r="Y164" s="1">
        <v>13</v>
      </c>
      <c r="Z164" s="1">
        <v>14</v>
      </c>
      <c r="AA164" s="1">
        <v>15</v>
      </c>
      <c r="AB164" s="1">
        <v>16</v>
      </c>
      <c r="AC164" s="1">
        <v>17</v>
      </c>
      <c r="AD164" s="1">
        <v>18</v>
      </c>
      <c r="AE164" s="1">
        <v>19</v>
      </c>
      <c r="AF164" s="1">
        <v>20</v>
      </c>
      <c r="AG164" s="1">
        <v>21</v>
      </c>
      <c r="AH164" s="1">
        <v>22</v>
      </c>
      <c r="AI164" s="1">
        <v>23</v>
      </c>
      <c r="AJ164" s="1">
        <v>24</v>
      </c>
      <c r="AK164" s="1">
        <v>25</v>
      </c>
      <c r="AL164" s="1">
        <v>26</v>
      </c>
      <c r="AM164" s="1">
        <v>27</v>
      </c>
      <c r="AN164" s="1">
        <v>28</v>
      </c>
      <c r="AO164" s="1">
        <v>29</v>
      </c>
      <c r="AP164" s="1">
        <v>30</v>
      </c>
      <c r="AQ164" s="1">
        <v>31</v>
      </c>
      <c r="AR164" s="1">
        <v>32</v>
      </c>
      <c r="AS164" s="1">
        <v>33</v>
      </c>
      <c r="AT164" s="1">
        <v>34</v>
      </c>
      <c r="AU164" s="1">
        <v>35</v>
      </c>
    </row>
    <row r="165" spans="11:47">
      <c r="K165" s="212" t="s">
        <v>237</v>
      </c>
      <c r="L165" s="213" t="s">
        <v>238</v>
      </c>
      <c r="M165" s="214">
        <v>30</v>
      </c>
      <c r="N165" s="214">
        <f>M165</f>
        <v>30</v>
      </c>
      <c r="O165" s="214">
        <f t="shared" ref="O165:W165" si="43">N165</f>
        <v>30</v>
      </c>
      <c r="P165" s="214">
        <f t="shared" si="43"/>
        <v>30</v>
      </c>
      <c r="Q165" s="214">
        <f t="shared" si="43"/>
        <v>30</v>
      </c>
      <c r="R165" s="214">
        <f t="shared" si="43"/>
        <v>30</v>
      </c>
      <c r="S165" s="214">
        <f t="shared" si="43"/>
        <v>30</v>
      </c>
      <c r="T165" s="214">
        <f t="shared" si="43"/>
        <v>30</v>
      </c>
      <c r="U165" s="214">
        <f t="shared" si="43"/>
        <v>30</v>
      </c>
      <c r="V165" s="214">
        <f t="shared" si="43"/>
        <v>30</v>
      </c>
      <c r="W165" s="214">
        <f t="shared" si="43"/>
        <v>30</v>
      </c>
      <c r="X165" s="214">
        <f t="shared" ref="X165:AU165" si="44">W165</f>
        <v>30</v>
      </c>
      <c r="Y165" s="214">
        <f t="shared" si="44"/>
        <v>30</v>
      </c>
      <c r="Z165" s="214">
        <f t="shared" si="44"/>
        <v>30</v>
      </c>
      <c r="AA165" s="214">
        <f t="shared" si="44"/>
        <v>30</v>
      </c>
      <c r="AB165" s="214">
        <f t="shared" si="44"/>
        <v>30</v>
      </c>
      <c r="AC165" s="214">
        <f t="shared" si="44"/>
        <v>30</v>
      </c>
      <c r="AD165" s="214">
        <f t="shared" si="44"/>
        <v>30</v>
      </c>
      <c r="AE165" s="214">
        <f t="shared" si="44"/>
        <v>30</v>
      </c>
      <c r="AF165" s="214">
        <f t="shared" si="44"/>
        <v>30</v>
      </c>
      <c r="AG165" s="214">
        <f t="shared" si="44"/>
        <v>30</v>
      </c>
      <c r="AH165" s="214">
        <f t="shared" si="44"/>
        <v>30</v>
      </c>
      <c r="AI165" s="214">
        <f t="shared" si="44"/>
        <v>30</v>
      </c>
      <c r="AJ165" s="214">
        <f t="shared" si="44"/>
        <v>30</v>
      </c>
      <c r="AK165" s="214">
        <f t="shared" si="44"/>
        <v>30</v>
      </c>
      <c r="AL165" s="214">
        <f t="shared" si="44"/>
        <v>30</v>
      </c>
      <c r="AM165" s="214">
        <f t="shared" si="44"/>
        <v>30</v>
      </c>
      <c r="AN165" s="214">
        <f t="shared" si="44"/>
        <v>30</v>
      </c>
      <c r="AO165" s="214">
        <f t="shared" si="44"/>
        <v>30</v>
      </c>
      <c r="AP165" s="214">
        <f t="shared" si="44"/>
        <v>30</v>
      </c>
      <c r="AQ165" s="214">
        <f t="shared" si="44"/>
        <v>30</v>
      </c>
      <c r="AR165" s="214">
        <f t="shared" si="44"/>
        <v>30</v>
      </c>
      <c r="AS165" s="214">
        <f t="shared" si="44"/>
        <v>30</v>
      </c>
      <c r="AT165" s="214">
        <f t="shared" si="44"/>
        <v>30</v>
      </c>
      <c r="AU165" s="214">
        <f t="shared" si="44"/>
        <v>30</v>
      </c>
    </row>
    <row r="166" spans="11:47">
      <c r="K166" s="212" t="s">
        <v>239</v>
      </c>
      <c r="L166" s="213" t="s">
        <v>238</v>
      </c>
      <c r="M166" s="216">
        <v>10</v>
      </c>
      <c r="N166" s="214">
        <f>M166</f>
        <v>10</v>
      </c>
      <c r="O166" s="214">
        <f t="shared" ref="O166:W166" si="45">N166</f>
        <v>10</v>
      </c>
      <c r="P166" s="214">
        <f t="shared" si="45"/>
        <v>10</v>
      </c>
      <c r="Q166" s="214">
        <f t="shared" si="45"/>
        <v>10</v>
      </c>
      <c r="R166" s="214">
        <f t="shared" si="45"/>
        <v>10</v>
      </c>
      <c r="S166" s="214">
        <f t="shared" si="45"/>
        <v>10</v>
      </c>
      <c r="T166" s="214">
        <f t="shared" si="45"/>
        <v>10</v>
      </c>
      <c r="U166" s="214">
        <f t="shared" si="45"/>
        <v>10</v>
      </c>
      <c r="V166" s="214">
        <f t="shared" si="45"/>
        <v>10</v>
      </c>
      <c r="W166" s="214">
        <f t="shared" si="45"/>
        <v>10</v>
      </c>
      <c r="X166" s="214">
        <f t="shared" ref="X166:AU166" si="46">W166</f>
        <v>10</v>
      </c>
      <c r="Y166" s="214">
        <f t="shared" si="46"/>
        <v>10</v>
      </c>
      <c r="Z166" s="214">
        <f t="shared" si="46"/>
        <v>10</v>
      </c>
      <c r="AA166" s="214">
        <f t="shared" si="46"/>
        <v>10</v>
      </c>
      <c r="AB166" s="214">
        <f t="shared" si="46"/>
        <v>10</v>
      </c>
      <c r="AC166" s="214">
        <f t="shared" si="46"/>
        <v>10</v>
      </c>
      <c r="AD166" s="214">
        <f t="shared" si="46"/>
        <v>10</v>
      </c>
      <c r="AE166" s="214">
        <f t="shared" si="46"/>
        <v>10</v>
      </c>
      <c r="AF166" s="214">
        <f t="shared" si="46"/>
        <v>10</v>
      </c>
      <c r="AG166" s="214">
        <f t="shared" si="46"/>
        <v>10</v>
      </c>
      <c r="AH166" s="214">
        <f t="shared" si="46"/>
        <v>10</v>
      </c>
      <c r="AI166" s="214">
        <f t="shared" si="46"/>
        <v>10</v>
      </c>
      <c r="AJ166" s="214">
        <f t="shared" si="46"/>
        <v>10</v>
      </c>
      <c r="AK166" s="214">
        <f t="shared" si="46"/>
        <v>10</v>
      </c>
      <c r="AL166" s="214">
        <f t="shared" si="46"/>
        <v>10</v>
      </c>
      <c r="AM166" s="214">
        <f t="shared" si="46"/>
        <v>10</v>
      </c>
      <c r="AN166" s="214">
        <f t="shared" si="46"/>
        <v>10</v>
      </c>
      <c r="AO166" s="214">
        <f t="shared" si="46"/>
        <v>10</v>
      </c>
      <c r="AP166" s="214">
        <f t="shared" si="46"/>
        <v>10</v>
      </c>
      <c r="AQ166" s="214">
        <f t="shared" si="46"/>
        <v>10</v>
      </c>
      <c r="AR166" s="214">
        <f t="shared" si="46"/>
        <v>10</v>
      </c>
      <c r="AS166" s="214">
        <f t="shared" si="46"/>
        <v>10</v>
      </c>
      <c r="AT166" s="214">
        <f t="shared" si="46"/>
        <v>10</v>
      </c>
      <c r="AU166" s="214">
        <f t="shared" si="46"/>
        <v>10</v>
      </c>
    </row>
    <row r="167" spans="11:47">
      <c r="K167" s="212" t="s">
        <v>240</v>
      </c>
      <c r="L167" s="213" t="s">
        <v>238</v>
      </c>
      <c r="M167" s="216">
        <v>20</v>
      </c>
      <c r="N167" s="214">
        <f>M167</f>
        <v>20</v>
      </c>
      <c r="O167" s="214">
        <f t="shared" ref="O167:W167" si="47">N167</f>
        <v>20</v>
      </c>
      <c r="P167" s="214">
        <f t="shared" si="47"/>
        <v>20</v>
      </c>
      <c r="Q167" s="214">
        <f t="shared" si="47"/>
        <v>20</v>
      </c>
      <c r="R167" s="214">
        <f t="shared" si="47"/>
        <v>20</v>
      </c>
      <c r="S167" s="214">
        <f t="shared" si="47"/>
        <v>20</v>
      </c>
      <c r="T167" s="214">
        <f t="shared" si="47"/>
        <v>20</v>
      </c>
      <c r="U167" s="214">
        <f t="shared" si="47"/>
        <v>20</v>
      </c>
      <c r="V167" s="214">
        <f t="shared" si="47"/>
        <v>20</v>
      </c>
      <c r="W167" s="214">
        <f t="shared" si="47"/>
        <v>20</v>
      </c>
      <c r="X167" s="214">
        <f t="shared" ref="X167:AU167" si="48">W167</f>
        <v>20</v>
      </c>
      <c r="Y167" s="214">
        <f t="shared" si="48"/>
        <v>20</v>
      </c>
      <c r="Z167" s="214">
        <f t="shared" si="48"/>
        <v>20</v>
      </c>
      <c r="AA167" s="214">
        <f t="shared" si="48"/>
        <v>20</v>
      </c>
      <c r="AB167" s="214">
        <f t="shared" si="48"/>
        <v>20</v>
      </c>
      <c r="AC167" s="214">
        <f t="shared" si="48"/>
        <v>20</v>
      </c>
      <c r="AD167" s="214">
        <f t="shared" si="48"/>
        <v>20</v>
      </c>
      <c r="AE167" s="214">
        <f t="shared" si="48"/>
        <v>20</v>
      </c>
      <c r="AF167" s="214">
        <f t="shared" si="48"/>
        <v>20</v>
      </c>
      <c r="AG167" s="214">
        <f t="shared" si="48"/>
        <v>20</v>
      </c>
      <c r="AH167" s="214">
        <f t="shared" si="48"/>
        <v>20</v>
      </c>
      <c r="AI167" s="214">
        <f t="shared" si="48"/>
        <v>20</v>
      </c>
      <c r="AJ167" s="214">
        <f t="shared" si="48"/>
        <v>20</v>
      </c>
      <c r="AK167" s="214">
        <f t="shared" si="48"/>
        <v>20</v>
      </c>
      <c r="AL167" s="214">
        <f t="shared" si="48"/>
        <v>20</v>
      </c>
      <c r="AM167" s="214">
        <f t="shared" si="48"/>
        <v>20</v>
      </c>
      <c r="AN167" s="214">
        <f t="shared" si="48"/>
        <v>20</v>
      </c>
      <c r="AO167" s="214">
        <f t="shared" si="48"/>
        <v>20</v>
      </c>
      <c r="AP167" s="214">
        <f t="shared" si="48"/>
        <v>20</v>
      </c>
      <c r="AQ167" s="214">
        <f t="shared" si="48"/>
        <v>20</v>
      </c>
      <c r="AR167" s="214">
        <f t="shared" si="48"/>
        <v>20</v>
      </c>
      <c r="AS167" s="214">
        <f t="shared" si="48"/>
        <v>20</v>
      </c>
      <c r="AT167" s="214">
        <f t="shared" si="48"/>
        <v>20</v>
      </c>
      <c r="AU167" s="214">
        <f t="shared" si="48"/>
        <v>20</v>
      </c>
    </row>
    <row r="168" spans="11:47">
      <c r="M168" s="183"/>
      <c r="N168" s="183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</row>
    <row r="169" spans="11:47">
      <c r="M169" s="38">
        <v>2025</v>
      </c>
      <c r="N169" s="38">
        <v>2026</v>
      </c>
      <c r="O169" s="38">
        <v>2027</v>
      </c>
      <c r="P169" s="38">
        <v>2028</v>
      </c>
      <c r="Q169" s="38">
        <v>2029</v>
      </c>
      <c r="R169" s="38">
        <v>2030</v>
      </c>
      <c r="S169" s="38">
        <v>2031</v>
      </c>
      <c r="T169" s="38">
        <v>2032</v>
      </c>
      <c r="U169" s="38">
        <v>2033</v>
      </c>
      <c r="V169" s="38">
        <v>2034</v>
      </c>
      <c r="W169" s="38">
        <v>2035</v>
      </c>
      <c r="X169" s="38">
        <v>2036</v>
      </c>
      <c r="Y169" s="38">
        <v>2037</v>
      </c>
      <c r="Z169" s="38">
        <v>2038</v>
      </c>
      <c r="AA169" s="38">
        <v>2039</v>
      </c>
      <c r="AB169" s="38">
        <v>2040</v>
      </c>
      <c r="AC169" s="38">
        <v>2041</v>
      </c>
      <c r="AD169" s="38">
        <v>2042</v>
      </c>
      <c r="AE169" s="38">
        <v>2043</v>
      </c>
      <c r="AF169" s="38">
        <v>2044</v>
      </c>
      <c r="AG169" s="38">
        <v>2045</v>
      </c>
      <c r="AH169" s="38">
        <v>2046</v>
      </c>
      <c r="AI169" s="38">
        <v>2047</v>
      </c>
      <c r="AJ169" s="38">
        <v>2048</v>
      </c>
      <c r="AK169" s="38">
        <v>2049</v>
      </c>
      <c r="AL169" s="38">
        <v>2050</v>
      </c>
      <c r="AM169" s="38">
        <v>2051</v>
      </c>
      <c r="AN169" s="38">
        <v>2052</v>
      </c>
      <c r="AO169" s="38">
        <v>2053</v>
      </c>
      <c r="AP169" s="38">
        <v>2054</v>
      </c>
      <c r="AQ169" s="38">
        <v>2055</v>
      </c>
      <c r="AR169" s="38">
        <v>2056</v>
      </c>
      <c r="AS169" s="38">
        <v>2057</v>
      </c>
      <c r="AT169" s="38">
        <v>2058</v>
      </c>
      <c r="AU169" s="38">
        <v>2059</v>
      </c>
    </row>
    <row r="170" spans="11:47">
      <c r="K170" s="385" t="s">
        <v>241</v>
      </c>
      <c r="L170" s="385"/>
      <c r="M170" s="218" t="s">
        <v>232</v>
      </c>
      <c r="N170" s="1">
        <v>2</v>
      </c>
      <c r="O170" s="1">
        <v>3</v>
      </c>
      <c r="P170" s="1">
        <v>4</v>
      </c>
      <c r="Q170" s="1">
        <v>5</v>
      </c>
      <c r="R170" s="1">
        <v>6</v>
      </c>
      <c r="S170" s="1">
        <v>7</v>
      </c>
      <c r="T170" s="1">
        <v>8</v>
      </c>
      <c r="U170" s="1">
        <v>9</v>
      </c>
      <c r="V170" s="1">
        <v>10</v>
      </c>
      <c r="W170" s="1">
        <v>11</v>
      </c>
      <c r="X170" s="1">
        <v>12</v>
      </c>
      <c r="Y170" s="1">
        <v>13</v>
      </c>
      <c r="Z170" s="1">
        <v>14</v>
      </c>
      <c r="AA170" s="1">
        <v>15</v>
      </c>
      <c r="AB170" s="1">
        <v>16</v>
      </c>
      <c r="AC170" s="1">
        <v>17</v>
      </c>
      <c r="AD170" s="1">
        <v>18</v>
      </c>
      <c r="AE170" s="1">
        <v>19</v>
      </c>
      <c r="AF170" s="1">
        <v>20</v>
      </c>
      <c r="AG170" s="1">
        <v>21</v>
      </c>
      <c r="AH170" s="1">
        <v>22</v>
      </c>
      <c r="AI170" s="1">
        <v>23</v>
      </c>
      <c r="AJ170" s="1">
        <v>24</v>
      </c>
      <c r="AK170" s="1">
        <v>25</v>
      </c>
      <c r="AL170" s="1">
        <v>26</v>
      </c>
      <c r="AM170" s="1">
        <v>27</v>
      </c>
      <c r="AN170" s="1">
        <v>28</v>
      </c>
      <c r="AO170" s="1">
        <v>29</v>
      </c>
      <c r="AP170" s="1">
        <v>30</v>
      </c>
      <c r="AQ170" s="1">
        <v>31</v>
      </c>
      <c r="AR170" s="1">
        <v>32</v>
      </c>
      <c r="AS170" s="1">
        <v>33</v>
      </c>
      <c r="AT170" s="1">
        <v>34</v>
      </c>
      <c r="AU170" s="1">
        <v>35</v>
      </c>
    </row>
    <row r="171" spans="11:47">
      <c r="K171" s="212" t="s">
        <v>242</v>
      </c>
      <c r="L171" s="213" t="s">
        <v>238</v>
      </c>
      <c r="M171" s="215">
        <v>365</v>
      </c>
      <c r="N171" s="215">
        <v>365</v>
      </c>
      <c r="O171" s="215">
        <v>365</v>
      </c>
      <c r="P171" s="215">
        <v>365</v>
      </c>
      <c r="Q171" s="215">
        <v>365</v>
      </c>
      <c r="R171" s="215">
        <v>365</v>
      </c>
      <c r="S171" s="215">
        <v>365</v>
      </c>
      <c r="T171" s="215">
        <v>365</v>
      </c>
      <c r="U171" s="215">
        <v>365</v>
      </c>
      <c r="V171" s="215">
        <v>365</v>
      </c>
      <c r="W171" s="215">
        <v>365</v>
      </c>
      <c r="X171" s="215">
        <v>365</v>
      </c>
      <c r="Y171" s="215">
        <v>365</v>
      </c>
      <c r="Z171" s="215">
        <v>365</v>
      </c>
      <c r="AA171" s="215">
        <v>365</v>
      </c>
      <c r="AB171" s="215">
        <v>365</v>
      </c>
      <c r="AC171" s="215">
        <v>365</v>
      </c>
      <c r="AD171" s="215">
        <v>365</v>
      </c>
      <c r="AE171" s="215">
        <v>365</v>
      </c>
      <c r="AF171" s="215">
        <v>365</v>
      </c>
      <c r="AG171" s="215">
        <v>365</v>
      </c>
      <c r="AH171" s="215">
        <v>365</v>
      </c>
      <c r="AI171" s="215">
        <v>365</v>
      </c>
      <c r="AJ171" s="215">
        <v>365</v>
      </c>
      <c r="AK171" s="215">
        <v>365</v>
      </c>
      <c r="AL171" s="215">
        <v>365</v>
      </c>
      <c r="AM171" s="215">
        <v>365</v>
      </c>
      <c r="AN171" s="215">
        <v>365</v>
      </c>
      <c r="AO171" s="215">
        <v>365</v>
      </c>
      <c r="AP171" s="215">
        <v>365</v>
      </c>
      <c r="AQ171" s="215">
        <v>365</v>
      </c>
      <c r="AR171" s="215">
        <v>365</v>
      </c>
      <c r="AS171" s="215">
        <v>365</v>
      </c>
      <c r="AT171" s="215">
        <v>365</v>
      </c>
      <c r="AU171" s="215">
        <v>365</v>
      </c>
    </row>
    <row r="172" spans="11:47">
      <c r="K172" s="212" t="s">
        <v>243</v>
      </c>
      <c r="L172" s="213" t="s">
        <v>243</v>
      </c>
      <c r="M172" s="215">
        <v>12</v>
      </c>
      <c r="N172" s="215">
        <v>12</v>
      </c>
      <c r="O172" s="215">
        <v>12</v>
      </c>
      <c r="P172" s="215">
        <v>12</v>
      </c>
      <c r="Q172" s="215">
        <v>12</v>
      </c>
      <c r="R172" s="215">
        <v>12</v>
      </c>
      <c r="S172" s="215">
        <v>12</v>
      </c>
      <c r="T172" s="215">
        <v>12</v>
      </c>
      <c r="U172" s="215">
        <v>12</v>
      </c>
      <c r="V172" s="215">
        <v>12</v>
      </c>
      <c r="W172" s="215">
        <v>12</v>
      </c>
      <c r="X172" s="215">
        <v>12</v>
      </c>
      <c r="Y172" s="215">
        <v>12</v>
      </c>
      <c r="Z172" s="215">
        <v>12</v>
      </c>
      <c r="AA172" s="215">
        <v>12</v>
      </c>
      <c r="AB172" s="215">
        <v>12</v>
      </c>
      <c r="AC172" s="215">
        <v>12</v>
      </c>
      <c r="AD172" s="215">
        <v>12</v>
      </c>
      <c r="AE172" s="215">
        <v>12</v>
      </c>
      <c r="AF172" s="215">
        <v>12</v>
      </c>
      <c r="AG172" s="215">
        <v>12</v>
      </c>
      <c r="AH172" s="215">
        <v>12</v>
      </c>
      <c r="AI172" s="215">
        <v>12</v>
      </c>
      <c r="AJ172" s="215">
        <v>12</v>
      </c>
      <c r="AK172" s="215">
        <v>12</v>
      </c>
      <c r="AL172" s="215">
        <v>12</v>
      </c>
      <c r="AM172" s="215">
        <v>12</v>
      </c>
      <c r="AN172" s="215">
        <v>12</v>
      </c>
      <c r="AO172" s="215">
        <v>12</v>
      </c>
      <c r="AP172" s="215">
        <v>12</v>
      </c>
      <c r="AQ172" s="215">
        <v>12</v>
      </c>
      <c r="AR172" s="215">
        <v>12</v>
      </c>
      <c r="AS172" s="215">
        <v>12</v>
      </c>
      <c r="AT172" s="215">
        <v>12</v>
      </c>
      <c r="AU172" s="215">
        <v>12</v>
      </c>
    </row>
    <row r="176" spans="11:47">
      <c r="K176" s="419" t="s">
        <v>244</v>
      </c>
      <c r="L176" s="419"/>
      <c r="M176" s="419"/>
    </row>
    <row r="178" spans="11:23">
      <c r="K178" t="str">
        <f t="shared" ref="K178:W178" si="49">K8</f>
        <v>Mês</v>
      </c>
      <c r="L178" s="10" t="str">
        <f t="shared" si="49"/>
        <v>Janeiro</v>
      </c>
      <c r="M178" s="10" t="str">
        <f t="shared" si="49"/>
        <v>Fevereiro</v>
      </c>
      <c r="N178" s="10" t="str">
        <f t="shared" si="49"/>
        <v>Março</v>
      </c>
      <c r="O178" s="10" t="str">
        <f t="shared" si="49"/>
        <v>Abril</v>
      </c>
      <c r="P178" s="10" t="str">
        <f t="shared" si="49"/>
        <v>Maio</v>
      </c>
      <c r="Q178" s="10" t="str">
        <f t="shared" si="49"/>
        <v>Junho</v>
      </c>
      <c r="R178" s="10" t="str">
        <f t="shared" si="49"/>
        <v>Julho</v>
      </c>
      <c r="S178" s="10" t="str">
        <f t="shared" si="49"/>
        <v>Agosto</v>
      </c>
      <c r="T178" s="10" t="str">
        <f t="shared" si="49"/>
        <v>Setembro</v>
      </c>
      <c r="U178" s="10" t="str">
        <f t="shared" si="49"/>
        <v>Outubro</v>
      </c>
      <c r="V178" s="10" t="str">
        <f t="shared" si="49"/>
        <v>Novembro</v>
      </c>
      <c r="W178" s="10" t="str">
        <f t="shared" si="49"/>
        <v>Dezembro</v>
      </c>
    </row>
    <row r="179" spans="11:23">
      <c r="K179" t="str">
        <f t="shared" ref="K179:W179" si="50">K9</f>
        <v>Temporada</v>
      </c>
      <c r="L179" s="5" t="str">
        <f t="shared" si="50"/>
        <v>Média</v>
      </c>
      <c r="M179" s="5" t="str">
        <f t="shared" si="50"/>
        <v>Baixa</v>
      </c>
      <c r="N179" s="5" t="str">
        <f t="shared" si="50"/>
        <v>Alta</v>
      </c>
      <c r="O179" s="5" t="str">
        <f t="shared" si="50"/>
        <v>Alta</v>
      </c>
      <c r="P179" s="5" t="str">
        <f t="shared" si="50"/>
        <v>Média</v>
      </c>
      <c r="Q179" s="5" t="str">
        <f t="shared" si="50"/>
        <v>Alta</v>
      </c>
      <c r="R179" s="5" t="str">
        <f t="shared" si="50"/>
        <v>Alta</v>
      </c>
      <c r="S179" s="5" t="str">
        <f t="shared" si="50"/>
        <v>Média</v>
      </c>
      <c r="T179" s="5" t="str">
        <f t="shared" si="50"/>
        <v>Baixa</v>
      </c>
      <c r="U179" s="5" t="str">
        <f t="shared" si="50"/>
        <v>Baixa</v>
      </c>
      <c r="V179" s="5" t="str">
        <f t="shared" si="50"/>
        <v>Média</v>
      </c>
      <c r="W179" s="5" t="str">
        <f t="shared" si="50"/>
        <v>Alta</v>
      </c>
    </row>
    <row r="180" spans="11:23">
      <c r="K180" t="s">
        <v>245</v>
      </c>
      <c r="L180" s="5">
        <f t="shared" ref="L180:W180" si="51">$D$52</f>
        <v>52</v>
      </c>
      <c r="M180" s="5">
        <f t="shared" si="51"/>
        <v>52</v>
      </c>
      <c r="N180" s="5">
        <f t="shared" si="51"/>
        <v>52</v>
      </c>
      <c r="O180" s="5">
        <f t="shared" si="51"/>
        <v>52</v>
      </c>
      <c r="P180" s="5">
        <f t="shared" si="51"/>
        <v>52</v>
      </c>
      <c r="Q180" s="5">
        <f t="shared" si="51"/>
        <v>52</v>
      </c>
      <c r="R180" s="5">
        <f t="shared" si="51"/>
        <v>52</v>
      </c>
      <c r="S180" s="5">
        <f t="shared" si="51"/>
        <v>52</v>
      </c>
      <c r="T180" s="5">
        <f t="shared" si="51"/>
        <v>52</v>
      </c>
      <c r="U180" s="5">
        <f t="shared" si="51"/>
        <v>52</v>
      </c>
      <c r="V180" s="5">
        <f t="shared" si="51"/>
        <v>52</v>
      </c>
      <c r="W180" s="5">
        <f t="shared" si="51"/>
        <v>52</v>
      </c>
    </row>
    <row r="181" spans="11:23">
      <c r="K181" t="s">
        <v>246</v>
      </c>
      <c r="L181" s="157">
        <f>L10</f>
        <v>0.56000000000000005</v>
      </c>
      <c r="M181" s="157">
        <f t="shared" ref="M181:W181" si="52">M10</f>
        <v>0.44</v>
      </c>
      <c r="N181" s="157">
        <f t="shared" si="52"/>
        <v>0.65</v>
      </c>
      <c r="O181" s="157">
        <f t="shared" si="52"/>
        <v>0.65</v>
      </c>
      <c r="P181" s="157">
        <f t="shared" si="52"/>
        <v>0.56000000000000005</v>
      </c>
      <c r="Q181" s="157">
        <f t="shared" si="52"/>
        <v>0.65</v>
      </c>
      <c r="R181" s="157">
        <f t="shared" si="52"/>
        <v>0.65</v>
      </c>
      <c r="S181" s="157">
        <f t="shared" si="52"/>
        <v>0.56000000000000005</v>
      </c>
      <c r="T181" s="157">
        <f t="shared" si="52"/>
        <v>0.44</v>
      </c>
      <c r="U181" s="157">
        <f t="shared" si="52"/>
        <v>0.44</v>
      </c>
      <c r="V181" s="157">
        <f t="shared" si="52"/>
        <v>0.56000000000000005</v>
      </c>
      <c r="W181" s="157">
        <f t="shared" si="52"/>
        <v>0.65</v>
      </c>
    </row>
    <row r="182" spans="11:23">
      <c r="K182" t="s">
        <v>247</v>
      </c>
      <c r="L182" s="206">
        <f>L181*L180</f>
        <v>29.120000000000005</v>
      </c>
      <c r="M182" s="206">
        <f>M181*M180</f>
        <v>22.88</v>
      </c>
      <c r="N182" s="206">
        <f t="shared" ref="N182:W182" si="53">N181*N180</f>
        <v>33.800000000000004</v>
      </c>
      <c r="O182" s="206">
        <f t="shared" si="53"/>
        <v>33.800000000000004</v>
      </c>
      <c r="P182" s="206">
        <f t="shared" si="53"/>
        <v>29.120000000000005</v>
      </c>
      <c r="Q182" s="206">
        <f t="shared" si="53"/>
        <v>33.800000000000004</v>
      </c>
      <c r="R182" s="206">
        <f t="shared" si="53"/>
        <v>33.800000000000004</v>
      </c>
      <c r="S182" s="206">
        <f t="shared" si="53"/>
        <v>29.120000000000005</v>
      </c>
      <c r="T182" s="206">
        <f t="shared" si="53"/>
        <v>22.88</v>
      </c>
      <c r="U182" s="206">
        <f t="shared" si="53"/>
        <v>22.88</v>
      </c>
      <c r="V182" s="206">
        <f t="shared" si="53"/>
        <v>29.120000000000005</v>
      </c>
      <c r="W182" s="206">
        <f t="shared" si="53"/>
        <v>33.800000000000004</v>
      </c>
    </row>
    <row r="183" spans="11:23">
      <c r="K183" t="s">
        <v>248</v>
      </c>
      <c r="L183" s="5">
        <f>$E$52*30*L181</f>
        <v>1680.0000000000002</v>
      </c>
      <c r="M183" s="5">
        <f t="shared" ref="M183:W183" si="54">$E$52*30*M181</f>
        <v>1320</v>
      </c>
      <c r="N183" s="5">
        <f t="shared" si="54"/>
        <v>1950</v>
      </c>
      <c r="O183" s="5">
        <f t="shared" si="54"/>
        <v>1950</v>
      </c>
      <c r="P183" s="5">
        <f t="shared" si="54"/>
        <v>1680.0000000000002</v>
      </c>
      <c r="Q183" s="5">
        <f t="shared" si="54"/>
        <v>1950</v>
      </c>
      <c r="R183" s="5">
        <f t="shared" si="54"/>
        <v>1950</v>
      </c>
      <c r="S183" s="5">
        <f t="shared" si="54"/>
        <v>1680.0000000000002</v>
      </c>
      <c r="T183" s="5">
        <f t="shared" si="54"/>
        <v>1320</v>
      </c>
      <c r="U183" s="5">
        <f t="shared" si="54"/>
        <v>1320</v>
      </c>
      <c r="V183" s="5">
        <f t="shared" si="54"/>
        <v>1680.0000000000002</v>
      </c>
      <c r="W183" s="5">
        <f t="shared" si="54"/>
        <v>1950</v>
      </c>
    </row>
    <row r="184" spans="11:23" ht="18.75">
      <c r="K184" t="s">
        <v>249</v>
      </c>
      <c r="L184" s="233">
        <f>SUM(L183:W183)</f>
        <v>20430</v>
      </c>
    </row>
    <row r="185" spans="11:23" ht="15.75">
      <c r="K185" t="s">
        <v>250</v>
      </c>
      <c r="L185" s="319">
        <v>0.18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1:23">
      <c r="K186" t="s">
        <v>251</v>
      </c>
      <c r="L186" s="301">
        <f>(1-L185)*L184</f>
        <v>16752.600000000002</v>
      </c>
    </row>
    <row r="187" spans="11:23">
      <c r="K187" s="223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</row>
    <row r="200" spans="11:23"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</row>
    <row r="201" spans="11:23">
      <c r="K201" s="223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</row>
    <row r="202" spans="11:23">
      <c r="K202" s="223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</row>
    <row r="208" spans="11:23">
      <c r="L208" s="4"/>
    </row>
    <row r="1048571" spans="2:2">
      <c r="B1048571" s="56"/>
    </row>
    <row r="1048572" spans="2:2">
      <c r="B1048572" s="56"/>
    </row>
    <row r="1048573" spans="2:2">
      <c r="B1048573" s="56"/>
    </row>
  </sheetData>
  <sheetProtection password="C655" sheet="1" objects="1" scenarios="1"/>
  <customSheetViews>
    <customSheetView guid="{30D5658C-25B6-44C0-9599-95A19C107C6A}" scale="80" topLeftCell="A34">
      <selection activeCell="G24" sqref="G24"/>
      <pageMargins left="0" right="0" top="0" bottom="0" header="0" footer="0"/>
      <pageSetup paperSize="9" orientation="portrait" horizontalDpi="360" verticalDpi="360" r:id="rId1"/>
    </customSheetView>
  </customSheetViews>
  <mergeCells count="8">
    <mergeCell ref="K176:M176"/>
    <mergeCell ref="K4:L4"/>
    <mergeCell ref="K6:L6"/>
    <mergeCell ref="A1:G2"/>
    <mergeCell ref="C28:D28"/>
    <mergeCell ref="Y12:AA12"/>
    <mergeCell ref="Y13:AA13"/>
    <mergeCell ref="Y14:AA14"/>
  </mergeCells>
  <phoneticPr fontId="66" type="noConversion"/>
  <conditionalFormatting sqref="D11">
    <cfRule type="cellIs" dxfId="134" priority="14" operator="greaterThan">
      <formula>0</formula>
    </cfRule>
    <cfRule type="cellIs" dxfId="133" priority="13" operator="lessThan">
      <formula>0</formula>
    </cfRule>
  </conditionalFormatting>
  <conditionalFormatting sqref="D30:D42">
    <cfRule type="cellIs" dxfId="132" priority="198" operator="equal">
      <formula>"Baixa"</formula>
    </cfRule>
    <cfRule type="cellIs" dxfId="131" priority="197" operator="equal">
      <formula>"Média"</formula>
    </cfRule>
    <cfRule type="cellIs" dxfId="130" priority="200" operator="equal">
      <formula>"Alta"</formula>
    </cfRule>
    <cfRule type="cellIs" dxfId="129" priority="199" operator="equal">
      <formula>"Baixa"</formula>
    </cfRule>
  </conditionalFormatting>
  <conditionalFormatting sqref="D45:D48">
    <cfRule type="cellIs" dxfId="128" priority="71" operator="equal">
      <formula>"Baixa"</formula>
    </cfRule>
    <cfRule type="cellIs" dxfId="127" priority="72" operator="equal">
      <formula>"Alta"</formula>
    </cfRule>
    <cfRule type="cellIs" dxfId="126" priority="69" operator="equal">
      <formula>"Média"</formula>
    </cfRule>
    <cfRule type="cellIs" dxfId="125" priority="70" operator="equal">
      <formula>"Baixa"</formula>
    </cfRule>
  </conditionalFormatting>
  <conditionalFormatting sqref="D54:D56">
    <cfRule type="cellIs" dxfId="124" priority="74" operator="equal">
      <formula>"Baixa"</formula>
    </cfRule>
    <cfRule type="cellIs" dxfId="123" priority="73" operator="equal">
      <formula>"Média"</formula>
    </cfRule>
    <cfRule type="cellIs" dxfId="122" priority="75" operator="equal">
      <formula>"Baixa"</formula>
    </cfRule>
    <cfRule type="cellIs" dxfId="121" priority="76" operator="equal">
      <formula>"Alta"</formula>
    </cfRule>
  </conditionalFormatting>
  <conditionalFormatting sqref="D72:D79">
    <cfRule type="cellIs" dxfId="120" priority="103" operator="equal">
      <formula>"Estimativa"</formula>
    </cfRule>
    <cfRule type="cellIs" dxfId="119" priority="101" operator="equal">
      <formula>"Provisão"</formula>
    </cfRule>
    <cfRule type="cellIs" dxfId="118" priority="104" operator="equal">
      <formula>"""Estimativa"""</formula>
    </cfRule>
    <cfRule type="cellIs" dxfId="117" priority="102" operator="equal">
      <formula>"Estimativa"</formula>
    </cfRule>
  </conditionalFormatting>
  <conditionalFormatting sqref="D52:E52">
    <cfRule type="cellIs" dxfId="116" priority="2" operator="equal">
      <formula>"Baixa"</formula>
    </cfRule>
    <cfRule type="cellIs" dxfId="115" priority="3" operator="equal">
      <formula>"Baixa"</formula>
    </cfRule>
    <cfRule type="cellIs" dxfId="114" priority="4" operator="equal">
      <formula>"Alta"</formula>
    </cfRule>
    <cfRule type="cellIs" dxfId="113" priority="1" operator="equal">
      <formula>"Média"</formula>
    </cfRule>
  </conditionalFormatting>
  <conditionalFormatting sqref="E74">
    <cfRule type="cellIs" dxfId="112" priority="60" operator="lessThan">
      <formula>0</formula>
    </cfRule>
  </conditionalFormatting>
  <conditionalFormatting sqref="E76">
    <cfRule type="cellIs" dxfId="111" priority="59" operator="lessThan">
      <formula>0</formula>
    </cfRule>
  </conditionalFormatting>
  <conditionalFormatting sqref="G10">
    <cfRule type="cellIs" dxfId="110" priority="68" operator="equal">
      <formula>"Alta"</formula>
    </cfRule>
    <cfRule type="cellIs" dxfId="109" priority="67" operator="equal">
      <formula>"Baixa"</formula>
    </cfRule>
    <cfRule type="cellIs" dxfId="108" priority="66" operator="equal">
      <formula>"Baixa"</formula>
    </cfRule>
    <cfRule type="cellIs" dxfId="107" priority="65" operator="equal">
      <formula>"Média"</formula>
    </cfRule>
  </conditionalFormatting>
  <conditionalFormatting sqref="G13">
    <cfRule type="cellIs" dxfId="106" priority="61" operator="equal">
      <formula>"Média"</formula>
    </cfRule>
    <cfRule type="cellIs" dxfId="105" priority="64" operator="equal">
      <formula>"Alta"</formula>
    </cfRule>
    <cfRule type="cellIs" dxfId="104" priority="63" operator="equal">
      <formula>"Baixa"</formula>
    </cfRule>
    <cfRule type="cellIs" dxfId="103" priority="62" operator="equal">
      <formula>"Baixa"</formula>
    </cfRule>
  </conditionalFormatting>
  <conditionalFormatting sqref="G17:G18 C46:C48">
    <cfRule type="cellIs" dxfId="102" priority="193" operator="equal">
      <formula>"Média"</formula>
    </cfRule>
    <cfRule type="cellIs" dxfId="101" priority="195" operator="equal">
      <formula>"Baixa"</formula>
    </cfRule>
    <cfRule type="cellIs" dxfId="100" priority="196" operator="equal">
      <formula>"Alta"</formula>
    </cfRule>
    <cfRule type="cellIs" dxfId="99" priority="194" operator="equal">
      <formula>"Baixa"</formula>
    </cfRule>
  </conditionalFormatting>
  <conditionalFormatting sqref="H52">
    <cfRule type="cellIs" dxfId="98" priority="112" operator="equal">
      <formula>"Alta"</formula>
    </cfRule>
    <cfRule type="cellIs" dxfId="97" priority="111" operator="equal">
      <formula>"Baixa"</formula>
    </cfRule>
    <cfRule type="cellIs" dxfId="96" priority="110" operator="equal">
      <formula>"Baixa"</formula>
    </cfRule>
    <cfRule type="cellIs" dxfId="95" priority="109" operator="equal">
      <formula>"Média"</formula>
    </cfRule>
  </conditionalFormatting>
  <conditionalFormatting sqref="K126:K128">
    <cfRule type="cellIs" dxfId="94" priority="136" operator="equal">
      <formula>"Alta"</formula>
    </cfRule>
    <cfRule type="cellIs" dxfId="93" priority="135" operator="equal">
      <formula>"Baixa"</formula>
    </cfRule>
    <cfRule type="cellIs" dxfId="92" priority="134" operator="equal">
      <formula>"Baixa"</formula>
    </cfRule>
    <cfRule type="cellIs" dxfId="91" priority="133" operator="equal">
      <formula>"Média"</formula>
    </cfRule>
  </conditionalFormatting>
  <conditionalFormatting sqref="K147:K149">
    <cfRule type="cellIs" dxfId="90" priority="131" operator="equal">
      <formula>"Baixa"</formula>
    </cfRule>
    <cfRule type="cellIs" dxfId="89" priority="132" operator="equal">
      <formula>"Alta"</formula>
    </cfRule>
    <cfRule type="cellIs" dxfId="88" priority="130" operator="equal">
      <formula>"Baixa"</formula>
    </cfRule>
    <cfRule type="cellIs" dxfId="87" priority="129" operator="equal">
      <formula>"Média"</formula>
    </cfRule>
  </conditionalFormatting>
  <conditionalFormatting sqref="L18">
    <cfRule type="cellIs" dxfId="86" priority="54" operator="equal">
      <formula>"Alta"</formula>
    </cfRule>
    <cfRule type="cellIs" dxfId="85" priority="53" operator="equal">
      <formula>"Baixa"</formula>
    </cfRule>
    <cfRule type="cellIs" dxfId="84" priority="52" operator="equal">
      <formula>"Baixa"</formula>
    </cfRule>
    <cfRule type="cellIs" dxfId="83" priority="51" operator="equal">
      <formula>"Média"</formula>
    </cfRule>
  </conditionalFormatting>
  <conditionalFormatting sqref="L72:L77">
    <cfRule type="cellIs" dxfId="82" priority="27" operator="equal">
      <formula>"Média"</formula>
    </cfRule>
    <cfRule type="cellIs" dxfId="81" priority="28" operator="equal">
      <formula>"Baixa"</formula>
    </cfRule>
    <cfRule type="cellIs" dxfId="80" priority="29" operator="equal">
      <formula>"Baixa"</formula>
    </cfRule>
    <cfRule type="cellIs" dxfId="79" priority="30" operator="equal">
      <formula>"Alta"</formula>
    </cfRule>
  </conditionalFormatting>
  <conditionalFormatting sqref="L108:L109">
    <cfRule type="cellIs" dxfId="78" priority="23" operator="equal">
      <formula>"Média"</formula>
    </cfRule>
    <cfRule type="cellIs" dxfId="77" priority="24" operator="equal">
      <formula>"Baixa"</formula>
    </cfRule>
    <cfRule type="cellIs" dxfId="76" priority="25" operator="equal">
      <formula>"Baixa"</formula>
    </cfRule>
    <cfRule type="cellIs" dxfId="75" priority="26" operator="equal">
      <formula>"Alta"</formula>
    </cfRule>
  </conditionalFormatting>
  <conditionalFormatting sqref="L113">
    <cfRule type="cellIs" dxfId="74" priority="20" operator="equal">
      <formula>"Baixa"</formula>
    </cfRule>
    <cfRule type="cellIs" dxfId="73" priority="21" operator="equal">
      <formula>"Baixa"</formula>
    </cfRule>
    <cfRule type="cellIs" dxfId="72" priority="22" operator="equal">
      <formula>"Alta"</formula>
    </cfRule>
    <cfRule type="cellIs" dxfId="71" priority="19" operator="equal">
      <formula>"Média"</formula>
    </cfRule>
  </conditionalFormatting>
  <conditionalFormatting sqref="L138">
    <cfRule type="cellIs" dxfId="70" priority="46" operator="equal">
      <formula>"Alta"</formula>
    </cfRule>
    <cfRule type="cellIs" dxfId="69" priority="45" operator="equal">
      <formula>"Baixa"</formula>
    </cfRule>
    <cfRule type="cellIs" dxfId="68" priority="44" operator="equal">
      <formula>"Baixa"</formula>
    </cfRule>
    <cfRule type="cellIs" dxfId="67" priority="43" operator="equal">
      <formula>"Média"</formula>
    </cfRule>
  </conditionalFormatting>
  <conditionalFormatting sqref="L185">
    <cfRule type="cellIs" dxfId="66" priority="57" operator="equal">
      <formula>"Baixa"</formula>
    </cfRule>
    <cfRule type="cellIs" dxfId="65" priority="55" operator="equal">
      <formula>"Média"</formula>
    </cfRule>
    <cfRule type="cellIs" dxfId="64" priority="58" operator="equal">
      <formula>"Alta"</formula>
    </cfRule>
    <cfRule type="cellIs" dxfId="63" priority="56" operator="equal">
      <formula>"Baixa"</formula>
    </cfRule>
  </conditionalFormatting>
  <conditionalFormatting sqref="L59:M61">
    <cfRule type="cellIs" dxfId="62" priority="42" operator="equal">
      <formula>"Alta"</formula>
    </cfRule>
    <cfRule type="cellIs" dxfId="61" priority="40" operator="equal">
      <formula>"Baixa"</formula>
    </cfRule>
    <cfRule type="cellIs" dxfId="60" priority="39" operator="equal">
      <formula>"Média"</formula>
    </cfRule>
    <cfRule type="cellIs" dxfId="59" priority="41" operator="equal">
      <formula>"Baixa"</formula>
    </cfRule>
  </conditionalFormatting>
  <conditionalFormatting sqref="L63:M66">
    <cfRule type="cellIs" dxfId="58" priority="38" operator="equal">
      <formula>"Alta"</formula>
    </cfRule>
    <cfRule type="cellIs" dxfId="57" priority="37" operator="equal">
      <formula>"Baixa"</formula>
    </cfRule>
    <cfRule type="cellIs" dxfId="56" priority="36" operator="equal">
      <formula>"Baixa"</formula>
    </cfRule>
    <cfRule type="cellIs" dxfId="55" priority="35" operator="equal">
      <formula>"Média"</formula>
    </cfRule>
  </conditionalFormatting>
  <conditionalFormatting sqref="L9:W9">
    <cfRule type="cellIs" dxfId="54" priority="153" operator="equal">
      <formula>"Média"</formula>
    </cfRule>
    <cfRule type="cellIs" dxfId="53" priority="156" operator="equal">
      <formula>"Alta"</formula>
    </cfRule>
    <cfRule type="cellIs" dxfId="52" priority="154" operator="equal">
      <formula>"Baixa"</formula>
    </cfRule>
    <cfRule type="cellIs" dxfId="51" priority="155" operator="equal">
      <formula>"Baixa"</formula>
    </cfRule>
  </conditionalFormatting>
  <conditionalFormatting sqref="L117:W117">
    <cfRule type="cellIs" dxfId="50" priority="137" operator="equal">
      <formula>"Média"</formula>
    </cfRule>
    <cfRule type="cellIs" dxfId="49" priority="138" operator="equal">
      <formula>"Baixa"</formula>
    </cfRule>
    <cfRule type="cellIs" dxfId="48" priority="139" operator="equal">
      <formula>"Baixa"</formula>
    </cfRule>
    <cfRule type="cellIs" dxfId="47" priority="140" operator="equal">
      <formula>"Alta"</formula>
    </cfRule>
  </conditionalFormatting>
  <conditionalFormatting sqref="L141:W141">
    <cfRule type="cellIs" dxfId="46" priority="128" operator="equal">
      <formula>"Alta"</formula>
    </cfRule>
    <cfRule type="cellIs" dxfId="45" priority="125" operator="equal">
      <formula>"Média"</formula>
    </cfRule>
    <cfRule type="cellIs" dxfId="44" priority="126" operator="equal">
      <formula>"Baixa"</formula>
    </cfRule>
    <cfRule type="cellIs" dxfId="43" priority="127" operator="equal">
      <formula>"Baixa"</formula>
    </cfRule>
  </conditionalFormatting>
  <conditionalFormatting sqref="L179:W179">
    <cfRule type="cellIs" dxfId="42" priority="117" operator="equal">
      <formula>"Média"</formula>
    </cfRule>
    <cfRule type="cellIs" dxfId="41" priority="120" operator="equal">
      <formula>"Alta"</formula>
    </cfRule>
    <cfRule type="cellIs" dxfId="40" priority="119" operator="equal">
      <formula>"Baixa"</formula>
    </cfRule>
    <cfRule type="cellIs" dxfId="39" priority="118" operator="equal">
      <formula>"Baixa"</formula>
    </cfRule>
  </conditionalFormatting>
  <conditionalFormatting sqref="M62">
    <cfRule type="cellIs" dxfId="38" priority="34" operator="equal">
      <formula>"Alta"</formula>
    </cfRule>
    <cfRule type="cellIs" dxfId="37" priority="33" operator="equal">
      <formula>"Baixa"</formula>
    </cfRule>
    <cfRule type="cellIs" dxfId="36" priority="32" operator="equal">
      <formula>"Baixa"</formula>
    </cfRule>
    <cfRule type="cellIs" dxfId="35" priority="31" operator="equal">
      <formula>"Média"</formula>
    </cfRule>
  </conditionalFormatting>
  <conditionalFormatting sqref="M110">
    <cfRule type="containsText" dxfId="34" priority="189" operator="containsText" text="Vermelha">
      <formula>NOT(ISERROR(SEARCH("Vermelha",M110)))</formula>
    </cfRule>
    <cfRule type="cellIs" dxfId="33" priority="190" operator="equal">
      <formula>"""Vermelha 1""; ""Vermelha 2"""</formula>
    </cfRule>
    <cfRule type="cellIs" dxfId="32" priority="191" operator="equal">
      <formula>"Verde"</formula>
    </cfRule>
    <cfRule type="cellIs" dxfId="31" priority="192" operator="equal">
      <formula>"""Amarela"""</formula>
    </cfRule>
  </conditionalFormatting>
  <conditionalFormatting sqref="Y9:Y14">
    <cfRule type="cellIs" dxfId="30" priority="84" operator="equal">
      <formula>"Média"</formula>
    </cfRule>
    <cfRule type="cellIs" dxfId="29" priority="85" operator="equal">
      <formula>"Baixa"</formula>
    </cfRule>
    <cfRule type="cellIs" dxfId="28" priority="86" operator="equal">
      <formula>"Baixa"</formula>
    </cfRule>
    <cfRule type="cellIs" dxfId="27" priority="87" operator="equal">
      <formula>"Alta"</formula>
    </cfRule>
  </conditionalFormatting>
  <dataValidations count="1">
    <dataValidation type="list" allowBlank="1" showInputMessage="1" showErrorMessage="1" sqref="M110">
      <formula1>"Verde, Amarela, Vermelha 1, Vermelha 2"</formula1>
    </dataValidation>
  </dataValidations>
  <hyperlinks>
    <hyperlink ref="C92" r:id="rId2"/>
    <hyperlink ref="C91" r:id="rId3"/>
    <hyperlink ref="C90" r:id="rId4"/>
    <hyperlink ref="C89" r:id="rId5"/>
    <hyperlink ref="C88" r:id="rId6"/>
    <hyperlink ref="C87" r:id="rId7"/>
    <hyperlink ref="C86" r:id="rId8"/>
    <hyperlink ref="C85" r:id="rId9" display="Apartatemnrto "/>
    <hyperlink ref="C84" r:id="rId10"/>
    <hyperlink ref="L110" r:id="rId11" tooltip="TARIFAS DE ENERGIA - EQUATORIAL" display="https://pi.equatorialenergia.com.br/wp-content/uploads/2022/12/Anexo-I-Tabela-de-Tarifas-EQTL-PI-2022.pdf"/>
    <hyperlink ref="M102" r:id="rId12"/>
    <hyperlink ref="M100" r:id="rId13"/>
    <hyperlink ref="M101" r:id="rId14"/>
    <hyperlink ref="M99" r:id="rId15" display="Lâmpada led alta potência 20w luz branca 1400lm "/>
    <hyperlink ref="M98" r:id="rId16" display="Lâmpada led alta potência 20w luz branca 1400lm "/>
    <hyperlink ref="L93" r:id="rId17" display="https://www.fabricadeuniformes.com.br/uniforme-composto-por-camiseta-basica-branca-e-bermuda-branca"/>
    <hyperlink ref="L85" r:id="rId18" location="reco_item_pos=1&amp;reco_backend=machinalis-seller-items-pdp&amp;reco_backend_type=low_level&amp;reco_client=vip-seller_items-above&amp;reco_id=018d15cf-f00d-4aab-8050-4a3fb8940f2a"/>
    <hyperlink ref="L84" r:id="rId19"/>
    <hyperlink ref="L83" r:id="rId20"/>
    <hyperlink ref="L87" r:id="rId21"/>
    <hyperlink ref="L92" r:id="rId22"/>
    <hyperlink ref="L91" r:id="rId23"/>
    <hyperlink ref="L82" r:id="rId24"/>
    <hyperlink ref="L88" r:id="rId25" location="position=28&amp;search_layout=grid&amp;type=item&amp;tracking_id=33106186-157e-48ba-9897-4ba199b08afd" tooltip="Calça Vigilante+ Coturno Militar + Camiseta Segurança+ Cinto" display="https://produto.mercadolivre.com.br/MLB-1607463874-calca-vigilante-coturno-militar-camiseta-seguranca-cinto-_JM - position=28&amp;search_layout=grid&amp;type=item&amp;tracking_id=33106186-157e-48ba-9897-4ba199b08afd"/>
    <hyperlink ref="E67" r:id="rId26" display="https://noticias.r7.com/brasilia/governo-preve-salario-minimo-de-r-1502-em-2025-e-r-1722-em-2028-15042024/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1"/>
  <sheetViews>
    <sheetView topLeftCell="A52" zoomScaleNormal="100" zoomScaleSheetLayoutView="265" workbookViewId="0">
      <selection activeCell="E63" sqref="E63"/>
    </sheetView>
  </sheetViews>
  <sheetFormatPr defaultColWidth="8.7109375" defaultRowHeight="15"/>
  <cols>
    <col min="1" max="1" width="20.7109375" style="56" customWidth="1"/>
    <col min="2" max="2" width="3" bestFit="1" customWidth="1"/>
    <col min="3" max="3" width="31.5703125" customWidth="1"/>
    <col min="4" max="5" width="34.5703125" customWidth="1"/>
    <col min="6" max="6" width="12.28515625" customWidth="1"/>
    <col min="7" max="7" width="10.85546875" customWidth="1"/>
    <col min="8" max="40" width="10.28515625" customWidth="1"/>
  </cols>
  <sheetData>
    <row r="1" spans="1:40" s="56" customFormat="1" ht="27">
      <c r="A1" s="297" t="s">
        <v>252</v>
      </c>
      <c r="B1" s="297"/>
      <c r="C1" s="297"/>
      <c r="D1" s="297"/>
      <c r="E1" s="297"/>
      <c r="F1" s="297"/>
      <c r="G1" s="297"/>
      <c r="H1" s="297"/>
    </row>
    <row r="2" spans="1:40" s="56" customFormat="1" ht="27">
      <c r="A2" s="297"/>
      <c r="B2" s="297"/>
      <c r="C2" s="297"/>
      <c r="D2" s="297"/>
      <c r="E2" s="297"/>
      <c r="F2" s="297"/>
      <c r="G2" s="297"/>
      <c r="H2" s="297"/>
    </row>
    <row r="4" spans="1:40">
      <c r="E4" s="247">
        <f>F4-1</f>
        <v>2025</v>
      </c>
      <c r="F4" s="247">
        <f>'Premissas Gerais'!G7</f>
        <v>2026</v>
      </c>
      <c r="G4" s="247">
        <f>F4+1</f>
        <v>2027</v>
      </c>
      <c r="H4" s="247">
        <f t="shared" ref="H4:AN4" si="0">G4+1</f>
        <v>2028</v>
      </c>
      <c r="I4" s="247">
        <f t="shared" si="0"/>
        <v>2029</v>
      </c>
      <c r="J4" s="247">
        <f t="shared" si="0"/>
        <v>2030</v>
      </c>
      <c r="K4" s="247">
        <f t="shared" si="0"/>
        <v>2031</v>
      </c>
      <c r="L4" s="247">
        <f t="shared" si="0"/>
        <v>2032</v>
      </c>
      <c r="M4" s="247">
        <f t="shared" si="0"/>
        <v>2033</v>
      </c>
      <c r="N4" s="247">
        <f t="shared" si="0"/>
        <v>2034</v>
      </c>
      <c r="O4" s="247">
        <f t="shared" si="0"/>
        <v>2035</v>
      </c>
      <c r="P4" s="247">
        <f t="shared" si="0"/>
        <v>2036</v>
      </c>
      <c r="Q4" s="247">
        <f t="shared" si="0"/>
        <v>2037</v>
      </c>
      <c r="R4" s="247">
        <f t="shared" si="0"/>
        <v>2038</v>
      </c>
      <c r="S4" s="247">
        <f t="shared" si="0"/>
        <v>2039</v>
      </c>
      <c r="T4" s="247">
        <f t="shared" si="0"/>
        <v>2040</v>
      </c>
      <c r="U4" s="247">
        <f t="shared" si="0"/>
        <v>2041</v>
      </c>
      <c r="V4" s="247">
        <f t="shared" si="0"/>
        <v>2042</v>
      </c>
      <c r="W4" s="247">
        <f t="shared" si="0"/>
        <v>2043</v>
      </c>
      <c r="X4" s="247">
        <f t="shared" si="0"/>
        <v>2044</v>
      </c>
      <c r="Y4" s="247">
        <f t="shared" si="0"/>
        <v>2045</v>
      </c>
      <c r="Z4" s="247">
        <f t="shared" si="0"/>
        <v>2046</v>
      </c>
      <c r="AA4" s="247">
        <f t="shared" si="0"/>
        <v>2047</v>
      </c>
      <c r="AB4" s="247">
        <f t="shared" si="0"/>
        <v>2048</v>
      </c>
      <c r="AC4" s="247">
        <f t="shared" si="0"/>
        <v>2049</v>
      </c>
      <c r="AD4" s="247">
        <f t="shared" si="0"/>
        <v>2050</v>
      </c>
      <c r="AE4" s="247">
        <f t="shared" si="0"/>
        <v>2051</v>
      </c>
      <c r="AF4" s="247">
        <f t="shared" si="0"/>
        <v>2052</v>
      </c>
      <c r="AG4" s="247">
        <f t="shared" si="0"/>
        <v>2053</v>
      </c>
      <c r="AH4" s="247">
        <f t="shared" si="0"/>
        <v>2054</v>
      </c>
      <c r="AI4" s="247">
        <f t="shared" si="0"/>
        <v>2055</v>
      </c>
      <c r="AJ4" s="247">
        <f t="shared" si="0"/>
        <v>2056</v>
      </c>
      <c r="AK4" s="247">
        <f t="shared" si="0"/>
        <v>2057</v>
      </c>
      <c r="AL4" s="247">
        <f t="shared" si="0"/>
        <v>2058</v>
      </c>
      <c r="AM4" s="247">
        <f t="shared" si="0"/>
        <v>2059</v>
      </c>
      <c r="AN4" s="247">
        <f t="shared" si="0"/>
        <v>2060</v>
      </c>
    </row>
    <row r="5" spans="1:40">
      <c r="E5" s="1">
        <v>0</v>
      </c>
      <c r="F5" s="1">
        <v>1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>
        <v>11</v>
      </c>
      <c r="Q5" s="1">
        <v>12</v>
      </c>
      <c r="R5" s="1">
        <v>13</v>
      </c>
      <c r="S5" s="1">
        <v>14</v>
      </c>
      <c r="T5" s="1">
        <v>15</v>
      </c>
      <c r="U5" s="1">
        <v>16</v>
      </c>
      <c r="V5" s="1">
        <v>17</v>
      </c>
      <c r="W5" s="1">
        <v>18</v>
      </c>
      <c r="X5" s="1">
        <v>19</v>
      </c>
      <c r="Y5" s="1">
        <v>20</v>
      </c>
      <c r="Z5" s="1">
        <v>21</v>
      </c>
      <c r="AA5" s="1">
        <v>22</v>
      </c>
      <c r="AB5" s="1">
        <v>23</v>
      </c>
      <c r="AC5" s="1">
        <v>24</v>
      </c>
      <c r="AD5" s="1">
        <v>25</v>
      </c>
      <c r="AE5" s="1">
        <v>26</v>
      </c>
      <c r="AF5" s="1">
        <v>27</v>
      </c>
      <c r="AG5" s="1">
        <v>28</v>
      </c>
      <c r="AH5" s="1">
        <v>29</v>
      </c>
      <c r="AI5" s="1">
        <v>30</v>
      </c>
      <c r="AJ5" s="1">
        <v>31</v>
      </c>
      <c r="AK5" s="1">
        <v>32</v>
      </c>
      <c r="AL5" s="1">
        <v>33</v>
      </c>
      <c r="AM5" s="1">
        <v>34</v>
      </c>
      <c r="AN5" s="1">
        <v>35</v>
      </c>
    </row>
    <row r="6" spans="1:40" ht="18.75">
      <c r="C6" s="104" t="s">
        <v>253</v>
      </c>
      <c r="D6" s="111">
        <f t="shared" ref="D6:D16" si="1">SUM(F6:AN6)</f>
        <v>108763724.29771796</v>
      </c>
      <c r="E6" s="111">
        <f>'Premissas Gerais'!L35</f>
        <v>0</v>
      </c>
      <c r="F6" s="111">
        <f>'Premissas Gerais'!M35</f>
        <v>0</v>
      </c>
      <c r="G6" s="111">
        <f>'Premissas Gerais'!N35</f>
        <v>0</v>
      </c>
      <c r="H6" s="111">
        <f>'Premissas Gerais'!O35</f>
        <v>3293070.4950780007</v>
      </c>
      <c r="I6" s="111">
        <f>'Premissas Gerais'!P35</f>
        <v>3293070.4950780007</v>
      </c>
      <c r="J6" s="111">
        <f>'Premissas Gerais'!Q35</f>
        <v>3293070.4950780007</v>
      </c>
      <c r="K6" s="111">
        <f>'Premissas Gerais'!R35</f>
        <v>3293070.4950780007</v>
      </c>
      <c r="L6" s="111">
        <f>'Premissas Gerais'!S35</f>
        <v>3293070.4950780007</v>
      </c>
      <c r="M6" s="111">
        <f>'Premissas Gerais'!T35</f>
        <v>3293070.4950780007</v>
      </c>
      <c r="N6" s="111">
        <f>'Premissas Gerais'!U35</f>
        <v>3293070.4950780007</v>
      </c>
      <c r="O6" s="111">
        <f>'Premissas Gerais'!V35</f>
        <v>3293070.4950780007</v>
      </c>
      <c r="P6" s="111">
        <f>'Premissas Gerais'!W35</f>
        <v>3293070.4950780007</v>
      </c>
      <c r="Q6" s="111">
        <f>'Premissas Gerais'!X35</f>
        <v>3296920.4100840008</v>
      </c>
      <c r="R6" s="111">
        <f>'Premissas Gerais'!Y35</f>
        <v>3296920.4100840008</v>
      </c>
      <c r="S6" s="111">
        <f>'Premissas Gerais'!Z35</f>
        <v>3296920.4100840008</v>
      </c>
      <c r="T6" s="111">
        <f>'Premissas Gerais'!AA35</f>
        <v>3296920.4100840008</v>
      </c>
      <c r="U6" s="111">
        <f>'Premissas Gerais'!AB35</f>
        <v>3296920.4100840008</v>
      </c>
      <c r="V6" s="111">
        <f>'Premissas Gerais'!AC35</f>
        <v>3296920.4100840008</v>
      </c>
      <c r="W6" s="111">
        <f>'Premissas Gerais'!AD35</f>
        <v>3296920.4100840008</v>
      </c>
      <c r="X6" s="111">
        <f>'Premissas Gerais'!AE35</f>
        <v>3296920.4100840008</v>
      </c>
      <c r="Y6" s="111">
        <f>'Premissas Gerais'!AF35</f>
        <v>3296920.4100840008</v>
      </c>
      <c r="Z6" s="111">
        <f>'Premissas Gerais'!AG35</f>
        <v>3296920.4100840008</v>
      </c>
      <c r="AA6" s="111">
        <f>'Premissas Gerais'!AH35</f>
        <v>3296920.4100840008</v>
      </c>
      <c r="AB6" s="111">
        <f>'Premissas Gerais'!AI35</f>
        <v>3296920.4100840008</v>
      </c>
      <c r="AC6" s="111">
        <f>'Premissas Gerais'!AJ35</f>
        <v>3296920.4100840008</v>
      </c>
      <c r="AD6" s="111">
        <f>'Premissas Gerais'!AK35</f>
        <v>3296920.4100840008</v>
      </c>
      <c r="AE6" s="111">
        <f>'Premissas Gerais'!AL35</f>
        <v>3296920.4100840008</v>
      </c>
      <c r="AF6" s="111">
        <f>'Premissas Gerais'!AM35</f>
        <v>3296920.4100840008</v>
      </c>
      <c r="AG6" s="111">
        <f>'Premissas Gerais'!AN35</f>
        <v>3296920.4100840008</v>
      </c>
      <c r="AH6" s="111">
        <f>'Premissas Gerais'!AO35</f>
        <v>3296920.4100840008</v>
      </c>
      <c r="AI6" s="111">
        <f>'Premissas Gerais'!AP35</f>
        <v>3296920.4100840008</v>
      </c>
      <c r="AJ6" s="111">
        <f>'Premissas Gerais'!AQ35</f>
        <v>3296920.4100840008</v>
      </c>
      <c r="AK6" s="111">
        <f>'Premissas Gerais'!AR35</f>
        <v>3296920.4100840008</v>
      </c>
      <c r="AL6" s="111">
        <f>'Premissas Gerais'!AS35</f>
        <v>3296920.4100840008</v>
      </c>
      <c r="AM6" s="111">
        <f>'Premissas Gerais'!AT35</f>
        <v>3296920.4100840008</v>
      </c>
      <c r="AN6" s="111">
        <f>'Premissas Gerais'!AU35</f>
        <v>3296920.4100840008</v>
      </c>
    </row>
    <row r="7" spans="1:40">
      <c r="C7" s="105" t="s">
        <v>254</v>
      </c>
      <c r="D7" s="112">
        <f t="shared" si="1"/>
        <v>107019712.79999995</v>
      </c>
      <c r="E7" s="112">
        <f>'Premissas Gerais'!L33</f>
        <v>0</v>
      </c>
      <c r="F7" s="112">
        <f>'Premissas Gerais'!M33</f>
        <v>0</v>
      </c>
      <c r="G7" s="112">
        <f>'Premissas Gerais'!N33</f>
        <v>0</v>
      </c>
      <c r="H7" s="112">
        <f>'Premissas Gerais'!O33</f>
        <v>3243021.6000000006</v>
      </c>
      <c r="I7" s="112">
        <f>'Premissas Gerais'!P33</f>
        <v>3243021.6000000006</v>
      </c>
      <c r="J7" s="112">
        <f>'Premissas Gerais'!Q33</f>
        <v>3243021.6000000006</v>
      </c>
      <c r="K7" s="112">
        <f>'Premissas Gerais'!R33</f>
        <v>3243021.6000000006</v>
      </c>
      <c r="L7" s="112">
        <f>'Premissas Gerais'!S33</f>
        <v>3243021.6000000006</v>
      </c>
      <c r="M7" s="112">
        <f>'Premissas Gerais'!T33</f>
        <v>3243021.6000000006</v>
      </c>
      <c r="N7" s="112">
        <f>'Premissas Gerais'!U33</f>
        <v>3243021.6000000006</v>
      </c>
      <c r="O7" s="112">
        <f>'Premissas Gerais'!V33</f>
        <v>3243021.6000000006</v>
      </c>
      <c r="P7" s="112">
        <f>'Premissas Gerais'!W33</f>
        <v>3243021.6000000006</v>
      </c>
      <c r="Q7" s="112">
        <f>'Premissas Gerais'!X33</f>
        <v>3243021.6000000006</v>
      </c>
      <c r="R7" s="112">
        <f>'Premissas Gerais'!Y33</f>
        <v>3243021.6000000006</v>
      </c>
      <c r="S7" s="112">
        <f>'Premissas Gerais'!Z33</f>
        <v>3243021.6000000006</v>
      </c>
      <c r="T7" s="112">
        <f>'Premissas Gerais'!AA33</f>
        <v>3243021.6000000006</v>
      </c>
      <c r="U7" s="112">
        <f>'Premissas Gerais'!AB33</f>
        <v>3243021.6000000006</v>
      </c>
      <c r="V7" s="112">
        <f>'Premissas Gerais'!AC33</f>
        <v>3243021.6000000006</v>
      </c>
      <c r="W7" s="112">
        <f>'Premissas Gerais'!AD33</f>
        <v>3243021.6000000006</v>
      </c>
      <c r="X7" s="112">
        <f>'Premissas Gerais'!AE33</f>
        <v>3243021.6000000006</v>
      </c>
      <c r="Y7" s="112">
        <f>'Premissas Gerais'!AF33</f>
        <v>3243021.6000000006</v>
      </c>
      <c r="Z7" s="112">
        <f>'Premissas Gerais'!AG33</f>
        <v>3243021.6000000006</v>
      </c>
      <c r="AA7" s="112">
        <f>'Premissas Gerais'!AH33</f>
        <v>3243021.6000000006</v>
      </c>
      <c r="AB7" s="112">
        <f>'Premissas Gerais'!AI33</f>
        <v>3243021.6000000006</v>
      </c>
      <c r="AC7" s="112">
        <f>'Premissas Gerais'!AJ33</f>
        <v>3243021.6000000006</v>
      </c>
      <c r="AD7" s="112">
        <f>'Premissas Gerais'!AK33</f>
        <v>3243021.6000000006</v>
      </c>
      <c r="AE7" s="112">
        <f>'Premissas Gerais'!AL33</f>
        <v>3243021.6000000006</v>
      </c>
      <c r="AF7" s="112">
        <f>'Premissas Gerais'!AM33</f>
        <v>3243021.6000000006</v>
      </c>
      <c r="AG7" s="112">
        <f>'Premissas Gerais'!AN33</f>
        <v>3243021.6000000006</v>
      </c>
      <c r="AH7" s="112">
        <f>'Premissas Gerais'!AO33</f>
        <v>3243021.6000000006</v>
      </c>
      <c r="AI7" s="112">
        <f>'Premissas Gerais'!AP33</f>
        <v>3243021.6000000006</v>
      </c>
      <c r="AJ7" s="112">
        <f>'Premissas Gerais'!AQ33</f>
        <v>3243021.6000000006</v>
      </c>
      <c r="AK7" s="112">
        <f>'Premissas Gerais'!AR33</f>
        <v>3243021.6000000006</v>
      </c>
      <c r="AL7" s="112">
        <f>'Premissas Gerais'!AS33</f>
        <v>3243021.6000000006</v>
      </c>
      <c r="AM7" s="112">
        <f>'Premissas Gerais'!AT33</f>
        <v>3243021.6000000006</v>
      </c>
      <c r="AN7" s="112">
        <f>'Premissas Gerais'!AU33</f>
        <v>3243021.6000000006</v>
      </c>
    </row>
    <row r="8" spans="1:40">
      <c r="C8" t="s">
        <v>255</v>
      </c>
      <c r="D8" s="112">
        <f t="shared" si="1"/>
        <v>1744011.4977180001</v>
      </c>
      <c r="E8" s="112">
        <f>'Premissas Gerais'!L34</f>
        <v>0</v>
      </c>
      <c r="F8" s="112">
        <f>'Premissas Gerais'!M34</f>
        <v>0</v>
      </c>
      <c r="G8" s="112">
        <f>'Premissas Gerais'!N34</f>
        <v>0</v>
      </c>
      <c r="H8" s="112">
        <f>'Premissas Gerais'!O34</f>
        <v>50048.895078000009</v>
      </c>
      <c r="I8" s="112">
        <f>'Premissas Gerais'!P34</f>
        <v>50048.895078000009</v>
      </c>
      <c r="J8" s="112">
        <f>'Premissas Gerais'!Q34</f>
        <v>50048.895078000009</v>
      </c>
      <c r="K8" s="112">
        <f>'Premissas Gerais'!R34</f>
        <v>50048.895078000009</v>
      </c>
      <c r="L8" s="112">
        <f>'Premissas Gerais'!S34</f>
        <v>50048.895078000009</v>
      </c>
      <c r="M8" s="112">
        <f>'Premissas Gerais'!T34</f>
        <v>50048.895078000009</v>
      </c>
      <c r="N8" s="112">
        <f>'Premissas Gerais'!U34</f>
        <v>50048.895078000009</v>
      </c>
      <c r="O8" s="112">
        <f>'Premissas Gerais'!V34</f>
        <v>50048.895078000009</v>
      </c>
      <c r="P8" s="112">
        <f>'Premissas Gerais'!W34</f>
        <v>50048.895078000009</v>
      </c>
      <c r="Q8" s="112">
        <f>'Premissas Gerais'!X34</f>
        <v>53898.810084000012</v>
      </c>
      <c r="R8" s="112">
        <f>'Premissas Gerais'!Y34</f>
        <v>53898.810084000012</v>
      </c>
      <c r="S8" s="112">
        <f>'Premissas Gerais'!Z34</f>
        <v>53898.810084000012</v>
      </c>
      <c r="T8" s="112">
        <f>'Premissas Gerais'!AA34</f>
        <v>53898.810084000012</v>
      </c>
      <c r="U8" s="112">
        <f>'Premissas Gerais'!AB34</f>
        <v>53898.810084000012</v>
      </c>
      <c r="V8" s="112">
        <f>'Premissas Gerais'!AC34</f>
        <v>53898.810084000012</v>
      </c>
      <c r="W8" s="112">
        <f>'Premissas Gerais'!AD34</f>
        <v>53898.810084000012</v>
      </c>
      <c r="X8" s="112">
        <f>'Premissas Gerais'!AE34</f>
        <v>53898.810084000012</v>
      </c>
      <c r="Y8" s="112">
        <f>'Premissas Gerais'!AF34</f>
        <v>53898.810084000012</v>
      </c>
      <c r="Z8" s="112">
        <f>'Premissas Gerais'!AG34</f>
        <v>53898.810084000012</v>
      </c>
      <c r="AA8" s="112">
        <f>'Premissas Gerais'!AH34</f>
        <v>53898.810084000012</v>
      </c>
      <c r="AB8" s="112">
        <f>'Premissas Gerais'!AI34</f>
        <v>53898.810084000012</v>
      </c>
      <c r="AC8" s="112">
        <f>'Premissas Gerais'!AJ34</f>
        <v>53898.810084000012</v>
      </c>
      <c r="AD8" s="112">
        <f>'Premissas Gerais'!AK34</f>
        <v>53898.810084000012</v>
      </c>
      <c r="AE8" s="112">
        <f>'Premissas Gerais'!AL34</f>
        <v>53898.810084000012</v>
      </c>
      <c r="AF8" s="112">
        <f>'Premissas Gerais'!AM34</f>
        <v>53898.810084000012</v>
      </c>
      <c r="AG8" s="112">
        <f>'Premissas Gerais'!AN34</f>
        <v>53898.810084000012</v>
      </c>
      <c r="AH8" s="112">
        <f>'Premissas Gerais'!AO34</f>
        <v>53898.810084000012</v>
      </c>
      <c r="AI8" s="112">
        <f>'Premissas Gerais'!AP34</f>
        <v>53898.810084000012</v>
      </c>
      <c r="AJ8" s="112">
        <f>'Premissas Gerais'!AQ34</f>
        <v>53898.810084000012</v>
      </c>
      <c r="AK8" s="112">
        <f>'Premissas Gerais'!AR34</f>
        <v>53898.810084000012</v>
      </c>
      <c r="AL8" s="112">
        <f>'Premissas Gerais'!AS34</f>
        <v>53898.810084000012</v>
      </c>
      <c r="AM8" s="112">
        <f>'Premissas Gerais'!AT34</f>
        <v>53898.810084000012</v>
      </c>
      <c r="AN8" s="112">
        <f>'Premissas Gerais'!AU34</f>
        <v>53898.810084000012</v>
      </c>
    </row>
    <row r="9" spans="1:40" ht="18.75">
      <c r="C9" s="106" t="s">
        <v>256</v>
      </c>
      <c r="D9" s="111">
        <f t="shared" si="1"/>
        <v>-19072266.519752614</v>
      </c>
      <c r="E9" s="111">
        <f>SUM(E10:E12)</f>
        <v>0</v>
      </c>
      <c r="F9" s="111">
        <f>SUM(F10:F12)</f>
        <v>0</v>
      </c>
      <c r="G9" s="111">
        <f t="shared" ref="G9:AN9" si="2">SUM(G10:G12)</f>
        <v>0</v>
      </c>
      <c r="H9" s="111">
        <f t="shared" si="2"/>
        <v>-771303.83782424708</v>
      </c>
      <c r="I9" s="111">
        <f t="shared" si="2"/>
        <v>-771303.83782424708</v>
      </c>
      <c r="J9" s="111">
        <f t="shared" si="2"/>
        <v>-609152.75782424724</v>
      </c>
      <c r="K9" s="111">
        <f t="shared" si="2"/>
        <v>-609152.75782424724</v>
      </c>
      <c r="L9" s="111">
        <f t="shared" si="2"/>
        <v>-609152.75782424724</v>
      </c>
      <c r="M9" s="111">
        <f t="shared" si="2"/>
        <v>-609152.75782424724</v>
      </c>
      <c r="N9" s="111">
        <f t="shared" si="2"/>
        <v>-609152.75782424724</v>
      </c>
      <c r="O9" s="111">
        <f t="shared" si="2"/>
        <v>-609152.75782424724</v>
      </c>
      <c r="P9" s="111">
        <f t="shared" si="2"/>
        <v>-609152.75782424724</v>
      </c>
      <c r="Q9" s="111">
        <f t="shared" si="2"/>
        <v>-609485.77547226613</v>
      </c>
      <c r="R9" s="111">
        <f t="shared" si="2"/>
        <v>-609485.77547226613</v>
      </c>
      <c r="S9" s="111">
        <f t="shared" si="2"/>
        <v>-609485.77547226613</v>
      </c>
      <c r="T9" s="111">
        <f t="shared" si="2"/>
        <v>-544625.3434722661</v>
      </c>
      <c r="U9" s="111">
        <f t="shared" si="2"/>
        <v>-544625.3434722661</v>
      </c>
      <c r="V9" s="111">
        <f t="shared" si="2"/>
        <v>-544625.3434722661</v>
      </c>
      <c r="W9" s="111">
        <f t="shared" si="2"/>
        <v>-544625.3434722661</v>
      </c>
      <c r="X9" s="111">
        <f t="shared" si="2"/>
        <v>-544625.3434722661</v>
      </c>
      <c r="Y9" s="111">
        <f t="shared" si="2"/>
        <v>-544625.3434722661</v>
      </c>
      <c r="Z9" s="111">
        <f t="shared" si="2"/>
        <v>-544625.3434722661</v>
      </c>
      <c r="AA9" s="111">
        <f t="shared" si="2"/>
        <v>-544625.3434722661</v>
      </c>
      <c r="AB9" s="111">
        <f t="shared" si="2"/>
        <v>-544625.3434722661</v>
      </c>
      <c r="AC9" s="111">
        <f t="shared" si="2"/>
        <v>-544625.3434722661</v>
      </c>
      <c r="AD9" s="111">
        <f t="shared" si="2"/>
        <v>-544625.3434722661</v>
      </c>
      <c r="AE9" s="111">
        <f t="shared" si="2"/>
        <v>-544625.3434722661</v>
      </c>
      <c r="AF9" s="111">
        <f t="shared" si="2"/>
        <v>-544625.3434722661</v>
      </c>
      <c r="AG9" s="111">
        <f t="shared" si="2"/>
        <v>-544625.3434722661</v>
      </c>
      <c r="AH9" s="111">
        <f t="shared" si="2"/>
        <v>-544625.3434722661</v>
      </c>
      <c r="AI9" s="111">
        <f t="shared" si="2"/>
        <v>-544625.3434722661</v>
      </c>
      <c r="AJ9" s="111">
        <f t="shared" si="2"/>
        <v>-544625.3434722661</v>
      </c>
      <c r="AK9" s="111">
        <f t="shared" si="2"/>
        <v>-544625.3434722661</v>
      </c>
      <c r="AL9" s="111">
        <f t="shared" si="2"/>
        <v>-544625.3434722661</v>
      </c>
      <c r="AM9" s="111">
        <f t="shared" si="2"/>
        <v>-544625.3434722661</v>
      </c>
      <c r="AN9" s="111">
        <f t="shared" si="2"/>
        <v>-544625.3434722661</v>
      </c>
    </row>
    <row r="10" spans="1:40">
      <c r="C10" s="105" t="s">
        <v>257</v>
      </c>
      <c r="D10" s="112">
        <f t="shared" si="1"/>
        <v>-9408062.1517526153</v>
      </c>
      <c r="E10" s="112">
        <f>-Tributação!G10</f>
        <v>0</v>
      </c>
      <c r="F10" s="112">
        <f>-Tributação!H10</f>
        <v>0</v>
      </c>
      <c r="G10" s="112">
        <f>-Tributação!I10</f>
        <v>0</v>
      </c>
      <c r="H10" s="112">
        <f>-Tributação!J10</f>
        <v>-284850.59782424709</v>
      </c>
      <c r="I10" s="112">
        <f>-Tributação!K10</f>
        <v>-284850.59782424709</v>
      </c>
      <c r="J10" s="112">
        <f>-Tributação!L10</f>
        <v>-284850.59782424709</v>
      </c>
      <c r="K10" s="112">
        <f>-Tributação!M10</f>
        <v>-284850.59782424709</v>
      </c>
      <c r="L10" s="112">
        <f>-Tributação!N10</f>
        <v>-284850.59782424709</v>
      </c>
      <c r="M10" s="112">
        <f>-Tributação!O10</f>
        <v>-284850.59782424709</v>
      </c>
      <c r="N10" s="112">
        <f>-Tributação!P10</f>
        <v>-284850.59782424709</v>
      </c>
      <c r="O10" s="112">
        <f>-Tributação!Q10</f>
        <v>-284850.59782424709</v>
      </c>
      <c r="P10" s="112">
        <f>-Tributação!R10</f>
        <v>-284850.59782424709</v>
      </c>
      <c r="Q10" s="112">
        <f>-Tributação!S10</f>
        <v>-285183.6154722661</v>
      </c>
      <c r="R10" s="112">
        <f>-Tributação!T10</f>
        <v>-285183.6154722661</v>
      </c>
      <c r="S10" s="112">
        <f>-Tributação!U10</f>
        <v>-285183.6154722661</v>
      </c>
      <c r="T10" s="112">
        <f>-Tributação!V10</f>
        <v>-285183.6154722661</v>
      </c>
      <c r="U10" s="112">
        <f>-Tributação!W10</f>
        <v>-285183.6154722661</v>
      </c>
      <c r="V10" s="112">
        <f>-Tributação!X10</f>
        <v>-285183.6154722661</v>
      </c>
      <c r="W10" s="112">
        <f>-Tributação!Y10</f>
        <v>-285183.6154722661</v>
      </c>
      <c r="X10" s="112">
        <f>-Tributação!Z10</f>
        <v>-285183.6154722661</v>
      </c>
      <c r="Y10" s="112">
        <f>-Tributação!AA10</f>
        <v>-285183.6154722661</v>
      </c>
      <c r="Z10" s="112">
        <f>-Tributação!AB10</f>
        <v>-285183.6154722661</v>
      </c>
      <c r="AA10" s="112">
        <f>-Tributação!AC10</f>
        <v>-285183.6154722661</v>
      </c>
      <c r="AB10" s="112">
        <f>-Tributação!AD10</f>
        <v>-285183.6154722661</v>
      </c>
      <c r="AC10" s="112">
        <f>-Tributação!AE10</f>
        <v>-285183.6154722661</v>
      </c>
      <c r="AD10" s="112">
        <f>-Tributação!AF10</f>
        <v>-285183.6154722661</v>
      </c>
      <c r="AE10" s="112">
        <f>-Tributação!AG10</f>
        <v>-285183.6154722661</v>
      </c>
      <c r="AF10" s="112">
        <f>-Tributação!AH10</f>
        <v>-285183.6154722661</v>
      </c>
      <c r="AG10" s="112">
        <f>-Tributação!AI10</f>
        <v>-285183.6154722661</v>
      </c>
      <c r="AH10" s="112">
        <f>-Tributação!AJ10</f>
        <v>-285183.6154722661</v>
      </c>
      <c r="AI10" s="112">
        <f>-Tributação!AK10</f>
        <v>-285183.6154722661</v>
      </c>
      <c r="AJ10" s="112">
        <f>-Tributação!AL10</f>
        <v>-285183.6154722661</v>
      </c>
      <c r="AK10" s="112">
        <f>-Tributação!AM10</f>
        <v>-285183.6154722661</v>
      </c>
      <c r="AL10" s="112">
        <f>-Tributação!AN10</f>
        <v>-285183.6154722661</v>
      </c>
      <c r="AM10" s="112">
        <f>-Tributação!AO10</f>
        <v>-285183.6154722661</v>
      </c>
      <c r="AN10" s="112">
        <f>-Tributação!AP10</f>
        <v>-285183.6154722661</v>
      </c>
    </row>
    <row r="11" spans="1:40">
      <c r="C11" s="105" t="s">
        <v>258</v>
      </c>
      <c r="D11" s="112">
        <f t="shared" si="1"/>
        <v>-9664204.3680000026</v>
      </c>
      <c r="E11" s="112">
        <f>E7*'Premissas Gerais'!M157</f>
        <v>0</v>
      </c>
      <c r="F11" s="112">
        <f>F7*'Premissas Gerais'!N157</f>
        <v>0</v>
      </c>
      <c r="G11" s="112">
        <f>G7*'Premissas Gerais'!O157</f>
        <v>0</v>
      </c>
      <c r="H11" s="112">
        <f>H7*'Premissas Gerais'!P157</f>
        <v>-486453.24000000005</v>
      </c>
      <c r="I11" s="112">
        <f>I7*'Premissas Gerais'!Q157</f>
        <v>-486453.24000000005</v>
      </c>
      <c r="J11" s="112">
        <f>J7*'Premissas Gerais'!R157</f>
        <v>-324302.16000000009</v>
      </c>
      <c r="K11" s="112">
        <f>K7*'Premissas Gerais'!S157</f>
        <v>-324302.16000000009</v>
      </c>
      <c r="L11" s="112">
        <f>L7*'Premissas Gerais'!T157</f>
        <v>-324302.16000000009</v>
      </c>
      <c r="M11" s="112">
        <f>M7*'Premissas Gerais'!U157</f>
        <v>-324302.16000000009</v>
      </c>
      <c r="N11" s="112">
        <f>N7*'Premissas Gerais'!V157</f>
        <v>-324302.16000000009</v>
      </c>
      <c r="O11" s="112">
        <f>O7*'Premissas Gerais'!W157</f>
        <v>-324302.16000000009</v>
      </c>
      <c r="P11" s="112">
        <f>P7*'Premissas Gerais'!X157</f>
        <v>-324302.16000000009</v>
      </c>
      <c r="Q11" s="112">
        <f>Q7*'Premissas Gerais'!Y157</f>
        <v>-324302.16000000009</v>
      </c>
      <c r="R11" s="112">
        <f>R7*'Premissas Gerais'!Z157</f>
        <v>-324302.16000000009</v>
      </c>
      <c r="S11" s="112">
        <f>S7*'Premissas Gerais'!AA157</f>
        <v>-324302.16000000009</v>
      </c>
      <c r="T11" s="112">
        <f>T7*'Premissas Gerais'!AB157</f>
        <v>-259441.72800000006</v>
      </c>
      <c r="U11" s="112">
        <f>U7*'Premissas Gerais'!AC157</f>
        <v>-259441.72800000006</v>
      </c>
      <c r="V11" s="112">
        <f>V7*'Premissas Gerais'!AD157</f>
        <v>-259441.72800000006</v>
      </c>
      <c r="W11" s="112">
        <f>W7*'Premissas Gerais'!AE157</f>
        <v>-259441.72800000006</v>
      </c>
      <c r="X11" s="112">
        <f>X7*'Premissas Gerais'!AF157</f>
        <v>-259441.72800000006</v>
      </c>
      <c r="Y11" s="112">
        <f>Y7*'Premissas Gerais'!AG157</f>
        <v>-259441.72800000006</v>
      </c>
      <c r="Z11" s="112">
        <f>Z7*'Premissas Gerais'!AH157</f>
        <v>-259441.72800000006</v>
      </c>
      <c r="AA11" s="112">
        <f>AA7*'Premissas Gerais'!AI157</f>
        <v>-259441.72800000006</v>
      </c>
      <c r="AB11" s="112">
        <f>AB7*'Premissas Gerais'!AJ157</f>
        <v>-259441.72800000006</v>
      </c>
      <c r="AC11" s="112">
        <f>AC7*'Premissas Gerais'!AK157</f>
        <v>-259441.72800000006</v>
      </c>
      <c r="AD11" s="112">
        <f>AD7*'Premissas Gerais'!AL157</f>
        <v>-259441.72800000006</v>
      </c>
      <c r="AE11" s="112">
        <f>AE7*'Premissas Gerais'!AM157</f>
        <v>-259441.72800000006</v>
      </c>
      <c r="AF11" s="112">
        <f>AF7*'Premissas Gerais'!AN157</f>
        <v>-259441.72800000006</v>
      </c>
      <c r="AG11" s="112">
        <f>AG7*'Premissas Gerais'!AO157</f>
        <v>-259441.72800000006</v>
      </c>
      <c r="AH11" s="112">
        <f>AH7*'Premissas Gerais'!AP157</f>
        <v>-259441.72800000006</v>
      </c>
      <c r="AI11" s="112">
        <f>AI7*'Premissas Gerais'!AQ157</f>
        <v>-259441.72800000006</v>
      </c>
      <c r="AJ11" s="112">
        <f>AJ7*'Premissas Gerais'!AR157</f>
        <v>-259441.72800000006</v>
      </c>
      <c r="AK11" s="112">
        <f>AK7*'Premissas Gerais'!AS157</f>
        <v>-259441.72800000006</v>
      </c>
      <c r="AL11" s="112">
        <f>AL7*'Premissas Gerais'!AT157</f>
        <v>-259441.72800000006</v>
      </c>
      <c r="AM11" s="112">
        <f>AM7*'Premissas Gerais'!AU157</f>
        <v>-259441.72800000006</v>
      </c>
      <c r="AN11" s="112">
        <f>AN7*'Premissas Gerais'!AV157</f>
        <v>-259441.72800000006</v>
      </c>
    </row>
    <row r="12" spans="1:40">
      <c r="C12" s="105" t="s">
        <v>259</v>
      </c>
      <c r="D12" s="112">
        <f t="shared" si="1"/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0" ht="18.75">
      <c r="C13" s="107" t="s">
        <v>260</v>
      </c>
      <c r="D13" s="113">
        <f t="shared" si="1"/>
        <v>89691457.777965456</v>
      </c>
      <c r="E13" s="113">
        <f>SUM(E6,E9)</f>
        <v>0</v>
      </c>
      <c r="F13" s="113">
        <f>SUM(F6,F9)</f>
        <v>0</v>
      </c>
      <c r="G13" s="113">
        <f t="shared" ref="G13:AN13" si="3">SUM(G6,G9)</f>
        <v>0</v>
      </c>
      <c r="H13" s="113">
        <f t="shared" si="3"/>
        <v>2521766.6572537534</v>
      </c>
      <c r="I13" s="113">
        <f t="shared" si="3"/>
        <v>2521766.6572537534</v>
      </c>
      <c r="J13" s="113">
        <f t="shared" si="3"/>
        <v>2683917.7372537535</v>
      </c>
      <c r="K13" s="113">
        <f t="shared" si="3"/>
        <v>2683917.7372537535</v>
      </c>
      <c r="L13" s="113">
        <f t="shared" si="3"/>
        <v>2683917.7372537535</v>
      </c>
      <c r="M13" s="113">
        <f t="shared" si="3"/>
        <v>2683917.7372537535</v>
      </c>
      <c r="N13" s="113">
        <f t="shared" si="3"/>
        <v>2683917.7372537535</v>
      </c>
      <c r="O13" s="113">
        <f t="shared" si="3"/>
        <v>2683917.7372537535</v>
      </c>
      <c r="P13" s="113">
        <f t="shared" si="3"/>
        <v>2683917.7372537535</v>
      </c>
      <c r="Q13" s="113">
        <f t="shared" si="3"/>
        <v>2687434.6346117347</v>
      </c>
      <c r="R13" s="113">
        <f t="shared" si="3"/>
        <v>2687434.6346117347</v>
      </c>
      <c r="S13" s="113">
        <f t="shared" si="3"/>
        <v>2687434.6346117347</v>
      </c>
      <c r="T13" s="113">
        <f t="shared" si="3"/>
        <v>2752295.0666117347</v>
      </c>
      <c r="U13" s="113">
        <f t="shared" si="3"/>
        <v>2752295.0666117347</v>
      </c>
      <c r="V13" s="113">
        <f t="shared" si="3"/>
        <v>2752295.0666117347</v>
      </c>
      <c r="W13" s="113">
        <f t="shared" si="3"/>
        <v>2752295.0666117347</v>
      </c>
      <c r="X13" s="113">
        <f t="shared" si="3"/>
        <v>2752295.0666117347</v>
      </c>
      <c r="Y13" s="113">
        <f t="shared" si="3"/>
        <v>2752295.0666117347</v>
      </c>
      <c r="Z13" s="113">
        <f t="shared" si="3"/>
        <v>2752295.0666117347</v>
      </c>
      <c r="AA13" s="113">
        <f t="shared" si="3"/>
        <v>2752295.0666117347</v>
      </c>
      <c r="AB13" s="113">
        <f t="shared" si="3"/>
        <v>2752295.0666117347</v>
      </c>
      <c r="AC13" s="113">
        <f t="shared" si="3"/>
        <v>2752295.0666117347</v>
      </c>
      <c r="AD13" s="113">
        <f t="shared" si="3"/>
        <v>2752295.0666117347</v>
      </c>
      <c r="AE13" s="113">
        <f t="shared" si="3"/>
        <v>2752295.0666117347</v>
      </c>
      <c r="AF13" s="113">
        <f t="shared" si="3"/>
        <v>2752295.0666117347</v>
      </c>
      <c r="AG13" s="113">
        <f t="shared" si="3"/>
        <v>2752295.0666117347</v>
      </c>
      <c r="AH13" s="113">
        <f t="shared" si="3"/>
        <v>2752295.0666117347</v>
      </c>
      <c r="AI13" s="113">
        <f t="shared" si="3"/>
        <v>2752295.0666117347</v>
      </c>
      <c r="AJ13" s="113">
        <f t="shared" si="3"/>
        <v>2752295.0666117347</v>
      </c>
      <c r="AK13" s="113">
        <f t="shared" si="3"/>
        <v>2752295.0666117347</v>
      </c>
      <c r="AL13" s="113">
        <f t="shared" si="3"/>
        <v>2752295.0666117347</v>
      </c>
      <c r="AM13" s="113">
        <f t="shared" si="3"/>
        <v>2752295.0666117347</v>
      </c>
      <c r="AN13" s="113">
        <f t="shared" si="3"/>
        <v>2752295.0666117347</v>
      </c>
    </row>
    <row r="14" spans="1:40" ht="18.75">
      <c r="C14" s="108" t="s">
        <v>261</v>
      </c>
      <c r="D14" s="114">
        <f t="shared" ca="1" si="1"/>
        <v>-57027809.335197791</v>
      </c>
      <c r="E14" s="114">
        <f t="shared" ref="E14:AN14" si="4">SUM(E15:E18)</f>
        <v>0</v>
      </c>
      <c r="F14" s="114">
        <f>SUM(F15:F18)</f>
        <v>-21206.457039600002</v>
      </c>
      <c r="G14" s="114">
        <f t="shared" si="4"/>
        <v>-23743.209578400005</v>
      </c>
      <c r="H14" s="114">
        <f t="shared" ca="1" si="4"/>
        <v>-1695930.5796087664</v>
      </c>
      <c r="I14" s="114">
        <f t="shared" ca="1" si="4"/>
        <v>-1695930.5796087664</v>
      </c>
      <c r="J14" s="114">
        <f ca="1">SUM(J15:J18)</f>
        <v>-1728713.451742505</v>
      </c>
      <c r="K14" s="114">
        <f t="shared" ca="1" si="4"/>
        <v>-1728713.451742505</v>
      </c>
      <c r="L14" s="114">
        <f t="shared" ca="1" si="4"/>
        <v>-1728713.451742505</v>
      </c>
      <c r="M14" s="114">
        <f t="shared" ca="1" si="4"/>
        <v>-1728713.451742505</v>
      </c>
      <c r="N14" s="114">
        <f t="shared" ca="1" si="4"/>
        <v>-1728713.451742505</v>
      </c>
      <c r="O14" s="114">
        <f t="shared" ca="1" si="4"/>
        <v>-1728713.451742505</v>
      </c>
      <c r="P14" s="114">
        <f t="shared" ca="1" si="4"/>
        <v>-1728713.451742505</v>
      </c>
      <c r="Q14" s="114">
        <f t="shared" ca="1" si="4"/>
        <v>-1728713.451742505</v>
      </c>
      <c r="R14" s="114">
        <f t="shared" ca="1" si="4"/>
        <v>-1728751.7780618339</v>
      </c>
      <c r="S14" s="114">
        <f t="shared" ca="1" si="4"/>
        <v>-1728751.7780618339</v>
      </c>
      <c r="T14" s="114">
        <f t="shared" ca="1" si="4"/>
        <v>-1728751.7780618339</v>
      </c>
      <c r="U14" s="114">
        <f t="shared" ca="1" si="4"/>
        <v>-1728751.7780618339</v>
      </c>
      <c r="V14" s="114">
        <f t="shared" ca="1" si="4"/>
        <v>-1728751.7780618339</v>
      </c>
      <c r="W14" s="114">
        <f t="shared" ca="1" si="4"/>
        <v>-1728751.7780618339</v>
      </c>
      <c r="X14" s="114">
        <f t="shared" ca="1" si="4"/>
        <v>-1728751.7780618339</v>
      </c>
      <c r="Y14" s="114">
        <f t="shared" ca="1" si="4"/>
        <v>-1728751.7780618339</v>
      </c>
      <c r="Z14" s="114">
        <f t="shared" ca="1" si="4"/>
        <v>-1728751.7780618339</v>
      </c>
      <c r="AA14" s="114">
        <f t="shared" ca="1" si="4"/>
        <v>-1728751.7780618339</v>
      </c>
      <c r="AB14" s="114">
        <f t="shared" ca="1" si="4"/>
        <v>-1728751.7780618339</v>
      </c>
      <c r="AC14" s="114">
        <f t="shared" ca="1" si="4"/>
        <v>-1728751.7780618339</v>
      </c>
      <c r="AD14" s="114">
        <f t="shared" ca="1" si="4"/>
        <v>-1728751.7780618339</v>
      </c>
      <c r="AE14" s="114">
        <f t="shared" ca="1" si="4"/>
        <v>-1728751.7780618339</v>
      </c>
      <c r="AF14" s="114">
        <f t="shared" ca="1" si="4"/>
        <v>-1728751.7780618339</v>
      </c>
      <c r="AG14" s="114">
        <f t="shared" ca="1" si="4"/>
        <v>-1728751.7780618339</v>
      </c>
      <c r="AH14" s="114">
        <f t="shared" ca="1" si="4"/>
        <v>-1728751.7780618339</v>
      </c>
      <c r="AI14" s="114">
        <f t="shared" ca="1" si="4"/>
        <v>-1728751.7780618339</v>
      </c>
      <c r="AJ14" s="114">
        <f t="shared" ca="1" si="4"/>
        <v>-1728751.7780618339</v>
      </c>
      <c r="AK14" s="114">
        <f t="shared" ca="1" si="4"/>
        <v>-1728751.7780618339</v>
      </c>
      <c r="AL14" s="114">
        <f t="shared" ca="1" si="4"/>
        <v>-1728751.7780618339</v>
      </c>
      <c r="AM14" s="114">
        <f t="shared" ca="1" si="4"/>
        <v>-1728751.7780618339</v>
      </c>
      <c r="AN14" s="114">
        <f t="shared" ca="1" si="4"/>
        <v>-1728751.7780618339</v>
      </c>
    </row>
    <row r="15" spans="1:40">
      <c r="C15" s="105" t="s">
        <v>262</v>
      </c>
      <c r="D15" s="112">
        <f t="shared" ca="1" si="1"/>
        <v>-55674650.589042112</v>
      </c>
      <c r="E15" s="112">
        <f>-'Premissas Gerais'!L51</f>
        <v>0</v>
      </c>
      <c r="F15" s="112">
        <f>-'Premissas Gerais'!M51</f>
        <v>0</v>
      </c>
      <c r="G15" s="112">
        <f>-'Premissas Gerais'!N51</f>
        <v>0</v>
      </c>
      <c r="H15" s="112">
        <f ca="1">-'Premissas Gerais'!O51</f>
        <v>-1687110.6239103663</v>
      </c>
      <c r="I15" s="112">
        <f ca="1">-'Premissas Gerais'!P51</f>
        <v>-1687110.6239103663</v>
      </c>
      <c r="J15" s="112">
        <f ca="1">-'Premissas Gerais'!Q51</f>
        <v>-1687110.6239103663</v>
      </c>
      <c r="K15" s="112">
        <f ca="1">-'Premissas Gerais'!R51</f>
        <v>-1687110.6239103663</v>
      </c>
      <c r="L15" s="112">
        <f ca="1">-'Premissas Gerais'!S51</f>
        <v>-1687110.6239103663</v>
      </c>
      <c r="M15" s="112">
        <f ca="1">-'Premissas Gerais'!T51</f>
        <v>-1687110.6239103663</v>
      </c>
      <c r="N15" s="112">
        <f ca="1">-'Premissas Gerais'!U51</f>
        <v>-1687110.6239103663</v>
      </c>
      <c r="O15" s="112">
        <f ca="1">-'Premissas Gerais'!V51</f>
        <v>-1687110.6239103663</v>
      </c>
      <c r="P15" s="112">
        <f ca="1">-'Premissas Gerais'!W51</f>
        <v>-1687110.6239103663</v>
      </c>
      <c r="Q15" s="112">
        <f ca="1">-'Premissas Gerais'!X51</f>
        <v>-1687110.6239103663</v>
      </c>
      <c r="R15" s="112">
        <f ca="1">-'Premissas Gerais'!Y51</f>
        <v>-1687110.6239103663</v>
      </c>
      <c r="S15" s="112">
        <f ca="1">-'Premissas Gerais'!Z51</f>
        <v>-1687110.6239103663</v>
      </c>
      <c r="T15" s="112">
        <f ca="1">-'Premissas Gerais'!AA51</f>
        <v>-1687110.6239103663</v>
      </c>
      <c r="U15" s="112">
        <f ca="1">-'Premissas Gerais'!AB51</f>
        <v>-1687110.6239103663</v>
      </c>
      <c r="V15" s="112">
        <f ca="1">-'Premissas Gerais'!AC51</f>
        <v>-1687110.6239103663</v>
      </c>
      <c r="W15" s="112">
        <f ca="1">-'Premissas Gerais'!AD51</f>
        <v>-1687110.6239103663</v>
      </c>
      <c r="X15" s="112">
        <f ca="1">-'Premissas Gerais'!AE51</f>
        <v>-1687110.6239103663</v>
      </c>
      <c r="Y15" s="112">
        <f ca="1">-'Premissas Gerais'!AF51</f>
        <v>-1687110.6239103663</v>
      </c>
      <c r="Z15" s="112">
        <f ca="1">-'Premissas Gerais'!AG51</f>
        <v>-1687110.6239103663</v>
      </c>
      <c r="AA15" s="112">
        <f ca="1">-'Premissas Gerais'!AH51</f>
        <v>-1687110.6239103663</v>
      </c>
      <c r="AB15" s="112">
        <f ca="1">-'Premissas Gerais'!AI51</f>
        <v>-1687110.6239103663</v>
      </c>
      <c r="AC15" s="112">
        <f ca="1">-'Premissas Gerais'!AJ51</f>
        <v>-1687110.6239103663</v>
      </c>
      <c r="AD15" s="112">
        <f ca="1">-'Premissas Gerais'!AK51</f>
        <v>-1687110.6239103663</v>
      </c>
      <c r="AE15" s="112">
        <f ca="1">-'Premissas Gerais'!AL51</f>
        <v>-1687110.6239103663</v>
      </c>
      <c r="AF15" s="112">
        <f ca="1">-'Premissas Gerais'!AM51</f>
        <v>-1687110.6239103663</v>
      </c>
      <c r="AG15" s="112">
        <f ca="1">-'Premissas Gerais'!AN51</f>
        <v>-1687110.6239103663</v>
      </c>
      <c r="AH15" s="112">
        <f ca="1">-'Premissas Gerais'!AO51</f>
        <v>-1687110.6239103663</v>
      </c>
      <c r="AI15" s="112">
        <f ca="1">-'Premissas Gerais'!AP51</f>
        <v>-1687110.6239103663</v>
      </c>
      <c r="AJ15" s="112">
        <f ca="1">-'Premissas Gerais'!AQ51</f>
        <v>-1687110.6239103663</v>
      </c>
      <c r="AK15" s="112">
        <f ca="1">-'Premissas Gerais'!AR51</f>
        <v>-1687110.6239103663</v>
      </c>
      <c r="AL15" s="112">
        <f ca="1">-'Premissas Gerais'!AS51</f>
        <v>-1687110.6239103663</v>
      </c>
      <c r="AM15" s="112">
        <f ca="1">-'Premissas Gerais'!AT51</f>
        <v>-1687110.6239103663</v>
      </c>
      <c r="AN15" s="112">
        <f ca="1">-'Premissas Gerais'!AU51</f>
        <v>-1687110.6239103663</v>
      </c>
    </row>
    <row r="16" spans="1:40">
      <c r="C16" s="105" t="s">
        <v>263</v>
      </c>
      <c r="D16" s="112">
        <f t="shared" si="1"/>
        <v>-1017150.5414904658</v>
      </c>
      <c r="E16" s="112">
        <f>IF(E5&lt;'Premissas Gerais'!$G$15,0,-'Premissas Gerais'!$G$10*'Demonstrações Financeiras '!D6)</f>
        <v>0</v>
      </c>
      <c r="F16" s="112">
        <f>IF(F5&lt;'Premissas Gerais'!$G$15,0,-'Premissas Gerais'!$G$10*'Demonstrações Financeiras '!E6)</f>
        <v>0</v>
      </c>
      <c r="G16" s="112">
        <f>IF(G5&lt;'Premissas Gerais'!$G$15,0,-'Premissas Gerais'!$G$10*'Demonstrações Financeiras '!F6)</f>
        <v>0</v>
      </c>
      <c r="H16" s="112">
        <f>IF(H5&lt;'Premissas Gerais'!$G$15,0,-'Premissas Gerais'!$G$10*'Demonstrações Financeiras '!G6)</f>
        <v>0</v>
      </c>
      <c r="I16" s="112">
        <f>IF(I5&lt;'Premissas Gerais'!$G$15,0,-'Premissas Gerais'!$G$10*'Demonstrações Financeiras '!H6)</f>
        <v>0</v>
      </c>
      <c r="J16" s="112">
        <f>IF(J5&lt;'Premissas Gerais'!$G$15,0,-'Premissas Gerais'!$G$10*'Demonstrações Financeiras '!I6)</f>
        <v>-32782.872133738623</v>
      </c>
      <c r="K16" s="112">
        <f>IF(K5&lt;'Premissas Gerais'!$G$15,0,-'Premissas Gerais'!$G$10*'Demonstrações Financeiras '!J6)</f>
        <v>-32782.872133738623</v>
      </c>
      <c r="L16" s="112">
        <f>IF(L5&lt;'Premissas Gerais'!$G$15,0,-'Premissas Gerais'!$G$10*'Demonstrações Financeiras '!K6)</f>
        <v>-32782.872133738623</v>
      </c>
      <c r="M16" s="112">
        <f>IF(M5&lt;'Premissas Gerais'!$G$15,0,-'Premissas Gerais'!$G$10*'Demonstrações Financeiras '!L6)</f>
        <v>-32782.872133738623</v>
      </c>
      <c r="N16" s="112">
        <f>IF(N5&lt;'Premissas Gerais'!$G$15,0,-'Premissas Gerais'!$G$10*'Demonstrações Financeiras '!M6)</f>
        <v>-32782.872133738623</v>
      </c>
      <c r="O16" s="112">
        <f>IF(O5&lt;'Premissas Gerais'!$G$15,0,-'Premissas Gerais'!$G$10*'Demonstrações Financeiras '!N6)</f>
        <v>-32782.872133738623</v>
      </c>
      <c r="P16" s="112">
        <f>IF(P5&lt;'Premissas Gerais'!$G$15,0,-'Premissas Gerais'!$G$10*'Demonstrações Financeiras '!O6)</f>
        <v>-32782.872133738623</v>
      </c>
      <c r="Q16" s="112">
        <f>IF(Q5&lt;'Premissas Gerais'!$G$15,0,-'Premissas Gerais'!$G$10*'Demonstrações Financeiras '!P6)</f>
        <v>-32782.872133738623</v>
      </c>
      <c r="R16" s="112">
        <f>IF(R5&lt;'Premissas Gerais'!$G$15,0,-'Premissas Gerais'!$G$10*'Demonstrações Financeiras '!Q6)</f>
        <v>-32821.198453067678</v>
      </c>
      <c r="S16" s="112">
        <f>IF(S5&lt;'Premissas Gerais'!$G$15,0,-'Premissas Gerais'!$G$10*'Demonstrações Financeiras '!R6)</f>
        <v>-32821.198453067678</v>
      </c>
      <c r="T16" s="112">
        <f>IF(T5&lt;'Premissas Gerais'!$G$15,0,-'Premissas Gerais'!$G$10*'Demonstrações Financeiras '!S6)</f>
        <v>-32821.198453067678</v>
      </c>
      <c r="U16" s="112">
        <f>IF(U5&lt;'Premissas Gerais'!$G$15,0,-'Premissas Gerais'!$G$10*'Demonstrações Financeiras '!T6)</f>
        <v>-32821.198453067678</v>
      </c>
      <c r="V16" s="112">
        <f>IF(V5&lt;'Premissas Gerais'!$G$15,0,-'Premissas Gerais'!$G$10*'Demonstrações Financeiras '!U6)</f>
        <v>-32821.198453067678</v>
      </c>
      <c r="W16" s="112">
        <f>IF(W5&lt;'Premissas Gerais'!$G$15,0,-'Premissas Gerais'!$G$10*'Demonstrações Financeiras '!V6)</f>
        <v>-32821.198453067678</v>
      </c>
      <c r="X16" s="112">
        <f>IF(X5&lt;'Premissas Gerais'!$G$15,0,-'Premissas Gerais'!$G$10*'Demonstrações Financeiras '!W6)</f>
        <v>-32821.198453067678</v>
      </c>
      <c r="Y16" s="112">
        <f>IF(Y5&lt;'Premissas Gerais'!$G$15,0,-'Premissas Gerais'!$G$10*'Demonstrações Financeiras '!X6)</f>
        <v>-32821.198453067678</v>
      </c>
      <c r="Z16" s="112">
        <f>IF(Z5&lt;'Premissas Gerais'!$G$15,0,-'Premissas Gerais'!$G$10*'Demonstrações Financeiras '!Y6)</f>
        <v>-32821.198453067678</v>
      </c>
      <c r="AA16" s="112">
        <f>IF(AA5&lt;'Premissas Gerais'!$G$15,0,-'Premissas Gerais'!$G$10*'Demonstrações Financeiras '!Z6)</f>
        <v>-32821.198453067678</v>
      </c>
      <c r="AB16" s="112">
        <f>IF(AB5&lt;'Premissas Gerais'!$G$15,0,-'Premissas Gerais'!$G$10*'Demonstrações Financeiras '!AA6)</f>
        <v>-32821.198453067678</v>
      </c>
      <c r="AC16" s="112">
        <f>IF(AC5&lt;'Premissas Gerais'!$G$15,0,-'Premissas Gerais'!$G$10*'Demonstrações Financeiras '!AB6)</f>
        <v>-32821.198453067678</v>
      </c>
      <c r="AD16" s="112">
        <f>IF(AD5&lt;'Premissas Gerais'!$G$15,0,-'Premissas Gerais'!$G$10*'Demonstrações Financeiras '!AC6)</f>
        <v>-32821.198453067678</v>
      </c>
      <c r="AE16" s="112">
        <f>IF(AE5&lt;'Premissas Gerais'!$G$15,0,-'Premissas Gerais'!$G$10*'Demonstrações Financeiras '!AD6)</f>
        <v>-32821.198453067678</v>
      </c>
      <c r="AF16" s="112">
        <f>IF(AF5&lt;'Premissas Gerais'!$G$15,0,-'Premissas Gerais'!$G$10*'Demonstrações Financeiras '!AE6)</f>
        <v>-32821.198453067678</v>
      </c>
      <c r="AG16" s="112">
        <f>IF(AG5&lt;'Premissas Gerais'!$G$15,0,-'Premissas Gerais'!$G$10*'Demonstrações Financeiras '!AF6)</f>
        <v>-32821.198453067678</v>
      </c>
      <c r="AH16" s="112">
        <f>IF(AH5&lt;'Premissas Gerais'!$G$15,0,-'Premissas Gerais'!$G$10*'Demonstrações Financeiras '!AG6)</f>
        <v>-32821.198453067678</v>
      </c>
      <c r="AI16" s="112">
        <f>IF(AI5&lt;'Premissas Gerais'!$G$15,0,-'Premissas Gerais'!$G$10*'Demonstrações Financeiras '!AH6)</f>
        <v>-32821.198453067678</v>
      </c>
      <c r="AJ16" s="112">
        <f>IF(AJ5&lt;'Premissas Gerais'!$G$15,0,-'Premissas Gerais'!$G$10*'Demonstrações Financeiras '!AI6)</f>
        <v>-32821.198453067678</v>
      </c>
      <c r="AK16" s="112">
        <f>IF(AK5&lt;'Premissas Gerais'!$G$15,0,-'Premissas Gerais'!$G$10*'Demonstrações Financeiras '!AJ6)</f>
        <v>-32821.198453067678</v>
      </c>
      <c r="AL16" s="112">
        <f>IF(AL5&lt;'Premissas Gerais'!$G$15,0,-'Premissas Gerais'!$G$10*'Demonstrações Financeiras '!AK6)</f>
        <v>-32821.198453067678</v>
      </c>
      <c r="AM16" s="112">
        <f>IF(AM5&lt;'Premissas Gerais'!$G$15,0,-'Premissas Gerais'!$G$10*'Demonstrações Financeiras '!AL6)</f>
        <v>-32821.198453067678</v>
      </c>
      <c r="AN16" s="112">
        <f>IF(AN5&lt;'Premissas Gerais'!$G$15,0,-'Premissas Gerais'!$G$10*'Demonstrações Financeiras '!AM6)</f>
        <v>-32821.198453067678</v>
      </c>
    </row>
    <row r="17" spans="2:40">
      <c r="C17" s="105" t="s">
        <v>264</v>
      </c>
      <c r="D17" s="112">
        <f>SUM(E17:AN17)</f>
        <v>-270173.2046652002</v>
      </c>
      <c r="E17" s="112">
        <v>0</v>
      </c>
      <c r="F17" s="112">
        <f>-Seguros!F9</f>
        <v>-19325.457039600002</v>
      </c>
      <c r="G17" s="112">
        <f>-Seguros!G9</f>
        <v>-21862.209578400005</v>
      </c>
      <c r="H17" s="112">
        <f>-Seguros!H9</f>
        <v>-6938.955698400001</v>
      </c>
      <c r="I17" s="112">
        <f>-Seguros!I9</f>
        <v>-6938.955698400001</v>
      </c>
      <c r="J17" s="112">
        <f>-Seguros!J9</f>
        <v>-6938.955698400001</v>
      </c>
      <c r="K17" s="112">
        <f>-Seguros!K9</f>
        <v>-6938.955698400001</v>
      </c>
      <c r="L17" s="112">
        <f>-Seguros!L9</f>
        <v>-6938.955698400001</v>
      </c>
      <c r="M17" s="112">
        <f>-Seguros!M9</f>
        <v>-6938.955698400001</v>
      </c>
      <c r="N17" s="112">
        <f>-Seguros!N9</f>
        <v>-6938.955698400001</v>
      </c>
      <c r="O17" s="112">
        <f>-Seguros!O9</f>
        <v>-6938.955698400001</v>
      </c>
      <c r="P17" s="112">
        <f>-Seguros!P9</f>
        <v>-6938.955698400001</v>
      </c>
      <c r="Q17" s="112">
        <f>-Seguros!Q9</f>
        <v>-6938.955698400001</v>
      </c>
      <c r="R17" s="112">
        <f>-Seguros!R9</f>
        <v>-6938.955698400001</v>
      </c>
      <c r="S17" s="112">
        <f>-Seguros!S9</f>
        <v>-6938.955698400001</v>
      </c>
      <c r="T17" s="112">
        <f>-Seguros!T9</f>
        <v>-6938.955698400001</v>
      </c>
      <c r="U17" s="112">
        <f>-Seguros!U9</f>
        <v>-6938.955698400001</v>
      </c>
      <c r="V17" s="112">
        <f>-Seguros!V9</f>
        <v>-6938.955698400001</v>
      </c>
      <c r="W17" s="112">
        <f>-Seguros!W9</f>
        <v>-6938.955698400001</v>
      </c>
      <c r="X17" s="112">
        <f>-Seguros!X9</f>
        <v>-6938.955698400001</v>
      </c>
      <c r="Y17" s="112">
        <f>-Seguros!Y9</f>
        <v>-6938.955698400001</v>
      </c>
      <c r="Z17" s="112">
        <f>-Seguros!Z9</f>
        <v>-6938.955698400001</v>
      </c>
      <c r="AA17" s="112">
        <f>-Seguros!AA9</f>
        <v>-6938.955698400001</v>
      </c>
      <c r="AB17" s="112">
        <f>-Seguros!AB9</f>
        <v>-6938.955698400001</v>
      </c>
      <c r="AC17" s="112">
        <f>-Seguros!AC9</f>
        <v>-6938.955698400001</v>
      </c>
      <c r="AD17" s="112">
        <f>-Seguros!AD9</f>
        <v>-6938.955698400001</v>
      </c>
      <c r="AE17" s="112">
        <f>-Seguros!AE9</f>
        <v>-6938.955698400001</v>
      </c>
      <c r="AF17" s="112">
        <f>-Seguros!AF9</f>
        <v>-6938.955698400001</v>
      </c>
      <c r="AG17" s="112">
        <f>-Seguros!AG9</f>
        <v>-6938.955698400001</v>
      </c>
      <c r="AH17" s="112">
        <f>-Seguros!AH9</f>
        <v>-6938.955698400001</v>
      </c>
      <c r="AI17" s="112">
        <f>-Seguros!AI9</f>
        <v>-6938.955698400001</v>
      </c>
      <c r="AJ17" s="112">
        <f>-Seguros!AJ9</f>
        <v>-6938.955698400001</v>
      </c>
      <c r="AK17" s="112">
        <f>-Seguros!AK9</f>
        <v>-6938.955698400001</v>
      </c>
      <c r="AL17" s="112">
        <f>-Seguros!AL9</f>
        <v>-6938.955698400001</v>
      </c>
      <c r="AM17" s="112">
        <f>-Seguros!AM9</f>
        <v>-6938.955698400001</v>
      </c>
      <c r="AN17" s="112">
        <f>-Seguros!AN9</f>
        <v>-6938.955698400001</v>
      </c>
    </row>
    <row r="18" spans="2:40">
      <c r="C18" s="105" t="s">
        <v>265</v>
      </c>
      <c r="D18" s="112">
        <f>SUM(F18:AN18)</f>
        <v>-65835</v>
      </c>
      <c r="E18" s="112">
        <f>IF(E5&gt;=1,-'Premissas Gerais'!$G$17,0)</f>
        <v>0</v>
      </c>
      <c r="F18" s="112">
        <f>IF(F5&gt;=1,-'Premissas Gerais'!$G$17,0)</f>
        <v>-1881</v>
      </c>
      <c r="G18" s="112">
        <f>IF(G5&gt;=1,-'Premissas Gerais'!$G$17,0)</f>
        <v>-1881</v>
      </c>
      <c r="H18" s="112">
        <f>IF(H5&gt;=1,-'Premissas Gerais'!$G$17,0)</f>
        <v>-1881</v>
      </c>
      <c r="I18" s="112">
        <f>IF(I5&gt;=1,-'Premissas Gerais'!$G$17,0)</f>
        <v>-1881</v>
      </c>
      <c r="J18" s="112">
        <f>IF(J5&gt;=1,-'Premissas Gerais'!$G$17,0)</f>
        <v>-1881</v>
      </c>
      <c r="K18" s="112">
        <f>IF(K5&gt;=1,-'Premissas Gerais'!$G$17,0)</f>
        <v>-1881</v>
      </c>
      <c r="L18" s="112">
        <f>IF(L5&gt;=1,-'Premissas Gerais'!$G$17,0)</f>
        <v>-1881</v>
      </c>
      <c r="M18" s="112">
        <f>IF(M5&gt;=1,-'Premissas Gerais'!$G$17,0)</f>
        <v>-1881</v>
      </c>
      <c r="N18" s="112">
        <f>IF(N5&gt;=1,-'Premissas Gerais'!$G$17,0)</f>
        <v>-1881</v>
      </c>
      <c r="O18" s="112">
        <f>IF(O5&gt;=1,-'Premissas Gerais'!$G$17,0)</f>
        <v>-1881</v>
      </c>
      <c r="P18" s="112">
        <f>IF(P5&gt;=1,-'Premissas Gerais'!$G$17,0)</f>
        <v>-1881</v>
      </c>
      <c r="Q18" s="112">
        <f>IF(Q5&gt;=1,-'Premissas Gerais'!$G$17,0)</f>
        <v>-1881</v>
      </c>
      <c r="R18" s="112">
        <f>IF(R5&gt;=1,-'Premissas Gerais'!$G$17,0)</f>
        <v>-1881</v>
      </c>
      <c r="S18" s="112">
        <f>IF(S5&gt;=1,-'Premissas Gerais'!$G$17,0)</f>
        <v>-1881</v>
      </c>
      <c r="T18" s="112">
        <f>IF(T5&gt;=1,-'Premissas Gerais'!$G$17,0)</f>
        <v>-1881</v>
      </c>
      <c r="U18" s="112">
        <f>IF(U5&gt;=1,-'Premissas Gerais'!$G$17,0)</f>
        <v>-1881</v>
      </c>
      <c r="V18" s="112">
        <f>IF(V5&gt;=1,-'Premissas Gerais'!$G$17,0)</f>
        <v>-1881</v>
      </c>
      <c r="W18" s="112">
        <f>IF(W5&gt;=1,-'Premissas Gerais'!$G$17,0)</f>
        <v>-1881</v>
      </c>
      <c r="X18" s="112">
        <f>IF(X5&gt;=1,-'Premissas Gerais'!$G$17,0)</f>
        <v>-1881</v>
      </c>
      <c r="Y18" s="112">
        <f>IF(Y5&gt;=1,-'Premissas Gerais'!$G$17,0)</f>
        <v>-1881</v>
      </c>
      <c r="Z18" s="112">
        <f>IF(Z5&gt;=1,-'Premissas Gerais'!$G$17,0)</f>
        <v>-1881</v>
      </c>
      <c r="AA18" s="112">
        <f>IF(AA5&gt;=1,-'Premissas Gerais'!$G$17,0)</f>
        <v>-1881</v>
      </c>
      <c r="AB18" s="112">
        <f>IF(AB5&gt;=1,-'Premissas Gerais'!$G$17,0)</f>
        <v>-1881</v>
      </c>
      <c r="AC18" s="112">
        <f>IF(AC5&gt;=1,-'Premissas Gerais'!$G$17,0)</f>
        <v>-1881</v>
      </c>
      <c r="AD18" s="112">
        <f>IF(AD5&gt;=1,-'Premissas Gerais'!$G$17,0)</f>
        <v>-1881</v>
      </c>
      <c r="AE18" s="112">
        <f>IF(AE5&gt;=1,-'Premissas Gerais'!$G$17,0)</f>
        <v>-1881</v>
      </c>
      <c r="AF18" s="112">
        <f>IF(AF5&gt;=1,-'Premissas Gerais'!$G$17,0)</f>
        <v>-1881</v>
      </c>
      <c r="AG18" s="112">
        <f>IF(AG5&gt;=1,-'Premissas Gerais'!$G$17,0)</f>
        <v>-1881</v>
      </c>
      <c r="AH18" s="112">
        <f>IF(AH5&gt;=1,-'Premissas Gerais'!$G$17,0)</f>
        <v>-1881</v>
      </c>
      <c r="AI18" s="112">
        <f>IF(AI5&gt;=1,-'Premissas Gerais'!$G$17,0)</f>
        <v>-1881</v>
      </c>
      <c r="AJ18" s="112">
        <f>IF(AJ5&gt;=1,-'Premissas Gerais'!$G$17,0)</f>
        <v>-1881</v>
      </c>
      <c r="AK18" s="112">
        <f>IF(AK5&gt;=1,-'Premissas Gerais'!$G$17,0)</f>
        <v>-1881</v>
      </c>
      <c r="AL18" s="112">
        <f>IF(AL5&gt;=1,-'Premissas Gerais'!$G$17,0)</f>
        <v>-1881</v>
      </c>
      <c r="AM18" s="112">
        <f>IF(AM5&gt;=1,-'Premissas Gerais'!$G$17,0)</f>
        <v>-1881</v>
      </c>
      <c r="AN18" s="112">
        <f>IF(AN5&gt;=1,-'Premissas Gerais'!$G$17,0)</f>
        <v>-1881</v>
      </c>
    </row>
    <row r="19" spans="2:40" ht="18.75">
      <c r="C19" s="109" t="s">
        <v>266</v>
      </c>
      <c r="D19" s="115">
        <f ca="1">SUM(F19:AN19)</f>
        <v>32663648.442767646</v>
      </c>
      <c r="E19" s="115">
        <f>SUM(E13:E14)</f>
        <v>0</v>
      </c>
      <c r="F19" s="115">
        <f>SUM(F13:F14)</f>
        <v>-21206.457039600002</v>
      </c>
      <c r="G19" s="115">
        <f t="shared" ref="G19:AN19" si="5">SUM(G13:G14)</f>
        <v>-23743.209578400005</v>
      </c>
      <c r="H19" s="115">
        <f t="shared" ca="1" si="5"/>
        <v>825836.07764498703</v>
      </c>
      <c r="I19" s="115">
        <f t="shared" ca="1" si="5"/>
        <v>825836.07764498703</v>
      </c>
      <c r="J19" s="115">
        <f t="shared" ca="1" si="5"/>
        <v>955204.28551124851</v>
      </c>
      <c r="K19" s="115">
        <f t="shared" ca="1" si="5"/>
        <v>955204.28551124851</v>
      </c>
      <c r="L19" s="115">
        <f t="shared" ca="1" si="5"/>
        <v>955204.28551124851</v>
      </c>
      <c r="M19" s="115">
        <f t="shared" ca="1" si="5"/>
        <v>955204.28551124851</v>
      </c>
      <c r="N19" s="115">
        <f t="shared" ca="1" si="5"/>
        <v>955204.28551124851</v>
      </c>
      <c r="O19" s="115">
        <f t="shared" ca="1" si="5"/>
        <v>955204.28551124851</v>
      </c>
      <c r="P19" s="115">
        <f t="shared" ca="1" si="5"/>
        <v>955204.28551124851</v>
      </c>
      <c r="Q19" s="115">
        <f t="shared" ca="1" si="5"/>
        <v>958721.1828692297</v>
      </c>
      <c r="R19" s="115">
        <f t="shared" ca="1" si="5"/>
        <v>958682.85654990072</v>
      </c>
      <c r="S19" s="115">
        <f t="shared" ca="1" si="5"/>
        <v>958682.85654990072</v>
      </c>
      <c r="T19" s="115">
        <f t="shared" ca="1" si="5"/>
        <v>1023543.2885499008</v>
      </c>
      <c r="U19" s="115">
        <f t="shared" ca="1" si="5"/>
        <v>1023543.2885499008</v>
      </c>
      <c r="V19" s="115">
        <f t="shared" ca="1" si="5"/>
        <v>1023543.2885499008</v>
      </c>
      <c r="W19" s="115">
        <f t="shared" ca="1" si="5"/>
        <v>1023543.2885499008</v>
      </c>
      <c r="X19" s="115">
        <f t="shared" ca="1" si="5"/>
        <v>1023543.2885499008</v>
      </c>
      <c r="Y19" s="115">
        <f t="shared" ca="1" si="5"/>
        <v>1023543.2885499008</v>
      </c>
      <c r="Z19" s="115">
        <f t="shared" ca="1" si="5"/>
        <v>1023543.2885499008</v>
      </c>
      <c r="AA19" s="115">
        <f t="shared" ca="1" si="5"/>
        <v>1023543.2885499008</v>
      </c>
      <c r="AB19" s="115">
        <f t="shared" ca="1" si="5"/>
        <v>1023543.2885499008</v>
      </c>
      <c r="AC19" s="115">
        <f t="shared" ca="1" si="5"/>
        <v>1023543.2885499008</v>
      </c>
      <c r="AD19" s="115">
        <f t="shared" ca="1" si="5"/>
        <v>1023543.2885499008</v>
      </c>
      <c r="AE19" s="115">
        <f t="shared" ca="1" si="5"/>
        <v>1023543.2885499008</v>
      </c>
      <c r="AF19" s="115">
        <f t="shared" ca="1" si="5"/>
        <v>1023543.2885499008</v>
      </c>
      <c r="AG19" s="115">
        <f t="shared" ca="1" si="5"/>
        <v>1023543.2885499008</v>
      </c>
      <c r="AH19" s="115">
        <f t="shared" ca="1" si="5"/>
        <v>1023543.2885499008</v>
      </c>
      <c r="AI19" s="115">
        <f t="shared" ca="1" si="5"/>
        <v>1023543.2885499008</v>
      </c>
      <c r="AJ19" s="115">
        <f t="shared" ca="1" si="5"/>
        <v>1023543.2885499008</v>
      </c>
      <c r="AK19" s="115">
        <f t="shared" ca="1" si="5"/>
        <v>1023543.2885499008</v>
      </c>
      <c r="AL19" s="115">
        <f t="shared" ca="1" si="5"/>
        <v>1023543.2885499008</v>
      </c>
      <c r="AM19" s="115">
        <f t="shared" ca="1" si="5"/>
        <v>1023543.2885499008</v>
      </c>
      <c r="AN19" s="115">
        <f t="shared" ca="1" si="5"/>
        <v>1023543.2885499008</v>
      </c>
    </row>
    <row r="20" spans="2:40">
      <c r="C20" s="110" t="s">
        <v>267</v>
      </c>
      <c r="D20" s="182">
        <f ca="1">D19/D13</f>
        <v>0.36417791896779872</v>
      </c>
      <c r="E20" s="116">
        <f t="shared" ref="E20:AN20" si="6">IFERROR(E19/E13,0)</f>
        <v>0</v>
      </c>
      <c r="F20" s="116">
        <f t="shared" si="6"/>
        <v>0</v>
      </c>
      <c r="G20" s="116">
        <f t="shared" si="6"/>
        <v>0</v>
      </c>
      <c r="H20" s="116">
        <f t="shared" ca="1" si="6"/>
        <v>0.32748314570244041</v>
      </c>
      <c r="I20" s="116">
        <f t="shared" ca="1" si="6"/>
        <v>0.32748314570244041</v>
      </c>
      <c r="J20" s="116">
        <f t="shared" ca="1" si="6"/>
        <v>0.35589924096877706</v>
      </c>
      <c r="K20" s="116">
        <f t="shared" ca="1" si="6"/>
        <v>0.35589924096877706</v>
      </c>
      <c r="L20" s="116">
        <f t="shared" ca="1" si="6"/>
        <v>0.35589924096877706</v>
      </c>
      <c r="M20" s="116">
        <f t="shared" ca="1" si="6"/>
        <v>0.35589924096877706</v>
      </c>
      <c r="N20" s="116">
        <f t="shared" ca="1" si="6"/>
        <v>0.35589924096877706</v>
      </c>
      <c r="O20" s="116">
        <f t="shared" ca="1" si="6"/>
        <v>0.35589924096877706</v>
      </c>
      <c r="P20" s="116">
        <f t="shared" ca="1" si="6"/>
        <v>0.35589924096877706</v>
      </c>
      <c r="Q20" s="116">
        <f t="shared" ca="1" si="6"/>
        <v>0.35674214007729355</v>
      </c>
      <c r="R20" s="116">
        <f t="shared" ca="1" si="6"/>
        <v>0.35672787877440071</v>
      </c>
      <c r="S20" s="116">
        <f t="shared" ca="1" si="6"/>
        <v>0.35672787877440071</v>
      </c>
      <c r="T20" s="116">
        <f t="shared" ca="1" si="6"/>
        <v>0.37188719369756862</v>
      </c>
      <c r="U20" s="116">
        <f t="shared" ca="1" si="6"/>
        <v>0.37188719369756862</v>
      </c>
      <c r="V20" s="116">
        <f t="shared" ca="1" si="6"/>
        <v>0.37188719369756862</v>
      </c>
      <c r="W20" s="116">
        <f t="shared" ca="1" si="6"/>
        <v>0.37188719369756862</v>
      </c>
      <c r="X20" s="116">
        <f t="shared" ca="1" si="6"/>
        <v>0.37188719369756862</v>
      </c>
      <c r="Y20" s="116">
        <f t="shared" ca="1" si="6"/>
        <v>0.37188719369756862</v>
      </c>
      <c r="Z20" s="116">
        <f t="shared" ca="1" si="6"/>
        <v>0.37188719369756862</v>
      </c>
      <c r="AA20" s="116">
        <f t="shared" ca="1" si="6"/>
        <v>0.37188719369756862</v>
      </c>
      <c r="AB20" s="116">
        <f t="shared" ca="1" si="6"/>
        <v>0.37188719369756862</v>
      </c>
      <c r="AC20" s="116">
        <f t="shared" ca="1" si="6"/>
        <v>0.37188719369756862</v>
      </c>
      <c r="AD20" s="116">
        <f t="shared" ca="1" si="6"/>
        <v>0.37188719369756862</v>
      </c>
      <c r="AE20" s="116">
        <f t="shared" ca="1" si="6"/>
        <v>0.37188719369756862</v>
      </c>
      <c r="AF20" s="116">
        <f t="shared" ca="1" si="6"/>
        <v>0.37188719369756862</v>
      </c>
      <c r="AG20" s="116">
        <f t="shared" ca="1" si="6"/>
        <v>0.37188719369756862</v>
      </c>
      <c r="AH20" s="116">
        <f t="shared" ca="1" si="6"/>
        <v>0.37188719369756862</v>
      </c>
      <c r="AI20" s="116">
        <f t="shared" ca="1" si="6"/>
        <v>0.37188719369756862</v>
      </c>
      <c r="AJ20" s="116">
        <f t="shared" ca="1" si="6"/>
        <v>0.37188719369756862</v>
      </c>
      <c r="AK20" s="116">
        <f t="shared" ca="1" si="6"/>
        <v>0.37188719369756862</v>
      </c>
      <c r="AL20" s="116">
        <f t="shared" ca="1" si="6"/>
        <v>0.37188719369756862</v>
      </c>
      <c r="AM20" s="116">
        <f t="shared" ca="1" si="6"/>
        <v>0.37188719369756862</v>
      </c>
      <c r="AN20" s="116">
        <f t="shared" ca="1" si="6"/>
        <v>0.37188719369756862</v>
      </c>
    </row>
    <row r="21" spans="2:40">
      <c r="C21" s="105" t="s">
        <v>268</v>
      </c>
      <c r="D21" s="117">
        <f t="shared" ref="D21:D28" ca="1" si="7">SUM(F21:AN21)</f>
        <v>-7461626.9400000023</v>
      </c>
      <c r="E21" s="117">
        <f ca="1">-(Capex!F31+Capex!E130)</f>
        <v>0</v>
      </c>
      <c r="F21" s="117">
        <f ca="1">-SUM(Capex!E249:E250)</f>
        <v>0</v>
      </c>
      <c r="G21" s="117">
        <f ca="1">-SUM(Capex!F249:F250)</f>
        <v>-190433.75589070967</v>
      </c>
      <c r="H21" s="117">
        <f ca="1">-SUM(Capex!G249:G250)</f>
        <v>-380867.51178141934</v>
      </c>
      <c r="I21" s="117">
        <f ca="1">-SUM(Capex!H249:H250)</f>
        <v>-380867.51178141934</v>
      </c>
      <c r="J21" s="117">
        <f ca="1">-SUM(Capex!I249:I250)</f>
        <v>-380867.51178141934</v>
      </c>
      <c r="K21" s="117">
        <f ca="1">-SUM(Capex!J249:J250)</f>
        <v>-380867.51178141934</v>
      </c>
      <c r="L21" s="117">
        <f ca="1">-SUM(Capex!K249:K250)</f>
        <v>-380867.51178141934</v>
      </c>
      <c r="M21" s="117">
        <f ca="1">-SUM(Capex!L249:L250)</f>
        <v>-380867.51178141934</v>
      </c>
      <c r="N21" s="117">
        <f ca="1">-SUM(Capex!M249:M250)</f>
        <v>-380867.51178141934</v>
      </c>
      <c r="O21" s="117">
        <f ca="1">-SUM(Capex!N249:N250)</f>
        <v>-380867.51178141934</v>
      </c>
      <c r="P21" s="117">
        <f ca="1">-SUM(Capex!O249:O250)</f>
        <v>-380867.51178141934</v>
      </c>
      <c r="Q21" s="117">
        <f ca="1">-SUM(Capex!P249:P250)</f>
        <v>-312198.81663023657</v>
      </c>
      <c r="R21" s="117">
        <f ca="1">-SUM(Capex!Q249:Q250)</f>
        <v>-243530.12147905384</v>
      </c>
      <c r="S21" s="117">
        <f ca="1">-SUM(Capex!R249:R250)</f>
        <v>-243530.12147905384</v>
      </c>
      <c r="T21" s="117">
        <f ca="1">-SUM(Capex!S249:S250)</f>
        <v>-243530.12147905384</v>
      </c>
      <c r="U21" s="117">
        <f ca="1">-SUM(Capex!T249:T250)</f>
        <v>-243530.12147905384</v>
      </c>
      <c r="V21" s="117">
        <f ca="1">-SUM(Capex!U249:U250)</f>
        <v>-243530.12147905384</v>
      </c>
      <c r="W21" s="117">
        <f ca="1">-SUM(Capex!V249:V250)</f>
        <v>-243530.12147905384</v>
      </c>
      <c r="X21" s="117">
        <f ca="1">-SUM(Capex!W249:W250)</f>
        <v>-243530.12147905384</v>
      </c>
      <c r="Y21" s="117">
        <f ca="1">-SUM(Capex!X249:X250)</f>
        <v>-243530.12147905384</v>
      </c>
      <c r="Z21" s="117">
        <f ca="1">-SUM(Capex!Y249:Y250)</f>
        <v>-243530.12147905384</v>
      </c>
      <c r="AA21" s="117">
        <f ca="1">-SUM(Capex!Z249:Z250)</f>
        <v>-243530.12147905384</v>
      </c>
      <c r="AB21" s="117">
        <f ca="1">-SUM(Capex!AA249:AA250)</f>
        <v>-243530.12147905384</v>
      </c>
      <c r="AC21" s="117">
        <f ca="1">-SUM(Capex!AB249:AB250)</f>
        <v>-243530.12147905384</v>
      </c>
      <c r="AD21" s="117">
        <f ca="1">-SUM(Capex!AC249:AC250)</f>
        <v>-243530.12147905384</v>
      </c>
      <c r="AE21" s="117">
        <f ca="1">-SUM(Capex!AD249:AD250)</f>
        <v>-243530.12147905384</v>
      </c>
      <c r="AF21" s="117">
        <f ca="1">-SUM(Capex!AE249:AE250)</f>
        <v>-121765.06073952692</v>
      </c>
      <c r="AG21" s="117">
        <f ca="1">-SUM(Capex!AF249:AF250)</f>
        <v>0</v>
      </c>
      <c r="AH21" s="117">
        <f ca="1">-SUM(Capex!AG249:AG250)</f>
        <v>0</v>
      </c>
      <c r="AI21" s="117">
        <f ca="1">-SUM(Capex!AH249:AH250)</f>
        <v>0</v>
      </c>
      <c r="AJ21" s="117">
        <f ca="1">-SUM(Capex!AI249:AI250)</f>
        <v>0</v>
      </c>
      <c r="AK21" s="117">
        <f ca="1">-SUM(Capex!AJ249:AJ250)</f>
        <v>0</v>
      </c>
      <c r="AL21" s="117">
        <f ca="1">-SUM(Capex!AK249:AK250)</f>
        <v>0</v>
      </c>
      <c r="AM21" s="117">
        <f ca="1">-SUM(Capex!AL249:AL250)</f>
        <v>0</v>
      </c>
      <c r="AN21" s="117">
        <f ca="1">-SUM(Capex!AM249:AM250)</f>
        <v>0</v>
      </c>
    </row>
    <row r="22" spans="2:40" ht="18.75">
      <c r="C22" s="109" t="s">
        <v>269</v>
      </c>
      <c r="D22" s="115">
        <f t="shared" ca="1" si="7"/>
        <v>25202021.502767656</v>
      </c>
      <c r="E22" s="115">
        <f ca="1">E19+E21</f>
        <v>0</v>
      </c>
      <c r="F22" s="115">
        <f t="shared" ref="F22:AN22" ca="1" si="8">F19+F21</f>
        <v>-21206.457039600002</v>
      </c>
      <c r="G22" s="115">
        <f ca="1">G19+G21</f>
        <v>-214176.96546910968</v>
      </c>
      <c r="H22" s="115">
        <f ca="1">H19+H21</f>
        <v>444968.5658635677</v>
      </c>
      <c r="I22" s="115">
        <f t="shared" ca="1" si="8"/>
        <v>444968.5658635677</v>
      </c>
      <c r="J22" s="115">
        <f t="shared" ca="1" si="8"/>
        <v>574336.77372982912</v>
      </c>
      <c r="K22" s="115">
        <f ca="1">K19+K21</f>
        <v>574336.77372982912</v>
      </c>
      <c r="L22" s="115">
        <f t="shared" ca="1" si="8"/>
        <v>574336.77372982912</v>
      </c>
      <c r="M22" s="115">
        <f t="shared" ca="1" si="8"/>
        <v>574336.77372982912</v>
      </c>
      <c r="N22" s="115">
        <f t="shared" ca="1" si="8"/>
        <v>574336.77372982912</v>
      </c>
      <c r="O22" s="115">
        <f t="shared" ca="1" si="8"/>
        <v>574336.77372982912</v>
      </c>
      <c r="P22" s="115">
        <f t="shared" ca="1" si="8"/>
        <v>574336.77372982912</v>
      </c>
      <c r="Q22" s="115">
        <f t="shared" ca="1" si="8"/>
        <v>646522.36623899313</v>
      </c>
      <c r="R22" s="115">
        <f t="shared" ca="1" si="8"/>
        <v>715152.73507084686</v>
      </c>
      <c r="S22" s="115">
        <f t="shared" ca="1" si="8"/>
        <v>715152.73507084686</v>
      </c>
      <c r="T22" s="115">
        <f t="shared" ca="1" si="8"/>
        <v>780013.16707084689</v>
      </c>
      <c r="U22" s="115">
        <f t="shared" ca="1" si="8"/>
        <v>780013.16707084689</v>
      </c>
      <c r="V22" s="115">
        <f t="shared" ca="1" si="8"/>
        <v>780013.16707084689</v>
      </c>
      <c r="W22" s="115">
        <f t="shared" ca="1" si="8"/>
        <v>780013.16707084689</v>
      </c>
      <c r="X22" s="115">
        <f t="shared" ca="1" si="8"/>
        <v>780013.16707084689</v>
      </c>
      <c r="Y22" s="115">
        <f t="shared" ca="1" si="8"/>
        <v>780013.16707084689</v>
      </c>
      <c r="Z22" s="115">
        <f t="shared" ca="1" si="8"/>
        <v>780013.16707084689</v>
      </c>
      <c r="AA22" s="115">
        <f t="shared" ca="1" si="8"/>
        <v>780013.16707084689</v>
      </c>
      <c r="AB22" s="115">
        <f t="shared" ca="1" si="8"/>
        <v>780013.16707084689</v>
      </c>
      <c r="AC22" s="115">
        <f t="shared" ca="1" si="8"/>
        <v>780013.16707084689</v>
      </c>
      <c r="AD22" s="115">
        <f t="shared" ca="1" si="8"/>
        <v>780013.16707084689</v>
      </c>
      <c r="AE22" s="115">
        <f t="shared" ca="1" si="8"/>
        <v>780013.16707084689</v>
      </c>
      <c r="AF22" s="115">
        <f t="shared" ca="1" si="8"/>
        <v>901778.22781037388</v>
      </c>
      <c r="AG22" s="115">
        <f t="shared" ca="1" si="8"/>
        <v>1023543.2885499008</v>
      </c>
      <c r="AH22" s="115">
        <f t="shared" ca="1" si="8"/>
        <v>1023543.2885499008</v>
      </c>
      <c r="AI22" s="115">
        <f t="shared" ca="1" si="8"/>
        <v>1023543.2885499008</v>
      </c>
      <c r="AJ22" s="115">
        <f t="shared" ca="1" si="8"/>
        <v>1023543.2885499008</v>
      </c>
      <c r="AK22" s="115">
        <f t="shared" ca="1" si="8"/>
        <v>1023543.2885499008</v>
      </c>
      <c r="AL22" s="115">
        <f t="shared" ca="1" si="8"/>
        <v>1023543.2885499008</v>
      </c>
      <c r="AM22" s="115">
        <f t="shared" ca="1" si="8"/>
        <v>1023543.2885499008</v>
      </c>
      <c r="AN22" s="115">
        <f t="shared" ca="1" si="8"/>
        <v>1023543.2885499008</v>
      </c>
    </row>
    <row r="23" spans="2:40">
      <c r="C23" s="105" t="s">
        <v>270</v>
      </c>
      <c r="D23" s="112">
        <f t="shared" ca="1" si="7"/>
        <v>-1490329.3842973837</v>
      </c>
      <c r="E23" s="112">
        <f>SUM(E24:E25)</f>
        <v>0</v>
      </c>
      <c r="F23" s="112">
        <f>SUM(F24:F25)</f>
        <v>0</v>
      </c>
      <c r="G23" s="112">
        <f>IF(G13&gt;0,SUM(G24:G25),0)</f>
        <v>0</v>
      </c>
      <c r="H23" s="112">
        <f t="shared" ref="H23:AN23" si="9">SUM(H24:H25)</f>
        <v>0</v>
      </c>
      <c r="I23" s="112">
        <f t="shared" si="9"/>
        <v>0</v>
      </c>
      <c r="J23" s="112">
        <f t="shared" si="9"/>
        <v>0</v>
      </c>
      <c r="K23" s="112">
        <f ca="1">SUM(K24:K25)</f>
        <v>-229281.44373805908</v>
      </c>
      <c r="L23" s="112">
        <f t="shared" ca="1" si="9"/>
        <v>-210174.65675988747</v>
      </c>
      <c r="M23" s="112">
        <f t="shared" ca="1" si="9"/>
        <v>-191067.86978171588</v>
      </c>
      <c r="N23" s="112">
        <f t="shared" ca="1" si="9"/>
        <v>-171961.0828035443</v>
      </c>
      <c r="O23" s="112">
        <f t="shared" ca="1" si="9"/>
        <v>-152854.29582537271</v>
      </c>
      <c r="P23" s="112">
        <f t="shared" ca="1" si="9"/>
        <v>-133747.5088472011</v>
      </c>
      <c r="Q23" s="112">
        <f t="shared" ca="1" si="9"/>
        <v>-114640.72186902951</v>
      </c>
      <c r="R23" s="112">
        <f t="shared" ca="1" si="9"/>
        <v>-95533.934890857927</v>
      </c>
      <c r="S23" s="112">
        <f t="shared" ca="1" si="9"/>
        <v>-76427.147912686327</v>
      </c>
      <c r="T23" s="112">
        <f t="shared" ca="1" si="9"/>
        <v>-57320.360934514742</v>
      </c>
      <c r="U23" s="112">
        <f t="shared" ca="1" si="9"/>
        <v>-38213.573956343149</v>
      </c>
      <c r="V23" s="112">
        <f t="shared" ca="1" si="9"/>
        <v>-19106.78697817156</v>
      </c>
      <c r="W23" s="112">
        <f t="shared" ca="1" si="9"/>
        <v>3.0960771255195185E-11</v>
      </c>
      <c r="X23" s="112">
        <f t="shared" ca="1" si="9"/>
        <v>3.3313356419792446E-11</v>
      </c>
      <c r="Y23" s="112">
        <f t="shared" ca="1" si="9"/>
        <v>3.58447051207068E-11</v>
      </c>
      <c r="Z23" s="112">
        <f t="shared" ca="1" si="9"/>
        <v>3.8568400884008828E-11</v>
      </c>
      <c r="AA23" s="112">
        <f t="shared" ca="1" si="9"/>
        <v>4.1499059393581135E-11</v>
      </c>
      <c r="AB23" s="112">
        <f t="shared" ca="1" si="9"/>
        <v>4.4652406920661795E-11</v>
      </c>
      <c r="AC23" s="112">
        <f t="shared" ca="1" si="9"/>
        <v>4.8045364712935206E-11</v>
      </c>
      <c r="AD23" s="112">
        <f t="shared" ca="1" si="9"/>
        <v>5.1696139796012305E-11</v>
      </c>
      <c r="AE23" s="112">
        <f t="shared" ca="1" si="9"/>
        <v>5.56243226745521E-11</v>
      </c>
      <c r="AF23" s="112">
        <f t="shared" ca="1" si="9"/>
        <v>5.985099245730062E-11</v>
      </c>
      <c r="AG23" s="112">
        <f t="shared" ca="1" si="9"/>
        <v>6.4398829970161077E-11</v>
      </c>
      <c r="AH23" s="112">
        <f t="shared" ca="1" si="9"/>
        <v>6.9292239464273737E-11</v>
      </c>
      <c r="AI23" s="112">
        <f t="shared" ca="1" si="9"/>
        <v>7.4557479572206051E-11</v>
      </c>
      <c r="AJ23" s="112">
        <f t="shared" ca="1" si="9"/>
        <v>8.0222804214979716E-11</v>
      </c>
      <c r="AK23" s="112">
        <f t="shared" ca="1" si="9"/>
        <v>8.6318614216059169E-11</v>
      </c>
      <c r="AL23" s="112">
        <f t="shared" ca="1" si="9"/>
        <v>9.2877620435880642E-11</v>
      </c>
      <c r="AM23" s="112">
        <f t="shared" ca="1" si="9"/>
        <v>9.9935019302321492E-11</v>
      </c>
      <c r="AN23" s="112">
        <f t="shared" ca="1" si="9"/>
        <v>1.075286816790277E-10</v>
      </c>
    </row>
    <row r="24" spans="2:40">
      <c r="C24" s="105" t="s">
        <v>271</v>
      </c>
      <c r="D24" s="118">
        <f t="shared" si="7"/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</row>
    <row r="25" spans="2:40">
      <c r="C25" s="105" t="s">
        <v>272</v>
      </c>
      <c r="D25" s="117">
        <f ca="1">SUM(F25:AN25)</f>
        <v>-1490329.3842973837</v>
      </c>
      <c r="E25" s="117">
        <v>0</v>
      </c>
      <c r="F25" s="117">
        <f t="array" ref="F25:AN25">-TRANSPOSE(Financiamento!H11:H45)</f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f ca="1"/>
        <v>-229281.44373805908</v>
      </c>
      <c r="L25" s="117">
        <f ca="1"/>
        <v>-210174.65675988747</v>
      </c>
      <c r="M25" s="117">
        <f ca="1"/>
        <v>-191067.86978171588</v>
      </c>
      <c r="N25" s="117">
        <f ca="1"/>
        <v>-171961.0828035443</v>
      </c>
      <c r="O25" s="117">
        <f ca="1"/>
        <v>-152854.29582537271</v>
      </c>
      <c r="P25" s="117">
        <f ca="1"/>
        <v>-133747.5088472011</v>
      </c>
      <c r="Q25" s="117">
        <f ca="1"/>
        <v>-114640.72186902951</v>
      </c>
      <c r="R25" s="117">
        <f ca="1"/>
        <v>-95533.934890857927</v>
      </c>
      <c r="S25" s="117">
        <f ca="1"/>
        <v>-76427.147912686327</v>
      </c>
      <c r="T25" s="117">
        <f ca="1"/>
        <v>-57320.360934514742</v>
      </c>
      <c r="U25" s="117">
        <f ca="1"/>
        <v>-38213.573956343149</v>
      </c>
      <c r="V25" s="117">
        <f ca="1"/>
        <v>-19106.78697817156</v>
      </c>
      <c r="W25" s="117">
        <f ca="1"/>
        <v>3.0960771255195185E-11</v>
      </c>
      <c r="X25" s="117">
        <f ca="1"/>
        <v>3.3313356419792446E-11</v>
      </c>
      <c r="Y25" s="117">
        <f ca="1"/>
        <v>3.58447051207068E-11</v>
      </c>
      <c r="Z25" s="117">
        <f ca="1"/>
        <v>3.8568400884008828E-11</v>
      </c>
      <c r="AA25" s="117">
        <f ca="1"/>
        <v>4.1499059393581135E-11</v>
      </c>
      <c r="AB25" s="117">
        <f ca="1"/>
        <v>4.4652406920661795E-11</v>
      </c>
      <c r="AC25" s="117">
        <f ca="1"/>
        <v>4.8045364712935206E-11</v>
      </c>
      <c r="AD25" s="117">
        <f ca="1"/>
        <v>5.1696139796012305E-11</v>
      </c>
      <c r="AE25" s="117">
        <f ca="1"/>
        <v>5.56243226745521E-11</v>
      </c>
      <c r="AF25" s="117">
        <f ca="1"/>
        <v>5.985099245730062E-11</v>
      </c>
      <c r="AG25" s="117">
        <f ca="1"/>
        <v>6.4398829970161077E-11</v>
      </c>
      <c r="AH25" s="117">
        <f ca="1"/>
        <v>6.9292239464273737E-11</v>
      </c>
      <c r="AI25" s="117">
        <f ca="1"/>
        <v>7.4557479572206051E-11</v>
      </c>
      <c r="AJ25" s="117">
        <f ca="1"/>
        <v>8.0222804214979716E-11</v>
      </c>
      <c r="AK25" s="117">
        <f ca="1"/>
        <v>8.6318614216059169E-11</v>
      </c>
      <c r="AL25" s="117">
        <f ca="1"/>
        <v>9.2877620435880642E-11</v>
      </c>
      <c r="AM25" s="117">
        <f ca="1"/>
        <v>9.9935019302321492E-11</v>
      </c>
      <c r="AN25" s="117">
        <f ca="1"/>
        <v>1.075286816790277E-10</v>
      </c>
    </row>
    <row r="26" spans="2:40" ht="18.75">
      <c r="C26" s="106" t="s">
        <v>273</v>
      </c>
      <c r="D26" s="111">
        <f t="shared" ca="1" si="7"/>
        <v>23711692.11847027</v>
      </c>
      <c r="E26" s="111">
        <f ca="1">E22+E23</f>
        <v>0</v>
      </c>
      <c r="F26" s="111">
        <f ca="1">F22+F23</f>
        <v>-21206.457039600002</v>
      </c>
      <c r="G26" s="111">
        <f ca="1">G22+G23</f>
        <v>-214176.96546910968</v>
      </c>
      <c r="H26" s="111">
        <f ca="1">H22+H23</f>
        <v>444968.5658635677</v>
      </c>
      <c r="I26" s="111">
        <f t="shared" ref="I26:AN26" ca="1" si="10">I22+I23</f>
        <v>444968.5658635677</v>
      </c>
      <c r="J26" s="111">
        <f t="shared" ca="1" si="10"/>
        <v>574336.77372982912</v>
      </c>
      <c r="K26" s="111">
        <f t="shared" ca="1" si="10"/>
        <v>345055.32999177004</v>
      </c>
      <c r="L26" s="111">
        <f t="shared" ca="1" si="10"/>
        <v>364162.11696994165</v>
      </c>
      <c r="M26" s="111">
        <f t="shared" ca="1" si="10"/>
        <v>383268.90394811321</v>
      </c>
      <c r="N26" s="111">
        <f t="shared" ca="1" si="10"/>
        <v>402375.69092628482</v>
      </c>
      <c r="O26" s="111">
        <f t="shared" ca="1" si="10"/>
        <v>421482.47790445643</v>
      </c>
      <c r="P26" s="111">
        <f t="shared" ca="1" si="10"/>
        <v>440589.26488262799</v>
      </c>
      <c r="Q26" s="111">
        <f t="shared" ca="1" si="10"/>
        <v>531881.64436996356</v>
      </c>
      <c r="R26" s="111">
        <f t="shared" ca="1" si="10"/>
        <v>619618.80017998896</v>
      </c>
      <c r="S26" s="111">
        <f t="shared" ca="1" si="10"/>
        <v>638725.58715816052</v>
      </c>
      <c r="T26" s="111">
        <f t="shared" ca="1" si="10"/>
        <v>722692.8061363321</v>
      </c>
      <c r="U26" s="111">
        <f t="shared" ca="1" si="10"/>
        <v>741799.59311450378</v>
      </c>
      <c r="V26" s="111">
        <f t="shared" ca="1" si="10"/>
        <v>760906.38009267533</v>
      </c>
      <c r="W26" s="111">
        <f t="shared" ca="1" si="10"/>
        <v>780013.16707084689</v>
      </c>
      <c r="X26" s="111">
        <f t="shared" ca="1" si="10"/>
        <v>780013.16707084689</v>
      </c>
      <c r="Y26" s="111">
        <f t="shared" ca="1" si="10"/>
        <v>780013.16707084689</v>
      </c>
      <c r="Z26" s="111">
        <f t="shared" ca="1" si="10"/>
        <v>780013.16707084689</v>
      </c>
      <c r="AA26" s="111">
        <f t="shared" ca="1" si="10"/>
        <v>780013.16707084689</v>
      </c>
      <c r="AB26" s="111">
        <f t="shared" ca="1" si="10"/>
        <v>780013.16707084689</v>
      </c>
      <c r="AC26" s="111">
        <f t="shared" ca="1" si="10"/>
        <v>780013.16707084689</v>
      </c>
      <c r="AD26" s="111">
        <f t="shared" ca="1" si="10"/>
        <v>780013.16707084689</v>
      </c>
      <c r="AE26" s="111">
        <f t="shared" ca="1" si="10"/>
        <v>780013.16707084689</v>
      </c>
      <c r="AF26" s="111">
        <f t="shared" ca="1" si="10"/>
        <v>901778.227810374</v>
      </c>
      <c r="AG26" s="111">
        <f t="shared" ca="1" si="10"/>
        <v>1023543.2885499009</v>
      </c>
      <c r="AH26" s="111">
        <f t="shared" ca="1" si="10"/>
        <v>1023543.2885499009</v>
      </c>
      <c r="AI26" s="111">
        <f t="shared" ca="1" si="10"/>
        <v>1023543.2885499009</v>
      </c>
      <c r="AJ26" s="111">
        <f t="shared" ca="1" si="10"/>
        <v>1023543.2885499009</v>
      </c>
      <c r="AK26" s="111">
        <f t="shared" ca="1" si="10"/>
        <v>1023543.2885499009</v>
      </c>
      <c r="AL26" s="111">
        <f t="shared" ca="1" si="10"/>
        <v>1023543.2885499009</v>
      </c>
      <c r="AM26" s="111">
        <f t="shared" ca="1" si="10"/>
        <v>1023543.2885499009</v>
      </c>
      <c r="AN26" s="111">
        <f t="shared" ca="1" si="10"/>
        <v>1023543.2885499009</v>
      </c>
    </row>
    <row r="27" spans="2:40">
      <c r="C27" s="105" t="s">
        <v>274</v>
      </c>
      <c r="D27" s="117">
        <f t="shared" si="7"/>
        <v>-11041493.203591717</v>
      </c>
      <c r="E27" s="117">
        <f>-Tributação!G15</f>
        <v>0</v>
      </c>
      <c r="F27" s="117">
        <f>-Tributação!H15</f>
        <v>0</v>
      </c>
      <c r="G27" s="117">
        <f>-Tributação!I15</f>
        <v>0</v>
      </c>
      <c r="H27" s="117">
        <f>-Tributação!J15</f>
        <v>-334286.06986448652</v>
      </c>
      <c r="I27" s="117">
        <f>-Tributação!K15</f>
        <v>-334286.06986448652</v>
      </c>
      <c r="J27" s="117">
        <f>-Tributação!L15</f>
        <v>-334286.06986448652</v>
      </c>
      <c r="K27" s="117">
        <f>-Tributação!M15</f>
        <v>-334286.06986448652</v>
      </c>
      <c r="L27" s="117">
        <f>-Tributação!N15</f>
        <v>-334286.06986448652</v>
      </c>
      <c r="M27" s="117">
        <f>-Tributação!O15</f>
        <v>-334286.06986448652</v>
      </c>
      <c r="N27" s="117">
        <f>-Tributação!P15</f>
        <v>-334286.06986448652</v>
      </c>
      <c r="O27" s="117">
        <f>-Tributação!Q15</f>
        <v>-334286.06986448652</v>
      </c>
      <c r="P27" s="117">
        <f>-Tributação!R15</f>
        <v>-334286.06986448652</v>
      </c>
      <c r="Q27" s="117">
        <f>-Tributação!S15</f>
        <v>-334704.94061713933</v>
      </c>
      <c r="R27" s="117">
        <f>-Tributação!T15</f>
        <v>-334704.94061713933</v>
      </c>
      <c r="S27" s="117">
        <f>-Tributação!U15</f>
        <v>-334704.94061713933</v>
      </c>
      <c r="T27" s="117">
        <f>-Tributação!V15</f>
        <v>-334704.94061713933</v>
      </c>
      <c r="U27" s="117">
        <f>-Tributação!W15</f>
        <v>-334704.94061713933</v>
      </c>
      <c r="V27" s="117">
        <f>-Tributação!X15</f>
        <v>-334704.94061713933</v>
      </c>
      <c r="W27" s="117">
        <f>-Tributação!Y15</f>
        <v>-334704.94061713933</v>
      </c>
      <c r="X27" s="117">
        <f>-Tributação!Z15</f>
        <v>-334704.94061713933</v>
      </c>
      <c r="Y27" s="117">
        <f>-Tributação!AA15</f>
        <v>-334704.94061713933</v>
      </c>
      <c r="Z27" s="117">
        <f>-Tributação!AB15</f>
        <v>-334704.94061713933</v>
      </c>
      <c r="AA27" s="117">
        <f>-Tributação!AC15</f>
        <v>-334704.94061713933</v>
      </c>
      <c r="AB27" s="117">
        <f>-Tributação!AD15</f>
        <v>-334704.94061713933</v>
      </c>
      <c r="AC27" s="117">
        <f>-Tributação!AE15</f>
        <v>-334704.94061713933</v>
      </c>
      <c r="AD27" s="117">
        <f>-Tributação!AF15</f>
        <v>-334704.94061713933</v>
      </c>
      <c r="AE27" s="117">
        <f>-Tributação!AG15</f>
        <v>-334704.94061713933</v>
      </c>
      <c r="AF27" s="117">
        <f>-Tributação!AH15</f>
        <v>-334704.94061713933</v>
      </c>
      <c r="AG27" s="117">
        <f>-Tributação!AI15</f>
        <v>-334704.94061713933</v>
      </c>
      <c r="AH27" s="117">
        <f>-Tributação!AJ15</f>
        <v>-334704.94061713933</v>
      </c>
      <c r="AI27" s="117">
        <f>-Tributação!AK15</f>
        <v>-334704.94061713933</v>
      </c>
      <c r="AJ27" s="117">
        <f>-Tributação!AL15</f>
        <v>-334704.94061713933</v>
      </c>
      <c r="AK27" s="117">
        <f>-Tributação!AM15</f>
        <v>-334704.94061713933</v>
      </c>
      <c r="AL27" s="117">
        <f>-Tributação!AN15</f>
        <v>-334704.94061713933</v>
      </c>
      <c r="AM27" s="117">
        <f>-Tributação!AO15</f>
        <v>-334704.94061713933</v>
      </c>
      <c r="AN27" s="117">
        <f>-Tributação!AP15</f>
        <v>-334704.94061713933</v>
      </c>
    </row>
    <row r="28" spans="2:40" ht="18.75">
      <c r="C28" s="106" t="s">
        <v>275</v>
      </c>
      <c r="D28" s="111">
        <f t="shared" ca="1" si="7"/>
        <v>12670198.914878555</v>
      </c>
      <c r="E28" s="111">
        <f ca="1">E26+E27</f>
        <v>0</v>
      </c>
      <c r="F28" s="111">
        <f t="shared" ref="F28:AN28" ca="1" si="11">F26+F27</f>
        <v>-21206.457039600002</v>
      </c>
      <c r="G28" s="111">
        <f t="shared" ca="1" si="11"/>
        <v>-214176.96546910968</v>
      </c>
      <c r="H28" s="111">
        <f t="shared" ca="1" si="11"/>
        <v>110682.49599908118</v>
      </c>
      <c r="I28" s="111">
        <f t="shared" ca="1" si="11"/>
        <v>110682.49599908118</v>
      </c>
      <c r="J28" s="111">
        <f t="shared" ca="1" si="11"/>
        <v>240050.7038653426</v>
      </c>
      <c r="K28" s="111">
        <f t="shared" ca="1" si="11"/>
        <v>10769.260127283516</v>
      </c>
      <c r="L28" s="111">
        <f t="shared" ca="1" si="11"/>
        <v>29876.047105455131</v>
      </c>
      <c r="M28" s="111">
        <f t="shared" ca="1" si="11"/>
        <v>48982.834083626687</v>
      </c>
      <c r="N28" s="111">
        <f t="shared" ca="1" si="11"/>
        <v>68089.621061798302</v>
      </c>
      <c r="O28" s="111">
        <f t="shared" ca="1" si="11"/>
        <v>87196.408039969916</v>
      </c>
      <c r="P28" s="111">
        <f t="shared" ca="1" si="11"/>
        <v>106303.19501814147</v>
      </c>
      <c r="Q28" s="111">
        <f t="shared" ca="1" si="11"/>
        <v>197176.70375282422</v>
      </c>
      <c r="R28" s="111">
        <f t="shared" ca="1" si="11"/>
        <v>284913.85956284963</v>
      </c>
      <c r="S28" s="111">
        <f t="shared" ca="1" si="11"/>
        <v>304020.64654102118</v>
      </c>
      <c r="T28" s="111">
        <f t="shared" ca="1" si="11"/>
        <v>387987.86551919277</v>
      </c>
      <c r="U28" s="111">
        <f t="shared" ca="1" si="11"/>
        <v>407094.65249736444</v>
      </c>
      <c r="V28" s="111">
        <f t="shared" ca="1" si="11"/>
        <v>426201.439475536</v>
      </c>
      <c r="W28" s="111">
        <f t="shared" ca="1" si="11"/>
        <v>445308.22645370755</v>
      </c>
      <c r="X28" s="111">
        <f t="shared" ca="1" si="11"/>
        <v>445308.22645370755</v>
      </c>
      <c r="Y28" s="111">
        <f t="shared" ca="1" si="11"/>
        <v>445308.22645370755</v>
      </c>
      <c r="Z28" s="111">
        <f t="shared" ca="1" si="11"/>
        <v>445308.22645370755</v>
      </c>
      <c r="AA28" s="111">
        <f t="shared" ca="1" si="11"/>
        <v>445308.22645370755</v>
      </c>
      <c r="AB28" s="111">
        <f t="shared" ca="1" si="11"/>
        <v>445308.22645370755</v>
      </c>
      <c r="AC28" s="111">
        <f t="shared" ca="1" si="11"/>
        <v>445308.22645370755</v>
      </c>
      <c r="AD28" s="111">
        <f t="shared" ca="1" si="11"/>
        <v>445308.22645370755</v>
      </c>
      <c r="AE28" s="111">
        <f t="shared" ca="1" si="11"/>
        <v>445308.22645370755</v>
      </c>
      <c r="AF28" s="111">
        <f t="shared" ca="1" si="11"/>
        <v>567073.28719323466</v>
      </c>
      <c r="AG28" s="111">
        <f t="shared" ca="1" si="11"/>
        <v>688838.34793276154</v>
      </c>
      <c r="AH28" s="111">
        <f t="shared" ca="1" si="11"/>
        <v>688838.34793276154</v>
      </c>
      <c r="AI28" s="111">
        <f t="shared" ca="1" si="11"/>
        <v>688838.34793276154</v>
      </c>
      <c r="AJ28" s="111">
        <f t="shared" ca="1" si="11"/>
        <v>688838.34793276154</v>
      </c>
      <c r="AK28" s="111">
        <f t="shared" ca="1" si="11"/>
        <v>688838.34793276154</v>
      </c>
      <c r="AL28" s="111">
        <f t="shared" ca="1" si="11"/>
        <v>688838.34793276154</v>
      </c>
      <c r="AM28" s="111">
        <f t="shared" ca="1" si="11"/>
        <v>688838.34793276154</v>
      </c>
      <c r="AN28" s="111">
        <f t="shared" ca="1" si="11"/>
        <v>688838.34793276154</v>
      </c>
    </row>
    <row r="29" spans="2:40">
      <c r="C29" s="110" t="s">
        <v>276</v>
      </c>
      <c r="D29" s="182">
        <f ca="1">IFERROR(D28/D13,"0%")</f>
        <v>0.14126427676361447</v>
      </c>
      <c r="E29" s="182" t="str">
        <f t="shared" ref="E29:AN29" ca="1" si="12">IFERROR(E28/E13,"0%")</f>
        <v>0%</v>
      </c>
      <c r="F29" s="182" t="str">
        <f t="shared" ca="1" si="12"/>
        <v>0%</v>
      </c>
      <c r="G29" s="382" t="str">
        <f t="shared" ca="1" si="12"/>
        <v>0%</v>
      </c>
      <c r="H29" s="182">
        <f t="shared" ca="1" si="12"/>
        <v>4.3890855516194462E-2</v>
      </c>
      <c r="I29" s="182">
        <f t="shared" ca="1" si="12"/>
        <v>4.3890855516194462E-2</v>
      </c>
      <c r="J29" s="182">
        <f t="shared" ca="1" si="12"/>
        <v>8.9440410387155916E-2</v>
      </c>
      <c r="K29" s="182">
        <f t="shared" ca="1" si="12"/>
        <v>4.012514980545891E-3</v>
      </c>
      <c r="L29" s="182">
        <f t="shared" ca="1" si="12"/>
        <v>1.1131506264430067E-2</v>
      </c>
      <c r="M29" s="182">
        <f t="shared" ca="1" si="12"/>
        <v>1.8250497548314225E-2</v>
      </c>
      <c r="N29" s="182">
        <f t="shared" ca="1" si="12"/>
        <v>2.53694888321984E-2</v>
      </c>
      <c r="O29" s="182">
        <f t="shared" ca="1" si="12"/>
        <v>3.2488480116082581E-2</v>
      </c>
      <c r="P29" s="182">
        <f t="shared" ca="1" si="12"/>
        <v>3.9607471399966732E-2</v>
      </c>
      <c r="Q29" s="182">
        <f t="shared" ca="1" si="12"/>
        <v>7.336986031710914E-2</v>
      </c>
      <c r="R29" s="182">
        <f t="shared" ca="1" si="12"/>
        <v>0.10601703791914267</v>
      </c>
      <c r="S29" s="182">
        <f t="shared" ca="1" si="12"/>
        <v>0.11312671297210708</v>
      </c>
      <c r="T29" s="182">
        <f t="shared" ca="1" si="12"/>
        <v>0.14096884822630323</v>
      </c>
      <c r="U29" s="182">
        <f t="shared" ca="1" si="12"/>
        <v>0.14791097707359047</v>
      </c>
      <c r="V29" s="182">
        <f t="shared" ca="1" si="12"/>
        <v>0.15485310592087767</v>
      </c>
      <c r="W29" s="182">
        <f t="shared" ca="1" si="12"/>
        <v>0.16179523476816485</v>
      </c>
      <c r="X29" s="182">
        <f t="shared" ca="1" si="12"/>
        <v>0.16179523476816485</v>
      </c>
      <c r="Y29" s="182">
        <f t="shared" ca="1" si="12"/>
        <v>0.16179523476816485</v>
      </c>
      <c r="Z29" s="182">
        <f t="shared" ca="1" si="12"/>
        <v>0.16179523476816485</v>
      </c>
      <c r="AA29" s="182">
        <f t="shared" ca="1" si="12"/>
        <v>0.16179523476816485</v>
      </c>
      <c r="AB29" s="182">
        <f t="shared" ca="1" si="12"/>
        <v>0.16179523476816485</v>
      </c>
      <c r="AC29" s="182">
        <f t="shared" ca="1" si="12"/>
        <v>0.16179523476816485</v>
      </c>
      <c r="AD29" s="182">
        <f t="shared" ca="1" si="12"/>
        <v>0.16179523476816485</v>
      </c>
      <c r="AE29" s="182">
        <f t="shared" ca="1" si="12"/>
        <v>0.16179523476816485</v>
      </c>
      <c r="AF29" s="182">
        <f t="shared" ca="1" si="12"/>
        <v>0.20603651624145847</v>
      </c>
      <c r="AG29" s="182">
        <f t="shared" ca="1" si="12"/>
        <v>0.25027779771475195</v>
      </c>
      <c r="AH29" s="182">
        <f t="shared" ca="1" si="12"/>
        <v>0.25027779771475195</v>
      </c>
      <c r="AI29" s="182">
        <f t="shared" ca="1" si="12"/>
        <v>0.25027779771475195</v>
      </c>
      <c r="AJ29" s="182">
        <f t="shared" ca="1" si="12"/>
        <v>0.25027779771475195</v>
      </c>
      <c r="AK29" s="182">
        <f t="shared" ca="1" si="12"/>
        <v>0.25027779771475195</v>
      </c>
      <c r="AL29" s="182">
        <f t="shared" ca="1" si="12"/>
        <v>0.25027779771475195</v>
      </c>
      <c r="AM29" s="182">
        <f t="shared" ca="1" si="12"/>
        <v>0.25027779771475195</v>
      </c>
      <c r="AN29" s="182">
        <f t="shared" ca="1" si="12"/>
        <v>0.25027779771475195</v>
      </c>
    </row>
    <row r="31" spans="2:40" ht="18.75">
      <c r="B31" s="72"/>
      <c r="C31" s="184" t="s">
        <v>277</v>
      </c>
    </row>
    <row r="32" spans="2:40" ht="18.75">
      <c r="B32" s="72"/>
      <c r="C32" s="107" t="s">
        <v>278</v>
      </c>
      <c r="D32" s="185"/>
      <c r="E32" s="185"/>
      <c r="F32" s="185">
        <f t="shared" ref="F32:AN32" ca="1" si="13">SUM(F33:F36)</f>
        <v>3730813.4700000007</v>
      </c>
      <c r="G32" s="185">
        <f t="shared" ca="1" si="13"/>
        <v>7271193.184109292</v>
      </c>
      <c r="H32" s="185">
        <f t="shared" ca="1" si="13"/>
        <v>7100472.8937656851</v>
      </c>
      <c r="I32" s="185">
        <f t="shared" ca="1" si="13"/>
        <v>6719605.3819842655</v>
      </c>
      <c r="J32" s="185">
        <f t="shared" ca="1" si="13"/>
        <v>6352250.4602028457</v>
      </c>
      <c r="K32" s="185">
        <f t="shared" ca="1" si="13"/>
        <v>5971382.9484214261</v>
      </c>
      <c r="L32" s="185">
        <f t="shared" ca="1" si="13"/>
        <v>5590515.4366400065</v>
      </c>
      <c r="M32" s="185">
        <f t="shared" ca="1" si="13"/>
        <v>5209647.9248585869</v>
      </c>
      <c r="N32" s="185">
        <f t="shared" ca="1" si="13"/>
        <v>4828780.4130771672</v>
      </c>
      <c r="O32" s="185">
        <f t="shared" ca="1" si="13"/>
        <v>4447912.9012957476</v>
      </c>
      <c r="P32" s="185">
        <f t="shared" ca="1" si="13"/>
        <v>4067045.3895143284</v>
      </c>
      <c r="Q32" s="185">
        <f t="shared" ca="1" si="13"/>
        <v>3755139.6476639239</v>
      </c>
      <c r="R32" s="185">
        <f t="shared" ca="1" si="13"/>
        <v>3511609.5261848699</v>
      </c>
      <c r="S32" s="185">
        <f t="shared" ca="1" si="13"/>
        <v>3268079.4047058159</v>
      </c>
      <c r="T32" s="185">
        <f t="shared" ca="1" si="13"/>
        <v>3029954.3192267623</v>
      </c>
      <c r="U32" s="185">
        <f t="shared" ca="1" si="13"/>
        <v>2786424.1977477083</v>
      </c>
      <c r="V32" s="185">
        <f t="shared" ca="1" si="13"/>
        <v>2542894.0762686543</v>
      </c>
      <c r="W32" s="185">
        <f t="shared" ca="1" si="13"/>
        <v>2299363.9547896003</v>
      </c>
      <c r="X32" s="185">
        <f t="shared" ca="1" si="13"/>
        <v>2055833.8333105466</v>
      </c>
      <c r="Y32" s="185">
        <f t="shared" ca="1" si="13"/>
        <v>1812303.7118314928</v>
      </c>
      <c r="Z32" s="185">
        <f t="shared" ca="1" si="13"/>
        <v>1568773.5903524391</v>
      </c>
      <c r="AA32" s="185">
        <f t="shared" ca="1" si="13"/>
        <v>1325243.4688733853</v>
      </c>
      <c r="AB32" s="185">
        <f t="shared" ca="1" si="13"/>
        <v>1081713.3473943316</v>
      </c>
      <c r="AC32" s="185">
        <f t="shared" ca="1" si="13"/>
        <v>838183.22591527761</v>
      </c>
      <c r="AD32" s="185">
        <f t="shared" ca="1" si="13"/>
        <v>594653.10443622374</v>
      </c>
      <c r="AE32" s="185">
        <f t="shared" ca="1" si="13"/>
        <v>351122.98295716994</v>
      </c>
      <c r="AF32" s="185">
        <f t="shared" ca="1" si="13"/>
        <v>229357.922217643</v>
      </c>
      <c r="AG32" s="185">
        <f t="shared" ca="1" si="13"/>
        <v>229357.922217643</v>
      </c>
      <c r="AH32" s="185">
        <f t="shared" ca="1" si="13"/>
        <v>229357.922217643</v>
      </c>
      <c r="AI32" s="185">
        <f t="shared" ca="1" si="13"/>
        <v>229357.922217643</v>
      </c>
      <c r="AJ32" s="185">
        <f t="shared" ca="1" si="13"/>
        <v>229357.922217643</v>
      </c>
      <c r="AK32" s="185">
        <f t="shared" ca="1" si="13"/>
        <v>229357.922217643</v>
      </c>
      <c r="AL32" s="185">
        <f t="shared" ca="1" si="13"/>
        <v>229357.922217643</v>
      </c>
      <c r="AM32" s="185">
        <f t="shared" ca="1" si="13"/>
        <v>229357.922217643</v>
      </c>
      <c r="AN32" s="185">
        <f t="shared" ca="1" si="13"/>
        <v>229357.922217643</v>
      </c>
    </row>
    <row r="33" spans="2:40">
      <c r="B33" s="72"/>
      <c r="C33" s="186" t="s">
        <v>279</v>
      </c>
      <c r="D33" s="105"/>
      <c r="E33" s="105"/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</row>
    <row r="34" spans="2:40">
      <c r="B34" s="72"/>
      <c r="C34" s="186" t="s">
        <v>280</v>
      </c>
      <c r="D34" s="105"/>
      <c r="E34" s="105"/>
      <c r="F34" s="105">
        <f>F13*'Premissas Gerais'!M165/30/12</f>
        <v>0</v>
      </c>
      <c r="G34" s="105">
        <f>G13*'Premissas Gerais'!N165/30/12</f>
        <v>0</v>
      </c>
      <c r="H34" s="105">
        <f>H13*'Premissas Gerais'!O165/30/12</f>
        <v>210147.22143781275</v>
      </c>
      <c r="I34" s="105">
        <f>I13*'Premissas Gerais'!P165/30/12</f>
        <v>210147.22143781275</v>
      </c>
      <c r="J34" s="105">
        <f>J13*'Premissas Gerais'!Q165/30/12</f>
        <v>223659.81143781278</v>
      </c>
      <c r="K34" s="105">
        <f>K13*'Premissas Gerais'!R165/30/12</f>
        <v>223659.81143781278</v>
      </c>
      <c r="L34" s="105">
        <f>L13*'Premissas Gerais'!S165/30/12</f>
        <v>223659.81143781278</v>
      </c>
      <c r="M34" s="105">
        <f>M13*'Premissas Gerais'!T165/30/12</f>
        <v>223659.81143781278</v>
      </c>
      <c r="N34" s="105">
        <f>N13*'Premissas Gerais'!U165/30/12</f>
        <v>223659.81143781278</v>
      </c>
      <c r="O34" s="105">
        <f>O13*'Premissas Gerais'!V165/30/12</f>
        <v>223659.81143781278</v>
      </c>
      <c r="P34" s="105">
        <f>P13*'Premissas Gerais'!W165/30/12</f>
        <v>223659.81143781278</v>
      </c>
      <c r="Q34" s="105">
        <f>Q13*'Premissas Gerais'!X165/30/12</f>
        <v>223952.88621764455</v>
      </c>
      <c r="R34" s="105">
        <f>R13*'Premissas Gerais'!Y165/30/12</f>
        <v>223952.88621764455</v>
      </c>
      <c r="S34" s="105">
        <f>S13*'Premissas Gerais'!Z165/30/12</f>
        <v>223952.88621764455</v>
      </c>
      <c r="T34" s="105">
        <f>T13*'Premissas Gerais'!AA165/30/12</f>
        <v>229357.92221764455</v>
      </c>
      <c r="U34" s="105">
        <f>U13*'Premissas Gerais'!AB165/30/12</f>
        <v>229357.92221764455</v>
      </c>
      <c r="V34" s="105">
        <f>V13*'Premissas Gerais'!AC165/30/12</f>
        <v>229357.92221764455</v>
      </c>
      <c r="W34" s="105">
        <f>W13*'Premissas Gerais'!AD165/30/12</f>
        <v>229357.92221764455</v>
      </c>
      <c r="X34" s="105">
        <f>X13*'Premissas Gerais'!AE165/30/12</f>
        <v>229357.92221764455</v>
      </c>
      <c r="Y34" s="105">
        <f>Y13*'Premissas Gerais'!AF165/30/12</f>
        <v>229357.92221764455</v>
      </c>
      <c r="Z34" s="105">
        <f>Z13*'Premissas Gerais'!AG165/30/12</f>
        <v>229357.92221764455</v>
      </c>
      <c r="AA34" s="105">
        <f>AA13*'Premissas Gerais'!AH165/30/12</f>
        <v>229357.92221764455</v>
      </c>
      <c r="AB34" s="105">
        <f>AB13*'Premissas Gerais'!AI165/30/12</f>
        <v>229357.92221764455</v>
      </c>
      <c r="AC34" s="105">
        <f>AC13*'Premissas Gerais'!AJ165/30/12</f>
        <v>229357.92221764455</v>
      </c>
      <c r="AD34" s="105">
        <f>AD13*'Premissas Gerais'!AK165/30/12</f>
        <v>229357.92221764455</v>
      </c>
      <c r="AE34" s="105">
        <f>AE13*'Premissas Gerais'!AL165/30/12</f>
        <v>229357.92221764455</v>
      </c>
      <c r="AF34" s="105">
        <f>AF13*'Premissas Gerais'!AM165/30/12</f>
        <v>229357.92221764455</v>
      </c>
      <c r="AG34" s="105">
        <f>AG13*'Premissas Gerais'!AN165/30/12</f>
        <v>229357.92221764455</v>
      </c>
      <c r="AH34" s="105">
        <f>AH13*'Premissas Gerais'!AO165/30/12</f>
        <v>229357.92221764455</v>
      </c>
      <c r="AI34" s="105">
        <f>AI13*'Premissas Gerais'!AP165/30/12</f>
        <v>229357.92221764455</v>
      </c>
      <c r="AJ34" s="105">
        <f>AJ13*'Premissas Gerais'!AQ165/30/12</f>
        <v>229357.92221764455</v>
      </c>
      <c r="AK34" s="105">
        <f>AK13*'Premissas Gerais'!AR165/30/12</f>
        <v>229357.92221764455</v>
      </c>
      <c r="AL34" s="105">
        <f>AL13*'Premissas Gerais'!AS165/30/12</f>
        <v>229357.92221764455</v>
      </c>
      <c r="AM34" s="105">
        <f>AM13*'Premissas Gerais'!AT165/30/12</f>
        <v>229357.92221764455</v>
      </c>
      <c r="AN34" s="105">
        <f>AN13*'Premissas Gerais'!AU165/30/12</f>
        <v>229357.92221764455</v>
      </c>
    </row>
    <row r="35" spans="2:40">
      <c r="B35" s="72"/>
      <c r="C35" s="186" t="s">
        <v>281</v>
      </c>
      <c r="D35" s="105"/>
      <c r="E35" s="105"/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</row>
    <row r="36" spans="2:40">
      <c r="B36" s="72"/>
      <c r="C36" s="186" t="s">
        <v>282</v>
      </c>
      <c r="D36" s="105"/>
      <c r="E36" s="105"/>
      <c r="F36" s="105">
        <f t="shared" ref="F36:AN36" ca="1" si="14">F51</f>
        <v>3730813.4700000007</v>
      </c>
      <c r="G36" s="105">
        <f t="shared" ca="1" si="14"/>
        <v>7271193.184109292</v>
      </c>
      <c r="H36" s="105">
        <f t="shared" ca="1" si="14"/>
        <v>6890325.6723278724</v>
      </c>
      <c r="I36" s="105">
        <f t="shared" ca="1" si="14"/>
        <v>6509458.1605464527</v>
      </c>
      <c r="J36" s="105">
        <f t="shared" ca="1" si="14"/>
        <v>6128590.6487650331</v>
      </c>
      <c r="K36" s="105">
        <f t="shared" ca="1" si="14"/>
        <v>5747723.1369836135</v>
      </c>
      <c r="L36" s="105">
        <f t="shared" ca="1" si="14"/>
        <v>5366855.6252021939</v>
      </c>
      <c r="M36" s="105">
        <f t="shared" ca="1" si="14"/>
        <v>4985988.1134207742</v>
      </c>
      <c r="N36" s="105">
        <f t="shared" ca="1" si="14"/>
        <v>4605120.6016393546</v>
      </c>
      <c r="O36" s="105">
        <f t="shared" ca="1" si="14"/>
        <v>4224253.089857935</v>
      </c>
      <c r="P36" s="105">
        <f t="shared" ca="1" si="14"/>
        <v>3843385.5780765158</v>
      </c>
      <c r="Q36" s="105">
        <f t="shared" ca="1" si="14"/>
        <v>3531186.7614462795</v>
      </c>
      <c r="R36" s="105">
        <f t="shared" ca="1" si="14"/>
        <v>3287656.6399672255</v>
      </c>
      <c r="S36" s="105">
        <f t="shared" ca="1" si="14"/>
        <v>3044126.5184881715</v>
      </c>
      <c r="T36" s="105">
        <f t="shared" ca="1" si="14"/>
        <v>2800596.3970091175</v>
      </c>
      <c r="U36" s="105">
        <f t="shared" ca="1" si="14"/>
        <v>2557066.2755300635</v>
      </c>
      <c r="V36" s="105">
        <f t="shared" ca="1" si="14"/>
        <v>2313536.1540510096</v>
      </c>
      <c r="W36" s="105">
        <f t="shared" ca="1" si="14"/>
        <v>2070006.0325719558</v>
      </c>
      <c r="X36" s="105">
        <f t="shared" ca="1" si="14"/>
        <v>1826475.9110929021</v>
      </c>
      <c r="Y36" s="105">
        <f t="shared" ca="1" si="14"/>
        <v>1582945.7896138483</v>
      </c>
      <c r="Z36" s="105">
        <f t="shared" ca="1" si="14"/>
        <v>1339415.6681347946</v>
      </c>
      <c r="AA36" s="105">
        <f t="shared" ca="1" si="14"/>
        <v>1095885.5466557408</v>
      </c>
      <c r="AB36" s="105">
        <f t="shared" ca="1" si="14"/>
        <v>852355.42517668696</v>
      </c>
      <c r="AC36" s="105">
        <f t="shared" ca="1" si="14"/>
        <v>608825.30369763309</v>
      </c>
      <c r="AD36" s="105">
        <f t="shared" ca="1" si="14"/>
        <v>365295.18221857923</v>
      </c>
      <c r="AE36" s="105">
        <f t="shared" ca="1" si="14"/>
        <v>121765.06073952539</v>
      </c>
      <c r="AF36" s="105">
        <f t="shared" ca="1" si="14"/>
        <v>-1.5279510989785194E-9</v>
      </c>
      <c r="AG36" s="105">
        <f t="shared" ca="1" si="14"/>
        <v>-1.5279510989785194E-9</v>
      </c>
      <c r="AH36" s="105">
        <f t="shared" ca="1" si="14"/>
        <v>-1.5279510989785194E-9</v>
      </c>
      <c r="AI36" s="105">
        <f t="shared" ca="1" si="14"/>
        <v>-1.5279510989785194E-9</v>
      </c>
      <c r="AJ36" s="105">
        <f t="shared" ca="1" si="14"/>
        <v>-1.5279510989785194E-9</v>
      </c>
      <c r="AK36" s="105">
        <f t="shared" ca="1" si="14"/>
        <v>-1.5279510989785194E-9</v>
      </c>
      <c r="AL36" s="105">
        <f t="shared" ca="1" si="14"/>
        <v>-1.5279510989785194E-9</v>
      </c>
      <c r="AM36" s="105">
        <f t="shared" ca="1" si="14"/>
        <v>-1.5279510989785194E-9</v>
      </c>
      <c r="AN36" s="105">
        <f t="shared" ca="1" si="14"/>
        <v>-1.5279510989785194E-9</v>
      </c>
    </row>
    <row r="37" spans="2:40">
      <c r="B37" s="72"/>
    </row>
    <row r="38" spans="2:40" ht="18.75">
      <c r="B38" s="72"/>
      <c r="C38" s="107" t="s">
        <v>283</v>
      </c>
      <c r="D38" s="185"/>
      <c r="E38" s="185"/>
      <c r="F38" s="185">
        <f t="shared" ref="F38:AN38" ca="1" si="15">SUM(F39:F41)</f>
        <v>3730813.4700000007</v>
      </c>
      <c r="G38" s="185">
        <f t="shared" ca="1" si="15"/>
        <v>7271193.184109292</v>
      </c>
      <c r="H38" s="185">
        <f t="shared" ca="1" si="15"/>
        <v>7100472.8937656851</v>
      </c>
      <c r="I38" s="185">
        <f t="shared" ca="1" si="15"/>
        <v>6719605.3819842655</v>
      </c>
      <c r="J38" s="185">
        <f t="shared" ca="1" si="15"/>
        <v>6352250.4602028457</v>
      </c>
      <c r="K38" s="185">
        <f t="shared" ca="1" si="15"/>
        <v>5971382.9484214261</v>
      </c>
      <c r="L38" s="185">
        <f t="shared" ca="1" si="15"/>
        <v>5590515.4366400065</v>
      </c>
      <c r="M38" s="185">
        <f t="shared" ca="1" si="15"/>
        <v>5209647.9248585869</v>
      </c>
      <c r="N38" s="185">
        <f t="shared" ca="1" si="15"/>
        <v>4828780.4130771672</v>
      </c>
      <c r="O38" s="185">
        <f t="shared" ca="1" si="15"/>
        <v>4447912.9012957476</v>
      </c>
      <c r="P38" s="185">
        <f t="shared" ca="1" si="15"/>
        <v>4067045.3895143284</v>
      </c>
      <c r="Q38" s="185">
        <f t="shared" ca="1" si="15"/>
        <v>3755139.6476639239</v>
      </c>
      <c r="R38" s="185">
        <f t="shared" ca="1" si="15"/>
        <v>3511609.5261848699</v>
      </c>
      <c r="S38" s="185">
        <f t="shared" ca="1" si="15"/>
        <v>3268079.4047058159</v>
      </c>
      <c r="T38" s="185">
        <f t="shared" ca="1" si="15"/>
        <v>3029954.3192267623</v>
      </c>
      <c r="U38" s="185">
        <f t="shared" ca="1" si="15"/>
        <v>2786424.1977477083</v>
      </c>
      <c r="V38" s="185">
        <f t="shared" ca="1" si="15"/>
        <v>2542894.0762686543</v>
      </c>
      <c r="W38" s="185">
        <f t="shared" ca="1" si="15"/>
        <v>2299363.9547896003</v>
      </c>
      <c r="X38" s="185">
        <f t="shared" ca="1" si="15"/>
        <v>2055833.8333105466</v>
      </c>
      <c r="Y38" s="185">
        <f t="shared" ca="1" si="15"/>
        <v>1812303.7118314928</v>
      </c>
      <c r="Z38" s="185">
        <f t="shared" ca="1" si="15"/>
        <v>1568773.5903524391</v>
      </c>
      <c r="AA38" s="185">
        <f t="shared" ca="1" si="15"/>
        <v>1325243.4688733853</v>
      </c>
      <c r="AB38" s="185">
        <f t="shared" ca="1" si="15"/>
        <v>1081713.3473943316</v>
      </c>
      <c r="AC38" s="185">
        <f t="shared" ca="1" si="15"/>
        <v>838183.22591527761</v>
      </c>
      <c r="AD38" s="185">
        <f t="shared" ca="1" si="15"/>
        <v>594653.10443622374</v>
      </c>
      <c r="AE38" s="185">
        <f t="shared" ca="1" si="15"/>
        <v>351122.98295716994</v>
      </c>
      <c r="AF38" s="185">
        <f t="shared" ca="1" si="15"/>
        <v>229357.922217643</v>
      </c>
      <c r="AG38" s="185">
        <f t="shared" ca="1" si="15"/>
        <v>229357.922217643</v>
      </c>
      <c r="AH38" s="185">
        <f t="shared" ca="1" si="15"/>
        <v>229357.922217643</v>
      </c>
      <c r="AI38" s="185">
        <f t="shared" ca="1" si="15"/>
        <v>229357.922217643</v>
      </c>
      <c r="AJ38" s="185">
        <f t="shared" ca="1" si="15"/>
        <v>229357.922217643</v>
      </c>
      <c r="AK38" s="185">
        <f t="shared" ca="1" si="15"/>
        <v>229357.922217643</v>
      </c>
      <c r="AL38" s="185">
        <f t="shared" ca="1" si="15"/>
        <v>229357.922217643</v>
      </c>
      <c r="AM38" s="185">
        <f t="shared" ca="1" si="15"/>
        <v>229357.922217643</v>
      </c>
      <c r="AN38" s="185">
        <f t="shared" ca="1" si="15"/>
        <v>229357.922217643</v>
      </c>
    </row>
    <row r="39" spans="2:40">
      <c r="B39" s="72"/>
      <c r="C39" s="186" t="s">
        <v>284</v>
      </c>
      <c r="D39" s="105"/>
      <c r="E39" s="105"/>
      <c r="F39" s="105">
        <f>-F14*'Premissas Gerais'!M167/30/12</f>
        <v>1178.1365022000002</v>
      </c>
      <c r="G39" s="105">
        <f>-G14*'Premissas Gerais'!N167/30/12</f>
        <v>1319.0671988000004</v>
      </c>
      <c r="H39" s="105">
        <f ca="1">-H14*'Premissas Gerais'!O167/30/12</f>
        <v>94218.365533820353</v>
      </c>
      <c r="I39" s="105">
        <f ca="1">-I14*'Premissas Gerais'!P167/30/12</f>
        <v>94218.365533820353</v>
      </c>
      <c r="J39" s="105">
        <f ca="1">-J14*'Premissas Gerais'!Q167/30/12</f>
        <v>96039.636207916948</v>
      </c>
      <c r="K39" s="105">
        <f ca="1">-K14*'Premissas Gerais'!R167/30/12</f>
        <v>96039.636207916948</v>
      </c>
      <c r="L39" s="105">
        <f ca="1">-L14*'Premissas Gerais'!S167/30/12</f>
        <v>96039.636207916948</v>
      </c>
      <c r="M39" s="105">
        <f ca="1">-M14*'Premissas Gerais'!T167/30/12</f>
        <v>96039.636207916948</v>
      </c>
      <c r="N39" s="105">
        <f ca="1">-N14*'Premissas Gerais'!U167/30/12</f>
        <v>96039.636207916948</v>
      </c>
      <c r="O39" s="105">
        <f ca="1">-O14*'Premissas Gerais'!V167/30/12</f>
        <v>96039.636207916948</v>
      </c>
      <c r="P39" s="105">
        <f ca="1">-P14*'Premissas Gerais'!W167/30/12</f>
        <v>96039.636207916948</v>
      </c>
      <c r="Q39" s="105">
        <f ca="1">-Q14*'Premissas Gerais'!X167/30/12</f>
        <v>96039.636207916948</v>
      </c>
      <c r="R39" s="105">
        <f ca="1">-R14*'Premissas Gerais'!Y167/30/12</f>
        <v>96041.765447879661</v>
      </c>
      <c r="S39" s="105">
        <f ca="1">-S14*'Premissas Gerais'!Z167/30/12</f>
        <v>96041.765447879661</v>
      </c>
      <c r="T39" s="105">
        <f ca="1">-T14*'Premissas Gerais'!AA167/30/12</f>
        <v>96041.765447879661</v>
      </c>
      <c r="U39" s="105">
        <f ca="1">-U14*'Premissas Gerais'!AB167/30/12</f>
        <v>96041.765447879661</v>
      </c>
      <c r="V39" s="105">
        <f ca="1">-V14*'Premissas Gerais'!AC167/30/12</f>
        <v>96041.765447879661</v>
      </c>
      <c r="W39" s="105">
        <f ca="1">-W14*'Premissas Gerais'!AD167/30/12</f>
        <v>96041.765447879661</v>
      </c>
      <c r="X39" s="105">
        <f ca="1">-X14*'Premissas Gerais'!AE167/30/12</f>
        <v>96041.765447879661</v>
      </c>
      <c r="Y39" s="105">
        <f ca="1">-Y14*'Premissas Gerais'!AF167/30/12</f>
        <v>96041.765447879661</v>
      </c>
      <c r="Z39" s="105">
        <f ca="1">-Z14*'Premissas Gerais'!AG167/30/12</f>
        <v>96041.765447879661</v>
      </c>
      <c r="AA39" s="105">
        <f ca="1">-AA14*'Premissas Gerais'!AH167/30/12</f>
        <v>96041.765447879661</v>
      </c>
      <c r="AB39" s="105">
        <f ca="1">-AB14*'Premissas Gerais'!AI167/30/12</f>
        <v>96041.765447879661</v>
      </c>
      <c r="AC39" s="105">
        <f ca="1">-AC14*'Premissas Gerais'!AJ167/30/12</f>
        <v>96041.765447879661</v>
      </c>
      <c r="AD39" s="105">
        <f ca="1">-AD14*'Premissas Gerais'!AK167/30/12</f>
        <v>96041.765447879661</v>
      </c>
      <c r="AE39" s="105">
        <f ca="1">-AE14*'Premissas Gerais'!AL167/30/12</f>
        <v>96041.765447879661</v>
      </c>
      <c r="AF39" s="105">
        <f ca="1">-AF14*'Premissas Gerais'!AM167/30/12</f>
        <v>96041.765447879661</v>
      </c>
      <c r="AG39" s="105">
        <f ca="1">-AG14*'Premissas Gerais'!AN167/30/12</f>
        <v>96041.765447879661</v>
      </c>
      <c r="AH39" s="105">
        <f ca="1">-AH14*'Premissas Gerais'!AO167/30/12</f>
        <v>96041.765447879661</v>
      </c>
      <c r="AI39" s="105">
        <f ca="1">-AI14*'Premissas Gerais'!AP167/30/12</f>
        <v>96041.765447879661</v>
      </c>
      <c r="AJ39" s="105">
        <f ca="1">-AJ14*'Premissas Gerais'!AQ167/30/12</f>
        <v>96041.765447879661</v>
      </c>
      <c r="AK39" s="105">
        <f ca="1">-AK14*'Premissas Gerais'!AR167/30/12</f>
        <v>96041.765447879661</v>
      </c>
      <c r="AL39" s="105">
        <f ca="1">-AL14*'Premissas Gerais'!AS167/30/12</f>
        <v>96041.765447879661</v>
      </c>
      <c r="AM39" s="105">
        <f ca="1">-AM14*'Premissas Gerais'!AT167/30/12</f>
        <v>96041.765447879661</v>
      </c>
      <c r="AN39" s="105">
        <f ca="1">-AN14*'Premissas Gerais'!AU167/30/12</f>
        <v>96041.765447879661</v>
      </c>
    </row>
    <row r="40" spans="2:40">
      <c r="B40" s="72"/>
      <c r="C40" s="186" t="s">
        <v>285</v>
      </c>
      <c r="D40" s="105"/>
      <c r="E40" s="105"/>
      <c r="F40" s="105">
        <v>0</v>
      </c>
      <c r="G40" s="105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</row>
    <row r="41" spans="2:40">
      <c r="B41" s="72"/>
      <c r="C41" s="186" t="s">
        <v>286</v>
      </c>
      <c r="D41" s="105"/>
      <c r="E41" s="105"/>
      <c r="F41" s="105">
        <f t="shared" ref="F41:AN41" ca="1" si="16">F32-SUM(F39:F40)</f>
        <v>3729635.3334978009</v>
      </c>
      <c r="G41" s="105">
        <f t="shared" ca="1" si="16"/>
        <v>7269874.1169104921</v>
      </c>
      <c r="H41" s="105">
        <f t="shared" ca="1" si="16"/>
        <v>7006254.5282318648</v>
      </c>
      <c r="I41" s="105">
        <f t="shared" ca="1" si="16"/>
        <v>6625387.0164504452</v>
      </c>
      <c r="J41" s="105">
        <f t="shared" ca="1" si="16"/>
        <v>6256210.823994929</v>
      </c>
      <c r="K41" s="105">
        <f t="shared" ca="1" si="16"/>
        <v>5875343.3122135093</v>
      </c>
      <c r="L41" s="105">
        <f t="shared" ca="1" si="16"/>
        <v>5494475.8004320897</v>
      </c>
      <c r="M41" s="105">
        <f t="shared" ca="1" si="16"/>
        <v>5113608.2886506701</v>
      </c>
      <c r="N41" s="105">
        <f t="shared" ca="1" si="16"/>
        <v>4732740.7768692505</v>
      </c>
      <c r="O41" s="105">
        <f t="shared" ca="1" si="16"/>
        <v>4351873.2650878308</v>
      </c>
      <c r="P41" s="105">
        <f t="shared" ca="1" si="16"/>
        <v>3971005.7533064117</v>
      </c>
      <c r="Q41" s="105">
        <f t="shared" ca="1" si="16"/>
        <v>3659100.0114560071</v>
      </c>
      <c r="R41" s="105">
        <f t="shared" ca="1" si="16"/>
        <v>3415567.7607369903</v>
      </c>
      <c r="S41" s="105">
        <f t="shared" ca="1" si="16"/>
        <v>3172037.6392579363</v>
      </c>
      <c r="T41" s="105">
        <f t="shared" ca="1" si="16"/>
        <v>2933912.5537788826</v>
      </c>
      <c r="U41" s="105">
        <f t="shared" ca="1" si="16"/>
        <v>2690382.4322998286</v>
      </c>
      <c r="V41" s="105">
        <f t="shared" ca="1" si="16"/>
        <v>2446852.3108207746</v>
      </c>
      <c r="W41" s="105">
        <f t="shared" ca="1" si="16"/>
        <v>2203322.1893417207</v>
      </c>
      <c r="X41" s="105">
        <f t="shared" ca="1" si="16"/>
        <v>1959792.0678626669</v>
      </c>
      <c r="Y41" s="105">
        <f t="shared" ca="1" si="16"/>
        <v>1716261.9463836132</v>
      </c>
      <c r="Z41" s="105">
        <f t="shared" ca="1" si="16"/>
        <v>1472731.8249045594</v>
      </c>
      <c r="AA41" s="105">
        <f t="shared" ca="1" si="16"/>
        <v>1229201.7034255057</v>
      </c>
      <c r="AB41" s="105">
        <f t="shared" ca="1" si="16"/>
        <v>985671.58194645192</v>
      </c>
      <c r="AC41" s="105">
        <f t="shared" ca="1" si="16"/>
        <v>742141.46046739793</v>
      </c>
      <c r="AD41" s="105">
        <f t="shared" ca="1" si="16"/>
        <v>498611.33898834407</v>
      </c>
      <c r="AE41" s="105">
        <f t="shared" ca="1" si="16"/>
        <v>255081.21750929026</v>
      </c>
      <c r="AF41" s="105">
        <f t="shared" ca="1" si="16"/>
        <v>133316.15676976333</v>
      </c>
      <c r="AG41" s="105">
        <f t="shared" ca="1" si="16"/>
        <v>133316.15676976333</v>
      </c>
      <c r="AH41" s="105">
        <f t="shared" ca="1" si="16"/>
        <v>133316.15676976333</v>
      </c>
      <c r="AI41" s="105">
        <f t="shared" ca="1" si="16"/>
        <v>133316.15676976333</v>
      </c>
      <c r="AJ41" s="105">
        <f t="shared" ca="1" si="16"/>
        <v>133316.15676976333</v>
      </c>
      <c r="AK41" s="105">
        <f t="shared" ca="1" si="16"/>
        <v>133316.15676976333</v>
      </c>
      <c r="AL41" s="105">
        <f t="shared" ca="1" si="16"/>
        <v>133316.15676976333</v>
      </c>
      <c r="AM41" s="105">
        <f t="shared" ca="1" si="16"/>
        <v>133316.15676976333</v>
      </c>
      <c r="AN41" s="105">
        <f t="shared" ca="1" si="16"/>
        <v>133316.15676976333</v>
      </c>
    </row>
    <row r="42" spans="2:40">
      <c r="B42" s="72"/>
      <c r="C42" s="187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</row>
    <row r="43" spans="2:40">
      <c r="B43" s="72"/>
      <c r="C43" s="188" t="s">
        <v>287</v>
      </c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</row>
    <row r="44" spans="2:40">
      <c r="B44" s="72"/>
      <c r="C44" s="189" t="s">
        <v>288</v>
      </c>
      <c r="D44" s="189"/>
      <c r="E44" s="189"/>
      <c r="F44" s="190">
        <v>0</v>
      </c>
      <c r="G44" s="190">
        <f t="shared" ref="G44:AN44" ca="1" si="17">F51</f>
        <v>3730813.4700000007</v>
      </c>
      <c r="H44" s="190">
        <f t="shared" ca="1" si="17"/>
        <v>7271193.184109292</v>
      </c>
      <c r="I44" s="190">
        <f t="shared" ca="1" si="17"/>
        <v>6890325.6723278724</v>
      </c>
      <c r="J44" s="190">
        <f t="shared" ca="1" si="17"/>
        <v>6509458.1605464527</v>
      </c>
      <c r="K44" s="190">
        <f t="shared" ca="1" si="17"/>
        <v>6128590.6487650331</v>
      </c>
      <c r="L44" s="190">
        <f t="shared" ca="1" si="17"/>
        <v>5747723.1369836135</v>
      </c>
      <c r="M44" s="190">
        <f t="shared" ca="1" si="17"/>
        <v>5366855.6252021939</v>
      </c>
      <c r="N44" s="190">
        <f t="shared" ca="1" si="17"/>
        <v>4985988.1134207742</v>
      </c>
      <c r="O44" s="190">
        <f t="shared" ca="1" si="17"/>
        <v>4605120.6016393546</v>
      </c>
      <c r="P44" s="190">
        <f t="shared" ca="1" si="17"/>
        <v>4224253.089857935</v>
      </c>
      <c r="Q44" s="190">
        <f t="shared" ca="1" si="17"/>
        <v>3843385.5780765158</v>
      </c>
      <c r="R44" s="190">
        <f t="shared" ca="1" si="17"/>
        <v>3531186.7614462795</v>
      </c>
      <c r="S44" s="190">
        <f t="shared" ca="1" si="17"/>
        <v>3287656.6399672255</v>
      </c>
      <c r="T44" s="190">
        <f t="shared" ca="1" si="17"/>
        <v>3044126.5184881715</v>
      </c>
      <c r="U44" s="190">
        <f t="shared" ca="1" si="17"/>
        <v>2800596.3970091175</v>
      </c>
      <c r="V44" s="190">
        <f t="shared" ca="1" si="17"/>
        <v>2557066.2755300635</v>
      </c>
      <c r="W44" s="190">
        <f t="shared" ca="1" si="17"/>
        <v>2313536.1540510096</v>
      </c>
      <c r="X44" s="190">
        <f t="shared" ca="1" si="17"/>
        <v>2070006.0325719558</v>
      </c>
      <c r="Y44" s="190">
        <f t="shared" ca="1" si="17"/>
        <v>1826475.9110929021</v>
      </c>
      <c r="Z44" s="190">
        <f t="shared" ca="1" si="17"/>
        <v>1582945.7896138483</v>
      </c>
      <c r="AA44" s="190">
        <f t="shared" ca="1" si="17"/>
        <v>1339415.6681347946</v>
      </c>
      <c r="AB44" s="190">
        <f t="shared" ca="1" si="17"/>
        <v>1095885.5466557408</v>
      </c>
      <c r="AC44" s="190">
        <f t="shared" ca="1" si="17"/>
        <v>852355.42517668696</v>
      </c>
      <c r="AD44" s="190">
        <f t="shared" ca="1" si="17"/>
        <v>608825.30369763309</v>
      </c>
      <c r="AE44" s="190">
        <f t="shared" ca="1" si="17"/>
        <v>365295.18221857923</v>
      </c>
      <c r="AF44" s="190">
        <f t="shared" ca="1" si="17"/>
        <v>121765.06073952539</v>
      </c>
      <c r="AG44" s="190">
        <f t="shared" ca="1" si="17"/>
        <v>-1.5279510989785194E-9</v>
      </c>
      <c r="AH44" s="190">
        <f t="shared" ca="1" si="17"/>
        <v>-1.5279510989785194E-9</v>
      </c>
      <c r="AI44" s="190">
        <f t="shared" ca="1" si="17"/>
        <v>-1.5279510989785194E-9</v>
      </c>
      <c r="AJ44" s="190">
        <f t="shared" ca="1" si="17"/>
        <v>-1.5279510989785194E-9</v>
      </c>
      <c r="AK44" s="190">
        <f t="shared" ca="1" si="17"/>
        <v>-1.5279510989785194E-9</v>
      </c>
      <c r="AL44" s="190">
        <f t="shared" ca="1" si="17"/>
        <v>-1.5279510989785194E-9</v>
      </c>
      <c r="AM44" s="190">
        <f t="shared" ca="1" si="17"/>
        <v>-1.5279510989785194E-9</v>
      </c>
      <c r="AN44" s="190">
        <f t="shared" ca="1" si="17"/>
        <v>-1.5279510989785194E-9</v>
      </c>
    </row>
    <row r="45" spans="2:40">
      <c r="B45" s="72"/>
      <c r="C45" s="191" t="s">
        <v>289</v>
      </c>
      <c r="D45" s="191"/>
      <c r="E45" s="191"/>
      <c r="F45" s="105">
        <f>SUM(F46:F47)</f>
        <v>3730813.4700000007</v>
      </c>
      <c r="G45" s="105">
        <f>SUM(G46:G47)</f>
        <v>3730813.4700000007</v>
      </c>
      <c r="H45" s="105">
        <f t="shared" ref="H45:AN45" si="18">SUM(H46:H47)</f>
        <v>0</v>
      </c>
      <c r="I45" s="105">
        <f t="shared" si="18"/>
        <v>0</v>
      </c>
      <c r="J45" s="105">
        <f t="shared" si="18"/>
        <v>0</v>
      </c>
      <c r="K45" s="105">
        <f t="shared" si="18"/>
        <v>0</v>
      </c>
      <c r="L45" s="105">
        <f t="shared" si="18"/>
        <v>0</v>
      </c>
      <c r="M45" s="105">
        <f t="shared" si="18"/>
        <v>0</v>
      </c>
      <c r="N45" s="105">
        <f t="shared" si="18"/>
        <v>0</v>
      </c>
      <c r="O45" s="105">
        <f t="shared" si="18"/>
        <v>0</v>
      </c>
      <c r="P45" s="105">
        <f t="shared" si="18"/>
        <v>0</v>
      </c>
      <c r="Q45" s="105">
        <f t="shared" si="18"/>
        <v>0</v>
      </c>
      <c r="R45" s="105">
        <f t="shared" si="18"/>
        <v>0</v>
      </c>
      <c r="S45" s="105">
        <f t="shared" si="18"/>
        <v>0</v>
      </c>
      <c r="T45" s="105">
        <f t="shared" si="18"/>
        <v>0</v>
      </c>
      <c r="U45" s="105">
        <f t="shared" si="18"/>
        <v>0</v>
      </c>
      <c r="V45" s="105">
        <f t="shared" si="18"/>
        <v>0</v>
      </c>
      <c r="W45" s="105">
        <f t="shared" si="18"/>
        <v>0</v>
      </c>
      <c r="X45" s="105">
        <f t="shared" si="18"/>
        <v>0</v>
      </c>
      <c r="Y45" s="105">
        <f t="shared" si="18"/>
        <v>0</v>
      </c>
      <c r="Z45" s="105">
        <f t="shared" si="18"/>
        <v>0</v>
      </c>
      <c r="AA45" s="105">
        <f t="shared" si="18"/>
        <v>0</v>
      </c>
      <c r="AB45" s="105">
        <f t="shared" si="18"/>
        <v>0</v>
      </c>
      <c r="AC45" s="105">
        <f t="shared" si="18"/>
        <v>0</v>
      </c>
      <c r="AD45" s="105">
        <f t="shared" si="18"/>
        <v>0</v>
      </c>
      <c r="AE45" s="105">
        <f t="shared" si="18"/>
        <v>0</v>
      </c>
      <c r="AF45" s="105">
        <f t="shared" si="18"/>
        <v>0</v>
      </c>
      <c r="AG45" s="105">
        <f t="shared" si="18"/>
        <v>0</v>
      </c>
      <c r="AH45" s="105">
        <f t="shared" si="18"/>
        <v>0</v>
      </c>
      <c r="AI45" s="105">
        <f t="shared" si="18"/>
        <v>0</v>
      </c>
      <c r="AJ45" s="105">
        <f t="shared" si="18"/>
        <v>0</v>
      </c>
      <c r="AK45" s="105">
        <f t="shared" si="18"/>
        <v>0</v>
      </c>
      <c r="AL45" s="105">
        <f t="shared" si="18"/>
        <v>0</v>
      </c>
      <c r="AM45" s="105">
        <f t="shared" si="18"/>
        <v>0</v>
      </c>
      <c r="AN45" s="105">
        <f t="shared" si="18"/>
        <v>0</v>
      </c>
    </row>
    <row r="46" spans="2:40">
      <c r="B46" s="72"/>
      <c r="C46" s="192" t="s">
        <v>290</v>
      </c>
      <c r="D46" s="192"/>
      <c r="E46" s="192"/>
      <c r="F46" s="105">
        <f>Capex!G7</f>
        <v>3730813.4700000007</v>
      </c>
      <c r="G46" s="105">
        <f>Capex!H7</f>
        <v>3730813.4700000007</v>
      </c>
      <c r="H46" s="105">
        <f>Capex!I7</f>
        <v>0</v>
      </c>
      <c r="I46" s="105">
        <f>Capex!J7</f>
        <v>0</v>
      </c>
      <c r="J46" s="105">
        <f>Capex!K7</f>
        <v>0</v>
      </c>
      <c r="K46" s="105">
        <f>Capex!L7</f>
        <v>0</v>
      </c>
      <c r="L46" s="105">
        <f>Capex!M7</f>
        <v>0</v>
      </c>
      <c r="M46" s="105">
        <f>Capex!N7</f>
        <v>0</v>
      </c>
      <c r="N46" s="105">
        <f>Capex!O7</f>
        <v>0</v>
      </c>
      <c r="O46" s="105">
        <f>Capex!P7</f>
        <v>0</v>
      </c>
      <c r="P46" s="105">
        <f>Capex!Q7</f>
        <v>0</v>
      </c>
      <c r="Q46" s="105">
        <f>Capex!R7</f>
        <v>0</v>
      </c>
      <c r="R46" s="105">
        <f>Capex!S7</f>
        <v>0</v>
      </c>
      <c r="S46" s="105">
        <f>Capex!T7</f>
        <v>0</v>
      </c>
      <c r="T46" s="105">
        <f>Capex!U7</f>
        <v>0</v>
      </c>
      <c r="U46" s="105">
        <f>Capex!V7</f>
        <v>0</v>
      </c>
      <c r="V46" s="105">
        <f>Capex!W7</f>
        <v>0</v>
      </c>
      <c r="W46" s="105">
        <f>Capex!X7</f>
        <v>0</v>
      </c>
      <c r="X46" s="105">
        <f>Capex!Y7</f>
        <v>0</v>
      </c>
      <c r="Y46" s="105">
        <f>Capex!Z7</f>
        <v>0</v>
      </c>
      <c r="Z46" s="105">
        <f>Capex!AA7</f>
        <v>0</v>
      </c>
      <c r="AA46" s="105">
        <f>Capex!AB7</f>
        <v>0</v>
      </c>
      <c r="AB46" s="105">
        <f>Capex!AC7</f>
        <v>0</v>
      </c>
      <c r="AC46" s="105">
        <f>Capex!AD7</f>
        <v>0</v>
      </c>
      <c r="AD46" s="105">
        <f>Capex!AE7</f>
        <v>0</v>
      </c>
      <c r="AE46" s="105">
        <f>Capex!AF7</f>
        <v>0</v>
      </c>
      <c r="AF46" s="105">
        <f>Capex!AG7</f>
        <v>0</v>
      </c>
      <c r="AG46" s="105">
        <f>Capex!AH7</f>
        <v>0</v>
      </c>
      <c r="AH46" s="105">
        <f>Capex!AI7</f>
        <v>0</v>
      </c>
      <c r="AI46" s="105">
        <f>Capex!AJ7</f>
        <v>0</v>
      </c>
      <c r="AJ46" s="105">
        <f>Capex!AK7</f>
        <v>0</v>
      </c>
      <c r="AK46" s="105">
        <f>Capex!AL7</f>
        <v>0</v>
      </c>
      <c r="AL46" s="105">
        <f>Capex!AM7</f>
        <v>0</v>
      </c>
      <c r="AM46" s="105">
        <f>Capex!AN7</f>
        <v>0</v>
      </c>
      <c r="AN46" s="105">
        <f>Capex!AO7</f>
        <v>0</v>
      </c>
    </row>
    <row r="47" spans="2:40">
      <c r="B47" s="72"/>
      <c r="C47" s="192" t="s">
        <v>291</v>
      </c>
      <c r="D47" s="192"/>
      <c r="E47" s="192"/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</row>
    <row r="48" spans="2:40">
      <c r="B48" s="72"/>
      <c r="C48" s="193" t="s">
        <v>292</v>
      </c>
      <c r="D48" s="193"/>
      <c r="E48" s="193"/>
      <c r="F48" s="105">
        <f>-SUM(Capex!G31)</f>
        <v>0</v>
      </c>
      <c r="G48" s="105">
        <f>-SUM(Capex!H31)</f>
        <v>-190433.75589070967</v>
      </c>
      <c r="H48" s="105">
        <f>-SUM(Capex!I31)</f>
        <v>-380867.51178141934</v>
      </c>
      <c r="I48" s="105">
        <f>-SUM(Capex!J31)</f>
        <v>-380867.51178141934</v>
      </c>
      <c r="J48" s="105">
        <f>-SUM(Capex!K31)</f>
        <v>-380867.51178141934</v>
      </c>
      <c r="K48" s="105">
        <f>-SUM(Capex!L31)</f>
        <v>-380867.51178141934</v>
      </c>
      <c r="L48" s="105">
        <f>-SUM(Capex!M31)</f>
        <v>-380867.51178141934</v>
      </c>
      <c r="M48" s="105">
        <f>-SUM(Capex!N31)</f>
        <v>-380867.51178141934</v>
      </c>
      <c r="N48" s="105">
        <f>-SUM(Capex!O31)</f>
        <v>-380867.51178141934</v>
      </c>
      <c r="O48" s="105">
        <f>-SUM(Capex!P31)</f>
        <v>-380867.51178141934</v>
      </c>
      <c r="P48" s="105">
        <f>-SUM(Capex!Q31)</f>
        <v>-380867.51178141934</v>
      </c>
      <c r="Q48" s="105">
        <f>-SUM(Capex!R31)</f>
        <v>-312198.81663023657</v>
      </c>
      <c r="R48" s="105">
        <f>-SUM(Capex!S31)</f>
        <v>-243530.12147905384</v>
      </c>
      <c r="S48" s="105">
        <f>-SUM(Capex!T31)</f>
        <v>-243530.12147905384</v>
      </c>
      <c r="T48" s="105">
        <f>-SUM(Capex!U31)</f>
        <v>-243530.12147905384</v>
      </c>
      <c r="U48" s="105">
        <f>-SUM(Capex!V31)</f>
        <v>-243530.12147905384</v>
      </c>
      <c r="V48" s="105">
        <f>-SUM(Capex!W31)</f>
        <v>-243530.12147905384</v>
      </c>
      <c r="W48" s="105">
        <f>-SUM(Capex!X31)</f>
        <v>-243530.12147905384</v>
      </c>
      <c r="X48" s="105">
        <f>-SUM(Capex!Y31)</f>
        <v>-243530.12147905384</v>
      </c>
      <c r="Y48" s="105">
        <f>-SUM(Capex!Z31)</f>
        <v>-243530.12147905384</v>
      </c>
      <c r="Z48" s="105">
        <f>-SUM(Capex!AA31)</f>
        <v>-243530.12147905384</v>
      </c>
      <c r="AA48" s="105">
        <f>-SUM(Capex!AB31)</f>
        <v>-243530.12147905384</v>
      </c>
      <c r="AB48" s="105">
        <f>-SUM(Capex!AC31)</f>
        <v>-243530.12147905384</v>
      </c>
      <c r="AC48" s="105">
        <f>-SUM(Capex!AD31)</f>
        <v>-243530.12147905384</v>
      </c>
      <c r="AD48" s="105">
        <f>-SUM(Capex!AE31)</f>
        <v>-243530.12147905384</v>
      </c>
      <c r="AE48" s="105">
        <f>-SUM(Capex!AF31)</f>
        <v>-243530.12147905384</v>
      </c>
      <c r="AF48" s="105">
        <f>-SUM(Capex!AG31)</f>
        <v>-121765.06073952692</v>
      </c>
      <c r="AG48" s="105">
        <f>-SUM(Capex!AH31)</f>
        <v>0</v>
      </c>
      <c r="AH48" s="105">
        <f>-SUM(Capex!AI31)</f>
        <v>0</v>
      </c>
      <c r="AI48" s="105">
        <f>-SUM(Capex!AJ31)</f>
        <v>0</v>
      </c>
      <c r="AJ48" s="105">
        <f>-SUM(Capex!AK31)</f>
        <v>0</v>
      </c>
      <c r="AK48" s="105">
        <f>-SUM(Capex!AL31)</f>
        <v>0</v>
      </c>
      <c r="AL48" s="105">
        <f>-SUM(Capex!AM31)</f>
        <v>0</v>
      </c>
      <c r="AM48" s="105">
        <f>-SUM(Capex!AN31)</f>
        <v>0</v>
      </c>
      <c r="AN48" s="105">
        <f>-SUM(Capex!AO31)</f>
        <v>0</v>
      </c>
    </row>
    <row r="49" spans="2:40">
      <c r="B49" s="72"/>
      <c r="C49" s="193" t="s">
        <v>293</v>
      </c>
      <c r="D49" s="193"/>
      <c r="E49" s="193"/>
      <c r="F49" s="105">
        <f>Capex!F129</f>
        <v>0</v>
      </c>
      <c r="G49" s="105">
        <f>Capex!G129</f>
        <v>0</v>
      </c>
      <c r="H49" s="105">
        <f>Capex!H129</f>
        <v>0</v>
      </c>
      <c r="I49" s="105">
        <f>Capex!I129</f>
        <v>0</v>
      </c>
      <c r="J49" s="105">
        <f ca="1">Capex!J129</f>
        <v>0</v>
      </c>
      <c r="K49" s="105">
        <f>Capex!K129</f>
        <v>0</v>
      </c>
      <c r="L49" s="105">
        <f>Capex!L129</f>
        <v>0</v>
      </c>
      <c r="M49" s="105">
        <f>Capex!M129</f>
        <v>0</v>
      </c>
      <c r="N49" s="105">
        <f>Capex!N129</f>
        <v>0</v>
      </c>
      <c r="O49" s="105">
        <f ca="1">Capex!O129</f>
        <v>0</v>
      </c>
      <c r="P49" s="105">
        <f>Capex!P129</f>
        <v>0</v>
      </c>
      <c r="Q49" s="105">
        <f>Capex!Q129</f>
        <v>0</v>
      </c>
      <c r="R49" s="105">
        <f>Capex!R129</f>
        <v>0</v>
      </c>
      <c r="S49" s="105">
        <f>Capex!S129</f>
        <v>0</v>
      </c>
      <c r="T49" s="105">
        <f ca="1">Capex!T129</f>
        <v>0</v>
      </c>
      <c r="U49" s="105">
        <f>Capex!U129</f>
        <v>0</v>
      </c>
      <c r="V49" s="105">
        <f>Capex!V129</f>
        <v>0</v>
      </c>
      <c r="W49" s="105">
        <f>Capex!W129</f>
        <v>0</v>
      </c>
      <c r="X49" s="105">
        <f>Capex!X129</f>
        <v>0</v>
      </c>
      <c r="Y49" s="105">
        <f ca="1">Capex!Y129</f>
        <v>0</v>
      </c>
      <c r="Z49" s="105">
        <f>Capex!Z129</f>
        <v>0</v>
      </c>
      <c r="AA49" s="105">
        <f>Capex!AA129</f>
        <v>0</v>
      </c>
      <c r="AB49" s="105">
        <f>Capex!AB129</f>
        <v>0</v>
      </c>
      <c r="AC49" s="105">
        <f>Capex!AC129</f>
        <v>0</v>
      </c>
      <c r="AD49" s="105">
        <f ca="1">Capex!AD129</f>
        <v>0</v>
      </c>
      <c r="AE49" s="105">
        <f>Capex!AE129</f>
        <v>0</v>
      </c>
      <c r="AF49" s="105">
        <f>Capex!AF129</f>
        <v>0</v>
      </c>
      <c r="AG49" s="105">
        <f>Capex!AG129</f>
        <v>0</v>
      </c>
      <c r="AH49" s="105">
        <f>Capex!AH129</f>
        <v>0</v>
      </c>
      <c r="AI49" s="105">
        <f ca="1">Capex!AI129</f>
        <v>0</v>
      </c>
      <c r="AJ49" s="105">
        <f>Capex!AJ129</f>
        <v>0</v>
      </c>
      <c r="AK49" s="105">
        <f>Capex!AK129</f>
        <v>0</v>
      </c>
      <c r="AL49" s="105">
        <f>Capex!AL129</f>
        <v>0</v>
      </c>
      <c r="AM49" s="105">
        <f>Capex!AM129</f>
        <v>0</v>
      </c>
      <c r="AN49" s="105">
        <f>Capex!AN129</f>
        <v>0</v>
      </c>
    </row>
    <row r="50" spans="2:40">
      <c r="B50" s="72"/>
      <c r="C50" s="189" t="s">
        <v>294</v>
      </c>
      <c r="D50" s="189"/>
      <c r="E50" s="189"/>
      <c r="F50" s="194">
        <f ca="1">-Capex!F130</f>
        <v>0</v>
      </c>
      <c r="G50" s="194">
        <f ca="1">-Capex!G130</f>
        <v>0</v>
      </c>
      <c r="H50" s="194">
        <f ca="1">-Capex!H130</f>
        <v>0</v>
      </c>
      <c r="I50" s="194">
        <f ca="1">-Capex!I130</f>
        <v>0</v>
      </c>
      <c r="J50" s="194">
        <f ca="1">-Capex!J130</f>
        <v>0</v>
      </c>
      <c r="K50" s="194">
        <f ca="1">-Capex!K130</f>
        <v>0</v>
      </c>
      <c r="L50" s="194">
        <f ca="1">-Capex!L130</f>
        <v>0</v>
      </c>
      <c r="M50" s="194">
        <f ca="1">-Capex!M130</f>
        <v>0</v>
      </c>
      <c r="N50" s="194">
        <f ca="1">-Capex!N130</f>
        <v>0</v>
      </c>
      <c r="O50" s="194">
        <f ca="1">-Capex!O130</f>
        <v>0</v>
      </c>
      <c r="P50" s="194">
        <f ca="1">-Capex!P130</f>
        <v>0</v>
      </c>
      <c r="Q50" s="194">
        <f ca="1">-Capex!Q130</f>
        <v>0</v>
      </c>
      <c r="R50" s="194">
        <f ca="1">-Capex!R130</f>
        <v>0</v>
      </c>
      <c r="S50" s="194">
        <f ca="1">-Capex!S130</f>
        <v>0</v>
      </c>
      <c r="T50" s="194">
        <f ca="1">-Capex!T130</f>
        <v>0</v>
      </c>
      <c r="U50" s="194">
        <f ca="1">-Capex!U130</f>
        <v>0</v>
      </c>
      <c r="V50" s="194">
        <f ca="1">-Capex!V130</f>
        <v>0</v>
      </c>
      <c r="W50" s="194">
        <f ca="1">-Capex!W130</f>
        <v>0</v>
      </c>
      <c r="X50" s="194">
        <f ca="1">-Capex!X130</f>
        <v>0</v>
      </c>
      <c r="Y50" s="194">
        <f ca="1">-Capex!Y130</f>
        <v>0</v>
      </c>
      <c r="Z50" s="194">
        <f ca="1">-Capex!Z130</f>
        <v>0</v>
      </c>
      <c r="AA50" s="194">
        <f ca="1">-Capex!AA130</f>
        <v>0</v>
      </c>
      <c r="AB50" s="194">
        <f ca="1">-Capex!AB130</f>
        <v>0</v>
      </c>
      <c r="AC50" s="194">
        <f ca="1">-Capex!AC130</f>
        <v>0</v>
      </c>
      <c r="AD50" s="194">
        <f ca="1">-Capex!AD130</f>
        <v>0</v>
      </c>
      <c r="AE50" s="194">
        <f ca="1">-Capex!AE130</f>
        <v>0</v>
      </c>
      <c r="AF50" s="194">
        <f ca="1">-Capex!AF130</f>
        <v>0</v>
      </c>
      <c r="AG50" s="194">
        <f ca="1">-Capex!AG130</f>
        <v>0</v>
      </c>
      <c r="AH50" s="194">
        <f ca="1">-Capex!AH130</f>
        <v>0</v>
      </c>
      <c r="AI50" s="194">
        <f ca="1">-Capex!AI130</f>
        <v>0</v>
      </c>
      <c r="AJ50" s="194">
        <f ca="1">-Capex!AJ130</f>
        <v>0</v>
      </c>
      <c r="AK50" s="194">
        <f ca="1">-Capex!AK130</f>
        <v>0</v>
      </c>
      <c r="AL50" s="194">
        <f ca="1">-Capex!AL130</f>
        <v>0</v>
      </c>
      <c r="AM50" s="194">
        <f ca="1">-Capex!AM130</f>
        <v>0</v>
      </c>
      <c r="AN50" s="194">
        <f ca="1">-Capex!AN130</f>
        <v>0</v>
      </c>
    </row>
    <row r="51" spans="2:40">
      <c r="B51" s="72"/>
      <c r="C51" s="191" t="s">
        <v>295</v>
      </c>
      <c r="D51" s="191"/>
      <c r="E51" s="191"/>
      <c r="F51" s="195">
        <f ca="1">F45+F44+F48+F49+F50</f>
        <v>3730813.4700000007</v>
      </c>
      <c r="G51" s="195">
        <f t="shared" ref="G51:AN51" ca="1" si="19">G45+G44+G48+G49+G50</f>
        <v>7271193.184109292</v>
      </c>
      <c r="H51" s="195">
        <f t="shared" ca="1" si="19"/>
        <v>6890325.6723278724</v>
      </c>
      <c r="I51" s="195">
        <f t="shared" ca="1" si="19"/>
        <v>6509458.1605464527</v>
      </c>
      <c r="J51" s="195">
        <f t="shared" ca="1" si="19"/>
        <v>6128590.6487650331</v>
      </c>
      <c r="K51" s="195">
        <f t="shared" ca="1" si="19"/>
        <v>5747723.1369836135</v>
      </c>
      <c r="L51" s="195">
        <f t="shared" ca="1" si="19"/>
        <v>5366855.6252021939</v>
      </c>
      <c r="M51" s="195">
        <f t="shared" ca="1" si="19"/>
        <v>4985988.1134207742</v>
      </c>
      <c r="N51" s="195">
        <f t="shared" ca="1" si="19"/>
        <v>4605120.6016393546</v>
      </c>
      <c r="O51" s="195">
        <f t="shared" ca="1" si="19"/>
        <v>4224253.089857935</v>
      </c>
      <c r="P51" s="195">
        <f t="shared" ca="1" si="19"/>
        <v>3843385.5780765158</v>
      </c>
      <c r="Q51" s="195">
        <f t="shared" ca="1" si="19"/>
        <v>3531186.7614462795</v>
      </c>
      <c r="R51" s="195">
        <f t="shared" ca="1" si="19"/>
        <v>3287656.6399672255</v>
      </c>
      <c r="S51" s="195">
        <f t="shared" ca="1" si="19"/>
        <v>3044126.5184881715</v>
      </c>
      <c r="T51" s="195">
        <f t="shared" ca="1" si="19"/>
        <v>2800596.3970091175</v>
      </c>
      <c r="U51" s="195">
        <f t="shared" ca="1" si="19"/>
        <v>2557066.2755300635</v>
      </c>
      <c r="V51" s="195">
        <f t="shared" ca="1" si="19"/>
        <v>2313536.1540510096</v>
      </c>
      <c r="W51" s="195">
        <f t="shared" ca="1" si="19"/>
        <v>2070006.0325719558</v>
      </c>
      <c r="X51" s="195">
        <f t="shared" ca="1" si="19"/>
        <v>1826475.9110929021</v>
      </c>
      <c r="Y51" s="195">
        <f t="shared" ca="1" si="19"/>
        <v>1582945.7896138483</v>
      </c>
      <c r="Z51" s="195">
        <f t="shared" ca="1" si="19"/>
        <v>1339415.6681347946</v>
      </c>
      <c r="AA51" s="195">
        <f t="shared" ca="1" si="19"/>
        <v>1095885.5466557408</v>
      </c>
      <c r="AB51" s="195">
        <f t="shared" ca="1" si="19"/>
        <v>852355.42517668696</v>
      </c>
      <c r="AC51" s="195">
        <f t="shared" ca="1" si="19"/>
        <v>608825.30369763309</v>
      </c>
      <c r="AD51" s="195">
        <f t="shared" ca="1" si="19"/>
        <v>365295.18221857923</v>
      </c>
      <c r="AE51" s="195">
        <f t="shared" ca="1" si="19"/>
        <v>121765.06073952539</v>
      </c>
      <c r="AF51" s="195">
        <f t="shared" ca="1" si="19"/>
        <v>-1.5279510989785194E-9</v>
      </c>
      <c r="AG51" s="195">
        <f t="shared" ca="1" si="19"/>
        <v>-1.5279510989785194E-9</v>
      </c>
      <c r="AH51" s="195">
        <f t="shared" ca="1" si="19"/>
        <v>-1.5279510989785194E-9</v>
      </c>
      <c r="AI51" s="195">
        <f t="shared" ca="1" si="19"/>
        <v>-1.5279510989785194E-9</v>
      </c>
      <c r="AJ51" s="195">
        <f t="shared" ca="1" si="19"/>
        <v>-1.5279510989785194E-9</v>
      </c>
      <c r="AK51" s="195">
        <f t="shared" ca="1" si="19"/>
        <v>-1.5279510989785194E-9</v>
      </c>
      <c r="AL51" s="195">
        <f t="shared" ca="1" si="19"/>
        <v>-1.5279510989785194E-9</v>
      </c>
      <c r="AM51" s="195">
        <f t="shared" ca="1" si="19"/>
        <v>-1.5279510989785194E-9</v>
      </c>
      <c r="AN51" s="195">
        <f t="shared" ca="1" si="19"/>
        <v>-1.5279510989785194E-9</v>
      </c>
    </row>
    <row r="52" spans="2:40" ht="24.75" customHeight="1">
      <c r="B52" s="72"/>
    </row>
    <row r="53" spans="2:40" ht="24.75" customHeight="1">
      <c r="B53" s="72"/>
      <c r="C53" s="188" t="s">
        <v>296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</row>
    <row r="54" spans="2:40" ht="15.6" customHeight="1">
      <c r="B54" s="72"/>
      <c r="E54" s="196">
        <f>E5</f>
        <v>0</v>
      </c>
      <c r="F54" s="402">
        <f t="shared" ref="F54:AN54" si="20">F5</f>
        <v>1</v>
      </c>
      <c r="G54" s="402">
        <f t="shared" si="20"/>
        <v>2</v>
      </c>
      <c r="H54" s="402">
        <f t="shared" si="20"/>
        <v>3</v>
      </c>
      <c r="I54" s="402">
        <f t="shared" si="20"/>
        <v>4</v>
      </c>
      <c r="J54" s="402">
        <f t="shared" si="20"/>
        <v>5</v>
      </c>
      <c r="K54" s="402">
        <f t="shared" si="20"/>
        <v>6</v>
      </c>
      <c r="L54" s="402">
        <f t="shared" si="20"/>
        <v>7</v>
      </c>
      <c r="M54" s="402">
        <f t="shared" si="20"/>
        <v>8</v>
      </c>
      <c r="N54" s="402">
        <f t="shared" si="20"/>
        <v>9</v>
      </c>
      <c r="O54" s="402">
        <f t="shared" si="20"/>
        <v>10</v>
      </c>
      <c r="P54" s="402">
        <f t="shared" si="20"/>
        <v>11</v>
      </c>
      <c r="Q54" s="402">
        <f t="shared" si="20"/>
        <v>12</v>
      </c>
      <c r="R54" s="402">
        <f t="shared" si="20"/>
        <v>13</v>
      </c>
      <c r="S54" s="402">
        <f t="shared" si="20"/>
        <v>14</v>
      </c>
      <c r="T54" s="402">
        <f t="shared" si="20"/>
        <v>15</v>
      </c>
      <c r="U54" s="402">
        <f t="shared" si="20"/>
        <v>16</v>
      </c>
      <c r="V54" s="402">
        <f t="shared" si="20"/>
        <v>17</v>
      </c>
      <c r="W54" s="402">
        <f t="shared" si="20"/>
        <v>18</v>
      </c>
      <c r="X54" s="402">
        <f t="shared" si="20"/>
        <v>19</v>
      </c>
      <c r="Y54" s="402">
        <f t="shared" si="20"/>
        <v>20</v>
      </c>
      <c r="Z54" s="402">
        <f t="shared" si="20"/>
        <v>21</v>
      </c>
      <c r="AA54" s="402">
        <f t="shared" si="20"/>
        <v>22</v>
      </c>
      <c r="AB54" s="402">
        <f t="shared" si="20"/>
        <v>23</v>
      </c>
      <c r="AC54" s="402">
        <f t="shared" si="20"/>
        <v>24</v>
      </c>
      <c r="AD54" s="402">
        <f t="shared" si="20"/>
        <v>25</v>
      </c>
      <c r="AE54" s="402">
        <f t="shared" si="20"/>
        <v>26</v>
      </c>
      <c r="AF54" s="402">
        <f t="shared" si="20"/>
        <v>27</v>
      </c>
      <c r="AG54" s="402">
        <f t="shared" si="20"/>
        <v>28</v>
      </c>
      <c r="AH54" s="402">
        <f t="shared" si="20"/>
        <v>29</v>
      </c>
      <c r="AI54" s="402">
        <f t="shared" si="20"/>
        <v>30</v>
      </c>
      <c r="AJ54" s="402">
        <f t="shared" si="20"/>
        <v>31</v>
      </c>
      <c r="AK54" s="402">
        <f t="shared" si="20"/>
        <v>32</v>
      </c>
      <c r="AL54" s="402">
        <f t="shared" si="20"/>
        <v>33</v>
      </c>
      <c r="AM54" s="402">
        <f t="shared" si="20"/>
        <v>34</v>
      </c>
      <c r="AN54" s="402">
        <f t="shared" si="20"/>
        <v>35</v>
      </c>
    </row>
    <row r="55" spans="2:40" ht="15.6" customHeight="1">
      <c r="B55" s="356"/>
      <c r="C55" s="197" t="s">
        <v>297</v>
      </c>
      <c r="D55" s="197"/>
      <c r="E55" s="195">
        <f>E19</f>
        <v>0</v>
      </c>
      <c r="F55" s="403">
        <f>F19</f>
        <v>-21206.457039600002</v>
      </c>
      <c r="G55" s="403">
        <f t="shared" ref="G55:AN55" si="21">G19</f>
        <v>-23743.209578400005</v>
      </c>
      <c r="H55" s="403">
        <f ca="1">H19</f>
        <v>825836.07764498703</v>
      </c>
      <c r="I55" s="403">
        <f t="shared" ca="1" si="21"/>
        <v>825836.07764498703</v>
      </c>
      <c r="J55" s="403">
        <f t="shared" ca="1" si="21"/>
        <v>955204.28551124851</v>
      </c>
      <c r="K55" s="403">
        <f t="shared" ca="1" si="21"/>
        <v>955204.28551124851</v>
      </c>
      <c r="L55" s="403">
        <f t="shared" ca="1" si="21"/>
        <v>955204.28551124851</v>
      </c>
      <c r="M55" s="403">
        <f t="shared" ca="1" si="21"/>
        <v>955204.28551124851</v>
      </c>
      <c r="N55" s="403">
        <f t="shared" ca="1" si="21"/>
        <v>955204.28551124851</v>
      </c>
      <c r="O55" s="403">
        <f t="shared" ca="1" si="21"/>
        <v>955204.28551124851</v>
      </c>
      <c r="P55" s="403">
        <f t="shared" ca="1" si="21"/>
        <v>955204.28551124851</v>
      </c>
      <c r="Q55" s="403">
        <f t="shared" ca="1" si="21"/>
        <v>958721.1828692297</v>
      </c>
      <c r="R55" s="404">
        <f t="shared" ca="1" si="21"/>
        <v>958682.85654990072</v>
      </c>
      <c r="S55" s="404">
        <f t="shared" ca="1" si="21"/>
        <v>958682.85654990072</v>
      </c>
      <c r="T55" s="404">
        <f t="shared" ca="1" si="21"/>
        <v>1023543.2885499008</v>
      </c>
      <c r="U55" s="404">
        <f t="shared" ca="1" si="21"/>
        <v>1023543.2885499008</v>
      </c>
      <c r="V55" s="404">
        <f t="shared" ca="1" si="21"/>
        <v>1023543.2885499008</v>
      </c>
      <c r="W55" s="404">
        <f t="shared" ca="1" si="21"/>
        <v>1023543.2885499008</v>
      </c>
      <c r="X55" s="404">
        <f t="shared" ca="1" si="21"/>
        <v>1023543.2885499008</v>
      </c>
      <c r="Y55" s="404">
        <f t="shared" ca="1" si="21"/>
        <v>1023543.2885499008</v>
      </c>
      <c r="Z55" s="404">
        <f t="shared" ca="1" si="21"/>
        <v>1023543.2885499008</v>
      </c>
      <c r="AA55" s="404">
        <f t="shared" ca="1" si="21"/>
        <v>1023543.2885499008</v>
      </c>
      <c r="AB55" s="404">
        <f t="shared" ca="1" si="21"/>
        <v>1023543.2885499008</v>
      </c>
      <c r="AC55" s="404">
        <f t="shared" ca="1" si="21"/>
        <v>1023543.2885499008</v>
      </c>
      <c r="AD55" s="404">
        <f t="shared" ca="1" si="21"/>
        <v>1023543.2885499008</v>
      </c>
      <c r="AE55" s="404">
        <f t="shared" ca="1" si="21"/>
        <v>1023543.2885499008</v>
      </c>
      <c r="AF55" s="404">
        <f t="shared" ca="1" si="21"/>
        <v>1023543.2885499008</v>
      </c>
      <c r="AG55" s="404">
        <f t="shared" ca="1" si="21"/>
        <v>1023543.2885499008</v>
      </c>
      <c r="AH55" s="404">
        <f t="shared" ca="1" si="21"/>
        <v>1023543.2885499008</v>
      </c>
      <c r="AI55" s="404">
        <f t="shared" ca="1" si="21"/>
        <v>1023543.2885499008</v>
      </c>
      <c r="AJ55" s="404">
        <f t="shared" ca="1" si="21"/>
        <v>1023543.2885499008</v>
      </c>
      <c r="AK55" s="404">
        <f t="shared" ca="1" si="21"/>
        <v>1023543.2885499008</v>
      </c>
      <c r="AL55" s="404">
        <f t="shared" ca="1" si="21"/>
        <v>1023543.2885499008</v>
      </c>
      <c r="AM55" s="404">
        <f t="shared" ca="1" si="21"/>
        <v>1023543.2885499008</v>
      </c>
      <c r="AN55" s="404">
        <f t="shared" ca="1" si="21"/>
        <v>1023543.2885499008</v>
      </c>
    </row>
    <row r="56" spans="2:40" ht="15.6" customHeight="1">
      <c r="B56" s="356"/>
      <c r="C56" s="197" t="s">
        <v>298</v>
      </c>
      <c r="D56" s="197"/>
      <c r="E56" s="195">
        <f>E57+E60+E61</f>
        <v>0</v>
      </c>
      <c r="F56" s="403">
        <f>F57+F60+F61</f>
        <v>-1980813.4700000004</v>
      </c>
      <c r="G56" s="403">
        <f>G57+G60+G61</f>
        <v>-1980813.4700000009</v>
      </c>
      <c r="H56" s="403">
        <f t="shared" ref="H56:AN56" si="22">H57+H60+H61</f>
        <v>0</v>
      </c>
      <c r="I56" s="403">
        <f t="shared" si="22"/>
        <v>0</v>
      </c>
      <c r="J56" s="403">
        <f t="shared" ca="1" si="22"/>
        <v>0</v>
      </c>
      <c r="K56" s="403">
        <f t="shared" si="22"/>
        <v>0</v>
      </c>
      <c r="L56" s="403">
        <f t="shared" si="22"/>
        <v>0</v>
      </c>
      <c r="M56" s="403">
        <f t="shared" si="22"/>
        <v>0</v>
      </c>
      <c r="N56" s="403">
        <f t="shared" si="22"/>
        <v>0</v>
      </c>
      <c r="O56" s="403">
        <f t="shared" ca="1" si="22"/>
        <v>0</v>
      </c>
      <c r="P56" s="403">
        <f t="shared" si="22"/>
        <v>0</v>
      </c>
      <c r="Q56" s="403">
        <f t="shared" si="22"/>
        <v>0</v>
      </c>
      <c r="R56" s="404">
        <f t="shared" si="22"/>
        <v>0</v>
      </c>
      <c r="S56" s="404">
        <f t="shared" si="22"/>
        <v>0</v>
      </c>
      <c r="T56" s="404">
        <f t="shared" ca="1" si="22"/>
        <v>0</v>
      </c>
      <c r="U56" s="404">
        <f t="shared" si="22"/>
        <v>0</v>
      </c>
      <c r="V56" s="404">
        <f t="shared" si="22"/>
        <v>0</v>
      </c>
      <c r="W56" s="404">
        <f t="shared" si="22"/>
        <v>0</v>
      </c>
      <c r="X56" s="404">
        <f t="shared" si="22"/>
        <v>0</v>
      </c>
      <c r="Y56" s="404">
        <f t="shared" ca="1" si="22"/>
        <v>0</v>
      </c>
      <c r="Z56" s="404">
        <f t="shared" si="22"/>
        <v>0</v>
      </c>
      <c r="AA56" s="404">
        <f t="shared" si="22"/>
        <v>0</v>
      </c>
      <c r="AB56" s="404">
        <f t="shared" si="22"/>
        <v>0</v>
      </c>
      <c r="AC56" s="404">
        <f t="shared" si="22"/>
        <v>0</v>
      </c>
      <c r="AD56" s="404">
        <f t="shared" ca="1" si="22"/>
        <v>0</v>
      </c>
      <c r="AE56" s="404">
        <f t="shared" si="22"/>
        <v>0</v>
      </c>
      <c r="AF56" s="404">
        <f t="shared" si="22"/>
        <v>0</v>
      </c>
      <c r="AG56" s="404">
        <f t="shared" si="22"/>
        <v>0</v>
      </c>
      <c r="AH56" s="404">
        <f t="shared" si="22"/>
        <v>0</v>
      </c>
      <c r="AI56" s="404">
        <f t="shared" ca="1" si="22"/>
        <v>0</v>
      </c>
      <c r="AJ56" s="404">
        <f t="shared" si="22"/>
        <v>0</v>
      </c>
      <c r="AK56" s="404">
        <f t="shared" si="22"/>
        <v>0</v>
      </c>
      <c r="AL56" s="404">
        <f t="shared" si="22"/>
        <v>0</v>
      </c>
      <c r="AM56" s="404">
        <f t="shared" si="22"/>
        <v>0</v>
      </c>
      <c r="AN56" s="404">
        <f t="shared" si="22"/>
        <v>0</v>
      </c>
    </row>
    <row r="57" spans="2:40" ht="15.6" customHeight="1">
      <c r="B57" s="356"/>
      <c r="C57" s="198" t="s">
        <v>299</v>
      </c>
      <c r="D57" s="198"/>
      <c r="E57" s="105">
        <f>SUM(E58:E59)</f>
        <v>0</v>
      </c>
      <c r="F57" s="405">
        <f>SUM(F58:F59)</f>
        <v>-3730813.4700000007</v>
      </c>
      <c r="G57" s="405">
        <f>SUM(G58:G59)</f>
        <v>-3730813.4700000007</v>
      </c>
      <c r="H57" s="405">
        <f t="shared" ref="H57:AM57" si="23">SUM(H58:H59)</f>
        <v>0</v>
      </c>
      <c r="I57" s="405">
        <f t="shared" si="23"/>
        <v>0</v>
      </c>
      <c r="J57" s="405">
        <f ca="1">SUM(J58:J59)</f>
        <v>0</v>
      </c>
      <c r="K57" s="405">
        <f t="shared" si="23"/>
        <v>0</v>
      </c>
      <c r="L57" s="405">
        <f t="shared" si="23"/>
        <v>0</v>
      </c>
      <c r="M57" s="405">
        <f t="shared" si="23"/>
        <v>0</v>
      </c>
      <c r="N57" s="405">
        <f t="shared" si="23"/>
        <v>0</v>
      </c>
      <c r="O57" s="405">
        <f ca="1">SUM(O58:O59)</f>
        <v>0</v>
      </c>
      <c r="P57" s="405">
        <f t="shared" si="23"/>
        <v>0</v>
      </c>
      <c r="Q57" s="405">
        <f t="shared" si="23"/>
        <v>0</v>
      </c>
      <c r="R57" s="112">
        <f t="shared" si="23"/>
        <v>0</v>
      </c>
      <c r="S57" s="112">
        <f t="shared" si="23"/>
        <v>0</v>
      </c>
      <c r="T57" s="112">
        <f ca="1">SUM(T58:T59)</f>
        <v>0</v>
      </c>
      <c r="U57" s="112">
        <f t="shared" si="23"/>
        <v>0</v>
      </c>
      <c r="V57" s="112">
        <f t="shared" si="23"/>
        <v>0</v>
      </c>
      <c r="W57" s="112">
        <f t="shared" si="23"/>
        <v>0</v>
      </c>
      <c r="X57" s="112">
        <f t="shared" si="23"/>
        <v>0</v>
      </c>
      <c r="Y57" s="112">
        <f ca="1">SUM(Y58:Y59)</f>
        <v>0</v>
      </c>
      <c r="Z57" s="112">
        <f t="shared" si="23"/>
        <v>0</v>
      </c>
      <c r="AA57" s="112">
        <f t="shared" si="23"/>
        <v>0</v>
      </c>
      <c r="AB57" s="112">
        <f t="shared" si="23"/>
        <v>0</v>
      </c>
      <c r="AC57" s="112">
        <f t="shared" si="23"/>
        <v>0</v>
      </c>
      <c r="AD57" s="112">
        <f ca="1">SUM(AD58:AD59)</f>
        <v>0</v>
      </c>
      <c r="AE57" s="112">
        <f t="shared" si="23"/>
        <v>0</v>
      </c>
      <c r="AF57" s="112">
        <f t="shared" si="23"/>
        <v>0</v>
      </c>
      <c r="AG57" s="112">
        <f t="shared" si="23"/>
        <v>0</v>
      </c>
      <c r="AH57" s="112">
        <f t="shared" si="23"/>
        <v>0</v>
      </c>
      <c r="AI57" s="112">
        <f ca="1">SUM(AI58:AI59)</f>
        <v>0</v>
      </c>
      <c r="AJ57" s="112">
        <f t="shared" si="23"/>
        <v>0</v>
      </c>
      <c r="AK57" s="112">
        <f t="shared" si="23"/>
        <v>0</v>
      </c>
      <c r="AL57" s="112">
        <f t="shared" si="23"/>
        <v>0</v>
      </c>
      <c r="AM57" s="112">
        <f t="shared" si="23"/>
        <v>0</v>
      </c>
      <c r="AN57" s="112">
        <f>SUM(AN58:AN59)</f>
        <v>0</v>
      </c>
    </row>
    <row r="58" spans="2:40" ht="15.6" customHeight="1">
      <c r="B58" s="356"/>
      <c r="C58" s="199" t="s">
        <v>300</v>
      </c>
      <c r="D58" s="199"/>
      <c r="E58" s="105">
        <f>-Capex!F7</f>
        <v>0</v>
      </c>
      <c r="F58" s="405">
        <f>-Capex!G7</f>
        <v>-3730813.4700000007</v>
      </c>
      <c r="G58" s="405">
        <f>-Capex!H7</f>
        <v>-3730813.4700000007</v>
      </c>
      <c r="H58" s="405">
        <f>-Capex!I7</f>
        <v>0</v>
      </c>
      <c r="I58" s="405">
        <f>-Capex!J7</f>
        <v>0</v>
      </c>
      <c r="J58" s="405">
        <f>-Capex!K7</f>
        <v>0</v>
      </c>
      <c r="K58" s="405">
        <f>-Capex!L7</f>
        <v>0</v>
      </c>
      <c r="L58" s="405">
        <f>-Capex!M7</f>
        <v>0</v>
      </c>
      <c r="M58" s="405">
        <f>-Capex!N7</f>
        <v>0</v>
      </c>
      <c r="N58" s="405">
        <f>-Capex!O7</f>
        <v>0</v>
      </c>
      <c r="O58" s="405">
        <f>-Capex!P7</f>
        <v>0</v>
      </c>
      <c r="P58" s="405">
        <f>-Capex!Q7</f>
        <v>0</v>
      </c>
      <c r="Q58" s="405">
        <f>-Capex!R7</f>
        <v>0</v>
      </c>
      <c r="R58" s="112">
        <f>-Capex!S7</f>
        <v>0</v>
      </c>
      <c r="S58" s="112">
        <f>-Capex!T7</f>
        <v>0</v>
      </c>
      <c r="T58" s="112">
        <f>-Capex!U7</f>
        <v>0</v>
      </c>
      <c r="U58" s="112">
        <f>-Capex!V7</f>
        <v>0</v>
      </c>
      <c r="V58" s="112">
        <f>-Capex!W7</f>
        <v>0</v>
      </c>
      <c r="W58" s="112">
        <f>-Capex!X7</f>
        <v>0</v>
      </c>
      <c r="X58" s="112">
        <f>-Capex!Y7</f>
        <v>0</v>
      </c>
      <c r="Y58" s="112">
        <f>-Capex!Z7</f>
        <v>0</v>
      </c>
      <c r="Z58" s="112">
        <f>-Capex!AA7</f>
        <v>0</v>
      </c>
      <c r="AA58" s="112">
        <f>-Capex!AB7</f>
        <v>0</v>
      </c>
      <c r="AB58" s="112">
        <f>-Capex!AC7</f>
        <v>0</v>
      </c>
      <c r="AC58" s="112">
        <f>-Capex!AD7</f>
        <v>0</v>
      </c>
      <c r="AD58" s="112">
        <f>-Capex!AE7</f>
        <v>0</v>
      </c>
      <c r="AE58" s="112">
        <f>-Capex!AF7</f>
        <v>0</v>
      </c>
      <c r="AF58" s="112">
        <f>-Capex!AG7</f>
        <v>0</v>
      </c>
      <c r="AG58" s="112">
        <f>-Capex!AH7</f>
        <v>0</v>
      </c>
      <c r="AH58" s="112">
        <f>-Capex!AI7</f>
        <v>0</v>
      </c>
      <c r="AI58" s="112">
        <f>-Capex!AJ7</f>
        <v>0</v>
      </c>
      <c r="AJ58" s="112">
        <f>-Capex!AK7</f>
        <v>0</v>
      </c>
      <c r="AK58" s="112">
        <f>-Capex!AL7</f>
        <v>0</v>
      </c>
      <c r="AL58" s="112">
        <f>-Capex!AM7</f>
        <v>0</v>
      </c>
      <c r="AM58" s="112">
        <f>-Capex!AN7</f>
        <v>0</v>
      </c>
      <c r="AN58" s="112">
        <f>-Capex!AO7</f>
        <v>0</v>
      </c>
    </row>
    <row r="59" spans="2:40" ht="15.6" customHeight="1">
      <c r="B59" s="356"/>
      <c r="C59" s="199" t="s">
        <v>301</v>
      </c>
      <c r="D59" s="199"/>
      <c r="E59" s="105">
        <f>-Capex!F8</f>
        <v>0</v>
      </c>
      <c r="F59" s="405">
        <f>-Capex!G8</f>
        <v>0</v>
      </c>
      <c r="G59" s="405">
        <f>-Capex!H8</f>
        <v>0</v>
      </c>
      <c r="H59" s="405">
        <f>-Capex!I8</f>
        <v>0</v>
      </c>
      <c r="I59" s="405">
        <f>-Capex!J8</f>
        <v>0</v>
      </c>
      <c r="J59" s="405">
        <f ca="1">-Capex!K8</f>
        <v>0</v>
      </c>
      <c r="K59" s="405">
        <f>-Capex!L8</f>
        <v>0</v>
      </c>
      <c r="L59" s="405">
        <f>-Capex!M8</f>
        <v>0</v>
      </c>
      <c r="M59" s="405">
        <f>-Capex!N8</f>
        <v>0</v>
      </c>
      <c r="N59" s="405">
        <f>-Capex!O8</f>
        <v>0</v>
      </c>
      <c r="O59" s="405">
        <f ca="1">-Capex!P8</f>
        <v>0</v>
      </c>
      <c r="P59" s="405">
        <f>-Capex!Q8</f>
        <v>0</v>
      </c>
      <c r="Q59" s="405">
        <f>-Capex!R8</f>
        <v>0</v>
      </c>
      <c r="R59" s="112">
        <f>-Capex!S8</f>
        <v>0</v>
      </c>
      <c r="S59" s="112">
        <f>-Capex!T8</f>
        <v>0</v>
      </c>
      <c r="T59" s="112">
        <f ca="1">-Capex!U8</f>
        <v>0</v>
      </c>
      <c r="U59" s="112">
        <f>-Capex!V8</f>
        <v>0</v>
      </c>
      <c r="V59" s="112">
        <f>-Capex!W8</f>
        <v>0</v>
      </c>
      <c r="W59" s="112">
        <f>-Capex!X8</f>
        <v>0</v>
      </c>
      <c r="X59" s="112">
        <f>-Capex!Y8</f>
        <v>0</v>
      </c>
      <c r="Y59" s="112">
        <f ca="1">-Capex!Z8</f>
        <v>0</v>
      </c>
      <c r="Z59" s="112">
        <f>-Capex!AA8</f>
        <v>0</v>
      </c>
      <c r="AA59" s="112">
        <f>-Capex!AB8</f>
        <v>0</v>
      </c>
      <c r="AB59" s="112">
        <f>-Capex!AC8</f>
        <v>0</v>
      </c>
      <c r="AC59" s="112">
        <f>-Capex!AD8</f>
        <v>0</v>
      </c>
      <c r="AD59" s="112">
        <f ca="1">-Capex!AE8</f>
        <v>0</v>
      </c>
      <c r="AE59" s="112">
        <f>-Capex!AF8</f>
        <v>0</v>
      </c>
      <c r="AF59" s="112">
        <f>-Capex!AG8</f>
        <v>0</v>
      </c>
      <c r="AG59" s="112">
        <f>-Capex!AH8</f>
        <v>0</v>
      </c>
      <c r="AH59" s="112">
        <f>-Capex!AI8</f>
        <v>0</v>
      </c>
      <c r="AI59" s="112">
        <f ca="1">-Capex!AJ8</f>
        <v>0</v>
      </c>
      <c r="AJ59" s="112">
        <f>-Capex!AK8</f>
        <v>0</v>
      </c>
      <c r="AK59" s="112">
        <f>-Capex!AL8</f>
        <v>0</v>
      </c>
      <c r="AL59" s="112">
        <f>-Capex!AM8</f>
        <v>0</v>
      </c>
      <c r="AM59" s="112">
        <f>-Capex!AN8</f>
        <v>0</v>
      </c>
      <c r="AN59" s="112">
        <f>-Capex!AO8</f>
        <v>0</v>
      </c>
    </row>
    <row r="60" spans="2:40" ht="15.6" customHeight="1">
      <c r="B60" s="356"/>
      <c r="C60" s="200" t="s">
        <v>302</v>
      </c>
      <c r="D60" s="200"/>
      <c r="E60" s="105">
        <v>0</v>
      </c>
      <c r="F60" s="405">
        <v>0</v>
      </c>
      <c r="G60" s="405">
        <v>0</v>
      </c>
      <c r="H60" s="405">
        <v>0</v>
      </c>
      <c r="I60" s="405">
        <v>0</v>
      </c>
      <c r="J60" s="405">
        <v>0</v>
      </c>
      <c r="K60" s="405">
        <v>0</v>
      </c>
      <c r="L60" s="405">
        <v>0</v>
      </c>
      <c r="M60" s="405">
        <v>0</v>
      </c>
      <c r="N60" s="405">
        <v>0</v>
      </c>
      <c r="O60" s="405">
        <v>0</v>
      </c>
      <c r="P60" s="405">
        <v>0</v>
      </c>
      <c r="Q60" s="405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</row>
    <row r="61" spans="2:40" ht="15.6" customHeight="1">
      <c r="B61" s="356"/>
      <c r="C61" s="200" t="s">
        <v>303</v>
      </c>
      <c r="D61" s="200"/>
      <c r="E61" s="105">
        <f>Capex!F30*'Premissas Gerais'!$H$18</f>
        <v>0</v>
      </c>
      <c r="F61" s="405">
        <f>Capex!G30*'Premissas Gerais'!$H$18</f>
        <v>1750000.0000000002</v>
      </c>
      <c r="G61" s="405">
        <f>IF(Capex!H7=0,'Premissas Gerais'!$G$18-SUM('Demonstrações Financeiras '!$F$61:F61),IF(SUM('Demonstrações Financeiras '!$F$61:F61)='Premissas Gerais'!$G$18,0,IF('Premissas Gerais'!$G$18-SUM('Demonstrações Financeiras '!$F$61:F61)&gt;Capex!H7*'Premissas Gerais'!$H$18,Capex!H7*'Premissas Gerais'!$H$18,'Premissas Gerais'!$G$18-SUM('Demonstrações Financeiras '!$F$61:F61))))</f>
        <v>1749999.9999999998</v>
      </c>
      <c r="H61" s="405">
        <f>IF(Capex!I7=0,'Premissas Gerais'!$G$18-SUM('Demonstrações Financeiras '!$F$61:G61),IF(SUM('Demonstrações Financeiras '!$F$61:G61)='Premissas Gerais'!$G$18,0,IF('Premissas Gerais'!$G$18-SUM('Demonstrações Financeiras '!$F$61:G61)&gt;Capex!I7*'Premissas Gerais'!$H$18,Capex!I7*'Premissas Gerais'!$H$18,'Premissas Gerais'!$G$18-SUM('Demonstrações Financeiras '!$F$61:G61))))</f>
        <v>0</v>
      </c>
      <c r="I61" s="405">
        <f>IF(Capex!J7=0,'Premissas Gerais'!$G$18-SUM('Demonstrações Financeiras '!$F$61:H61),IF(SUM('Demonstrações Financeiras '!$F$61:H61)='Premissas Gerais'!$G$18,0,IF('Premissas Gerais'!$G$18-SUM('Demonstrações Financeiras '!$F$61:H61)&gt;Capex!J7*'Premissas Gerais'!$H$18,Capex!J7*'Premissas Gerais'!$H$18,'Premissas Gerais'!$G$18-SUM('Demonstrações Financeiras '!$F$61:H61))))</f>
        <v>0</v>
      </c>
      <c r="J61" s="405">
        <f>IF(Capex!K7=0,'Premissas Gerais'!$G$18-SUM('Demonstrações Financeiras '!$F$61:I61),IF(SUM('Demonstrações Financeiras '!$F$61:I61)='Premissas Gerais'!$G$18,0,IF('Premissas Gerais'!$G$18-SUM('Demonstrações Financeiras '!$F$61:I61)&gt;Capex!K7*'Premissas Gerais'!$H$18,Capex!K7*'Premissas Gerais'!$H$18,'Premissas Gerais'!$G$18-SUM('Demonstrações Financeiras '!$F$61:I61))))</f>
        <v>0</v>
      </c>
      <c r="K61" s="405">
        <f>IF(Capex!L7=0,'Premissas Gerais'!$G$18-SUM('Demonstrações Financeiras '!$F$61:J61),IF(SUM('Demonstrações Financeiras '!$F$61:J61)='Premissas Gerais'!$G$18,0,IF('Premissas Gerais'!$G$18-SUM('Demonstrações Financeiras '!$F$61:J61)&gt;Capex!L7*'Premissas Gerais'!$H$18,Capex!L7*'Premissas Gerais'!$H$18,'Premissas Gerais'!$G$18-SUM('Demonstrações Financeiras '!$F$61:J61))))</f>
        <v>0</v>
      </c>
      <c r="L61" s="405">
        <f>IF(Capex!M7=0,'Premissas Gerais'!$G$18-SUM('Demonstrações Financeiras '!$F$61:K61),IF(SUM('Demonstrações Financeiras '!$F$61:K61)='Premissas Gerais'!$G$18,0,IF('Premissas Gerais'!$G$18-SUM('Demonstrações Financeiras '!$F$61:K61)&gt;Capex!M7*'Premissas Gerais'!$H$18,Capex!M7*'Premissas Gerais'!$H$18,'Premissas Gerais'!$G$18-SUM('Demonstrações Financeiras '!$F$61:K61))))</f>
        <v>0</v>
      </c>
      <c r="M61" s="405">
        <f>IF(Capex!N7=0,'Premissas Gerais'!$G$18-SUM('Demonstrações Financeiras '!$F$61:L61),IF(SUM('Demonstrações Financeiras '!$F$61:L61)='Premissas Gerais'!$G$18,0,IF('Premissas Gerais'!$G$18-SUM('Demonstrações Financeiras '!$F$61:L61)&gt;Capex!N7*'Premissas Gerais'!$H$18,Capex!N7*'Premissas Gerais'!$H$18,'Premissas Gerais'!$G$18-SUM('Demonstrações Financeiras '!$F$61:L61))))</f>
        <v>0</v>
      </c>
      <c r="N61" s="405">
        <f>IF(Capex!O7=0,'Premissas Gerais'!$G$18-SUM('Demonstrações Financeiras '!$F$61:M61),IF(SUM('Demonstrações Financeiras '!$F$61:M61)='Premissas Gerais'!$G$18,0,IF('Premissas Gerais'!$G$18-SUM('Demonstrações Financeiras '!$F$61:M61)&gt;Capex!O7*'Premissas Gerais'!$H$18,Capex!O7*'Premissas Gerais'!$H$18,'Premissas Gerais'!$G$18-SUM('Demonstrações Financeiras '!$F$61:M61))))</f>
        <v>0</v>
      </c>
      <c r="O61" s="405">
        <f>IF(Capex!P7=0,'Premissas Gerais'!$G$18-SUM('Demonstrações Financeiras '!$F$61:N61),IF(SUM('Demonstrações Financeiras '!$F$61:N61)='Premissas Gerais'!$G$18,0,IF('Premissas Gerais'!$G$18-SUM('Demonstrações Financeiras '!$F$61:N61)&gt;Capex!P7*'Premissas Gerais'!$H$18,Capex!P7*'Premissas Gerais'!$H$18,'Premissas Gerais'!$G$18-SUM('Demonstrações Financeiras '!$F$61:N61))))</f>
        <v>0</v>
      </c>
      <c r="P61" s="405">
        <f>IF(Capex!Q7=0,'Premissas Gerais'!$G$18-SUM('Demonstrações Financeiras '!$F$61:O61),IF(SUM('Demonstrações Financeiras '!$F$61:O61)='Premissas Gerais'!$G$18,0,IF('Premissas Gerais'!$G$18-SUM('Demonstrações Financeiras '!$F$61:O61)&gt;Capex!Q7*'Premissas Gerais'!$H$18,Capex!Q7*'Premissas Gerais'!$H$18,'Premissas Gerais'!$G$18-SUM('Demonstrações Financeiras '!$F$61:O61))))</f>
        <v>0</v>
      </c>
      <c r="Q61" s="405">
        <f>IF(Capex!R7=0,'Premissas Gerais'!$G$18-SUM('Demonstrações Financeiras '!$F$61:P61),IF(SUM('Demonstrações Financeiras '!$F$61:P61)='Premissas Gerais'!$G$18,0,IF('Premissas Gerais'!$G$18-SUM('Demonstrações Financeiras '!$F$61:P61)&gt;Capex!R7*'Premissas Gerais'!$H$18,Capex!R7*'Premissas Gerais'!$H$18,'Premissas Gerais'!$G$18-SUM('Demonstrações Financeiras '!$F$61:P61))))</f>
        <v>0</v>
      </c>
      <c r="R61" s="112">
        <f>IF(Capex!S7=0,'Premissas Gerais'!$G$18-SUM('Demonstrações Financeiras '!$F$61:Q61),IF(SUM('Demonstrações Financeiras '!$F$61:Q61)='Premissas Gerais'!$G$18,0,IF('Premissas Gerais'!$G$18-SUM('Demonstrações Financeiras '!$F$61:Q61)&gt;Capex!S7*'Premissas Gerais'!$H$18,Capex!S7*'Premissas Gerais'!$H$18,'Premissas Gerais'!$G$18-SUM('Demonstrações Financeiras '!$F$61:Q61))))</f>
        <v>0</v>
      </c>
      <c r="S61" s="112">
        <f>IF(Capex!T7=0,'Premissas Gerais'!$G$18-SUM('Demonstrações Financeiras '!$F$61:R61),IF(SUM('Demonstrações Financeiras '!$F$61:R61)='Premissas Gerais'!$G$18,0,IF('Premissas Gerais'!$G$18-SUM('Demonstrações Financeiras '!$F$61:R61)&gt;Capex!T7*'Premissas Gerais'!$H$18,Capex!T7*'Premissas Gerais'!$H$18,'Premissas Gerais'!$G$18-SUM('Demonstrações Financeiras '!$F$61:R61))))</f>
        <v>0</v>
      </c>
      <c r="T61" s="112">
        <f>IF(Capex!U7=0,'Premissas Gerais'!$G$18-SUM('Demonstrações Financeiras '!$F$61:S61),IF(SUM('Demonstrações Financeiras '!$F$61:S61)='Premissas Gerais'!$G$18,0,IF('Premissas Gerais'!$G$18-SUM('Demonstrações Financeiras '!$F$61:S61)&gt;Capex!U7*'Premissas Gerais'!$H$18,Capex!U7*'Premissas Gerais'!$H$18,'Premissas Gerais'!$G$18-SUM('Demonstrações Financeiras '!$F$61:S61))))</f>
        <v>0</v>
      </c>
      <c r="U61" s="112">
        <f>IF(Capex!V7=0,'Premissas Gerais'!$G$18-SUM('Demonstrações Financeiras '!$F$61:T61),IF(SUM('Demonstrações Financeiras '!$F$61:T61)='Premissas Gerais'!$G$18,0,IF('Premissas Gerais'!$G$18-SUM('Demonstrações Financeiras '!$F$61:T61)&gt;Capex!V7*'Premissas Gerais'!$H$18,Capex!V7*'Premissas Gerais'!$H$18,'Premissas Gerais'!$G$18-SUM('Demonstrações Financeiras '!$F$61:T61))))</f>
        <v>0</v>
      </c>
      <c r="V61" s="112">
        <f>IF(Capex!W7=0,'Premissas Gerais'!$G$18-SUM('Demonstrações Financeiras '!$F$61:U61),IF(SUM('Demonstrações Financeiras '!$F$61:U61)='Premissas Gerais'!$G$18,0,IF('Premissas Gerais'!$G$18-SUM('Demonstrações Financeiras '!$F$61:U61)&gt;Capex!W7*'Premissas Gerais'!$H$18,Capex!W7*'Premissas Gerais'!$H$18,'Premissas Gerais'!$G$18-SUM('Demonstrações Financeiras '!$F$61:U61))))</f>
        <v>0</v>
      </c>
      <c r="W61" s="112">
        <f>IF(Capex!X7=0,'Premissas Gerais'!$G$18-SUM('Demonstrações Financeiras '!$F$61:V61),IF(SUM('Demonstrações Financeiras '!$F$61:V61)='Premissas Gerais'!$G$18,0,IF('Premissas Gerais'!$G$18-SUM('Demonstrações Financeiras '!$F$61:V61)&gt;Capex!X7*'Premissas Gerais'!$H$18,Capex!X7*'Premissas Gerais'!$H$18,'Premissas Gerais'!$G$18-SUM('Demonstrações Financeiras '!$F$61:V61))))</f>
        <v>0</v>
      </c>
      <c r="X61" s="112">
        <f>IF(Capex!Y7=0,'Premissas Gerais'!$G$18-SUM('Demonstrações Financeiras '!$F$61:W61),IF(SUM('Demonstrações Financeiras '!$F$61:W61)='Premissas Gerais'!$G$18,0,IF('Premissas Gerais'!$G$18-SUM('Demonstrações Financeiras '!$F$61:W61)&gt;Capex!Y7*'Premissas Gerais'!$H$18,Capex!Y7*'Premissas Gerais'!$H$18,'Premissas Gerais'!$G$18-SUM('Demonstrações Financeiras '!$F$61:W61))))</f>
        <v>0</v>
      </c>
      <c r="Y61" s="112">
        <f>IF(Capex!Z7=0,'Premissas Gerais'!$G$18-SUM('Demonstrações Financeiras '!$F$61:X61),IF(SUM('Demonstrações Financeiras '!$F$61:X61)='Premissas Gerais'!$G$18,0,IF('Premissas Gerais'!$G$18-SUM('Demonstrações Financeiras '!$F$61:X61)&gt;Capex!Z7*'Premissas Gerais'!$H$18,Capex!Z7*'Premissas Gerais'!$H$18,'Premissas Gerais'!$G$18-SUM('Demonstrações Financeiras '!$F$61:X61))))</f>
        <v>0</v>
      </c>
      <c r="Z61" s="112">
        <f>IF(Capex!AA7=0,'Premissas Gerais'!$G$18-SUM('Demonstrações Financeiras '!$F$61:Y61),IF(SUM('Demonstrações Financeiras '!$F$61:Y61)='Premissas Gerais'!$G$18,0,IF('Premissas Gerais'!$G$18-SUM('Demonstrações Financeiras '!$F$61:Y61)&gt;Capex!AA7*'Premissas Gerais'!$H$18,Capex!AA7*'Premissas Gerais'!$H$18,'Premissas Gerais'!$G$18-SUM('Demonstrações Financeiras '!$F$61:Y61))))</f>
        <v>0</v>
      </c>
      <c r="AA61" s="112">
        <f>IF(Capex!AB7=0,'Premissas Gerais'!$G$18-SUM('Demonstrações Financeiras '!$F$61:Z61),IF(SUM('Demonstrações Financeiras '!$F$61:Z61)='Premissas Gerais'!$G$18,0,IF('Premissas Gerais'!$G$18-SUM('Demonstrações Financeiras '!$F$61:Z61)&gt;Capex!AB7*'Premissas Gerais'!$H$18,Capex!AB7*'Premissas Gerais'!$H$18,'Premissas Gerais'!$G$18-SUM('Demonstrações Financeiras '!$F$61:Z61))))</f>
        <v>0</v>
      </c>
      <c r="AB61" s="112">
        <f>IF(Capex!AC7=0,'Premissas Gerais'!$G$18-SUM('Demonstrações Financeiras '!$F$61:AA61),IF(SUM('Demonstrações Financeiras '!$F$61:AA61)='Premissas Gerais'!$G$18,0,IF('Premissas Gerais'!$G$18-SUM('Demonstrações Financeiras '!$F$61:AA61)&gt;Capex!AC7*'Premissas Gerais'!$H$18,Capex!AC7*'Premissas Gerais'!$H$18,'Premissas Gerais'!$G$18-SUM('Demonstrações Financeiras '!$F$61:AA61))))</f>
        <v>0</v>
      </c>
      <c r="AC61" s="112">
        <f>IF(Capex!AD7=0,'Premissas Gerais'!$G$18-SUM('Demonstrações Financeiras '!$F$61:AB61),IF(SUM('Demonstrações Financeiras '!$F$61:AB61)='Premissas Gerais'!$G$18,0,IF('Premissas Gerais'!$G$18-SUM('Demonstrações Financeiras '!$F$61:AB61)&gt;Capex!AD7*'Premissas Gerais'!$H$18,Capex!AD7*'Premissas Gerais'!$H$18,'Premissas Gerais'!$G$18-SUM('Demonstrações Financeiras '!$F$61:AB61))))</f>
        <v>0</v>
      </c>
      <c r="AD61" s="112">
        <f>IF(Capex!AE7=0,'Premissas Gerais'!$G$18-SUM('Demonstrações Financeiras '!$F$61:AC61),IF(SUM('Demonstrações Financeiras '!$F$61:AC61)='Premissas Gerais'!$G$18,0,IF('Premissas Gerais'!$G$18-SUM('Demonstrações Financeiras '!$F$61:AC61)&gt;Capex!AE7*'Premissas Gerais'!$H$18,Capex!AE7*'Premissas Gerais'!$H$18,'Premissas Gerais'!$G$18-SUM('Demonstrações Financeiras '!$F$61:AC61))))</f>
        <v>0</v>
      </c>
      <c r="AE61" s="112">
        <f>IF(Capex!AF7=0,'Premissas Gerais'!$G$18-SUM('Demonstrações Financeiras '!$F$61:AD61),IF(SUM('Demonstrações Financeiras '!$F$61:AD61)='Premissas Gerais'!$G$18,0,IF('Premissas Gerais'!$G$18-SUM('Demonstrações Financeiras '!$F$61:AD61)&gt;Capex!AF7*'Premissas Gerais'!$H$18,Capex!AF7*'Premissas Gerais'!$H$18,'Premissas Gerais'!$G$18-SUM('Demonstrações Financeiras '!$F$61:AD61))))</f>
        <v>0</v>
      </c>
      <c r="AF61" s="112">
        <f>IF(Capex!AG7=0,'Premissas Gerais'!$G$18-SUM('Demonstrações Financeiras '!$F$61:AE61),IF(SUM('Demonstrações Financeiras '!$F$61:AE61)='Premissas Gerais'!$G$18,0,IF('Premissas Gerais'!$G$18-SUM('Demonstrações Financeiras '!$F$61:AE61)&gt;Capex!AG7*'Premissas Gerais'!$H$18,Capex!AG7*'Premissas Gerais'!$H$18,'Premissas Gerais'!$G$18-SUM('Demonstrações Financeiras '!$F$61:AE61))))</f>
        <v>0</v>
      </c>
      <c r="AG61" s="112">
        <f>IF(Capex!AH7=0,'Premissas Gerais'!$G$18-SUM('Demonstrações Financeiras '!$F$61:AF61),IF(SUM('Demonstrações Financeiras '!$F$61:AF61)='Premissas Gerais'!$G$18,0,IF('Premissas Gerais'!$G$18-SUM('Demonstrações Financeiras '!$F$61:AF61)&gt;Capex!AH7*'Premissas Gerais'!$H$18,Capex!AH7*'Premissas Gerais'!$H$18,'Premissas Gerais'!$G$18-SUM('Demonstrações Financeiras '!$F$61:AF61))))</f>
        <v>0</v>
      </c>
      <c r="AH61" s="112">
        <f>IF(Capex!AI7=0,'Premissas Gerais'!$G$18-SUM('Demonstrações Financeiras '!$F$61:AG61),IF(SUM('Demonstrações Financeiras '!$F$61:AG61)='Premissas Gerais'!$G$18,0,IF('Premissas Gerais'!$G$18-SUM('Demonstrações Financeiras '!$F$61:AG61)&gt;Capex!AI7*'Premissas Gerais'!$H$18,Capex!AI7*'Premissas Gerais'!$H$18,'Premissas Gerais'!$G$18-SUM('Demonstrações Financeiras '!$F$61:AG61))))</f>
        <v>0</v>
      </c>
      <c r="AI61" s="112">
        <f>IF(Capex!AJ7=0,'Premissas Gerais'!$G$18-SUM('Demonstrações Financeiras '!$F$61:AH61),IF(SUM('Demonstrações Financeiras '!$F$61:AH61)='Premissas Gerais'!$G$18,0,IF('Premissas Gerais'!$G$18-SUM('Demonstrações Financeiras '!$F$61:AH61)&gt;Capex!AJ7*'Premissas Gerais'!$H$18,Capex!AJ7*'Premissas Gerais'!$H$18,'Premissas Gerais'!$G$18-SUM('Demonstrações Financeiras '!$F$61:AH61))))</f>
        <v>0</v>
      </c>
      <c r="AJ61" s="112">
        <f>IF(Capex!AK7=0,'Premissas Gerais'!$G$18-SUM('Demonstrações Financeiras '!$F$61:AI61),IF(SUM('Demonstrações Financeiras '!$F$61:AI61)='Premissas Gerais'!$G$18,0,IF('Premissas Gerais'!$G$18-SUM('Demonstrações Financeiras '!$F$61:AI61)&gt;Capex!AK7*'Premissas Gerais'!$H$18,Capex!AK7*'Premissas Gerais'!$H$18,'Premissas Gerais'!$G$18-SUM('Demonstrações Financeiras '!$F$61:AI61))))</f>
        <v>0</v>
      </c>
      <c r="AK61" s="112">
        <f>IF(Capex!AL7=0,'Premissas Gerais'!$G$18-SUM('Demonstrações Financeiras '!$F$61:AJ61),IF(SUM('Demonstrações Financeiras '!$F$61:AJ61)='Premissas Gerais'!$G$18,0,IF('Premissas Gerais'!$G$18-SUM('Demonstrações Financeiras '!$F$61:AJ61)&gt;Capex!AL7*'Premissas Gerais'!$H$18,Capex!AL7*'Premissas Gerais'!$H$18,'Premissas Gerais'!$G$18-SUM('Demonstrações Financeiras '!$F$61:AJ61))))</f>
        <v>0</v>
      </c>
      <c r="AL61" s="112">
        <f>IF(Capex!AM7=0,'Premissas Gerais'!$G$18-SUM('Demonstrações Financeiras '!$F$61:AK61),IF(SUM('Demonstrações Financeiras '!$F$61:AK61)='Premissas Gerais'!$G$18,0,IF('Premissas Gerais'!$G$18-SUM('Demonstrações Financeiras '!$F$61:AK61)&gt;Capex!AM7*'Premissas Gerais'!$H$18,Capex!AM7*'Premissas Gerais'!$H$18,'Premissas Gerais'!$G$18-SUM('Demonstrações Financeiras '!$F$61:AK61))))</f>
        <v>0</v>
      </c>
      <c r="AM61" s="112">
        <f>IF(Capex!AN7=0,'Premissas Gerais'!$G$18-SUM('Demonstrações Financeiras '!$F$61:AL61),IF(SUM('Demonstrações Financeiras '!$F$61:AL61)='Premissas Gerais'!$G$18,0,IF('Premissas Gerais'!$G$18-SUM('Demonstrações Financeiras '!$F$61:AL61)&gt;Capex!AN7*'Premissas Gerais'!$H$18,Capex!AN7*'Premissas Gerais'!$H$18,'Premissas Gerais'!$G$18-SUM('Demonstrações Financeiras '!$F$61:AL61))))</f>
        <v>0</v>
      </c>
      <c r="AN61" s="112">
        <f>IF(Capex!AO7=0,'Premissas Gerais'!$G$18-SUM('Demonstrações Financeiras '!$F$61:AM61),IF(SUM('Demonstrações Financeiras '!$F$61:AM61)='Premissas Gerais'!$G$18,0,IF('Premissas Gerais'!$G$18-SUM('Demonstrações Financeiras '!$F$61:AM61)&gt;Capex!AO7*'Premissas Gerais'!$H$18,Capex!AO7*'Premissas Gerais'!$H$18,'Premissas Gerais'!$G$18-SUM('Demonstrações Financeiras '!$F$61:AM61))))</f>
        <v>0</v>
      </c>
    </row>
    <row r="62" spans="2:40" ht="15.6" customHeight="1">
      <c r="B62" s="356"/>
      <c r="C62" s="197" t="s">
        <v>304</v>
      </c>
      <c r="D62" s="197"/>
      <c r="E62" s="195">
        <f>-E72+D72</f>
        <v>0</v>
      </c>
      <c r="F62" s="403">
        <f>-F72</f>
        <v>1178.1365022000002</v>
      </c>
      <c r="G62" s="403">
        <f>-G72+F72</f>
        <v>140.93069660000015</v>
      </c>
      <c r="H62" s="403">
        <f ca="1">-H72+G72</f>
        <v>-117247.9231027924</v>
      </c>
      <c r="I62" s="403">
        <f t="shared" ref="I62:AN62" ca="1" si="24">-I72+H72</f>
        <v>0</v>
      </c>
      <c r="J62" s="403">
        <f t="shared" ca="1" si="24"/>
        <v>-11691.319325903431</v>
      </c>
      <c r="K62" s="403">
        <f t="shared" ca="1" si="24"/>
        <v>0</v>
      </c>
      <c r="L62" s="403">
        <f t="shared" ca="1" si="24"/>
        <v>0</v>
      </c>
      <c r="M62" s="403">
        <f t="shared" ca="1" si="24"/>
        <v>0</v>
      </c>
      <c r="N62" s="403">
        <f t="shared" ca="1" si="24"/>
        <v>0</v>
      </c>
      <c r="O62" s="403">
        <f t="shared" ca="1" si="24"/>
        <v>0</v>
      </c>
      <c r="P62" s="403">
        <f t="shared" ca="1" si="24"/>
        <v>0</v>
      </c>
      <c r="Q62" s="403">
        <f t="shared" ca="1" si="24"/>
        <v>-293.07477983177523</v>
      </c>
      <c r="R62" s="404">
        <f t="shared" ca="1" si="24"/>
        <v>2.1292399627127452</v>
      </c>
      <c r="S62" s="404">
        <f t="shared" ca="1" si="24"/>
        <v>0</v>
      </c>
      <c r="T62" s="404">
        <f t="shared" ca="1" si="24"/>
        <v>-5405.0360000000073</v>
      </c>
      <c r="U62" s="404">
        <f t="shared" ca="1" si="24"/>
        <v>0</v>
      </c>
      <c r="V62" s="404">
        <f t="shared" ca="1" si="24"/>
        <v>0</v>
      </c>
      <c r="W62" s="404">
        <f t="shared" ca="1" si="24"/>
        <v>0</v>
      </c>
      <c r="X62" s="404">
        <f t="shared" ca="1" si="24"/>
        <v>0</v>
      </c>
      <c r="Y62" s="404">
        <f t="shared" ca="1" si="24"/>
        <v>0</v>
      </c>
      <c r="Z62" s="404">
        <f t="shared" ca="1" si="24"/>
        <v>0</v>
      </c>
      <c r="AA62" s="404">
        <f t="shared" ca="1" si="24"/>
        <v>0</v>
      </c>
      <c r="AB62" s="404">
        <f t="shared" ca="1" si="24"/>
        <v>0</v>
      </c>
      <c r="AC62" s="404">
        <f t="shared" ca="1" si="24"/>
        <v>0</v>
      </c>
      <c r="AD62" s="404">
        <f t="shared" ca="1" si="24"/>
        <v>0</v>
      </c>
      <c r="AE62" s="404">
        <f t="shared" ca="1" si="24"/>
        <v>0</v>
      </c>
      <c r="AF62" s="404">
        <f t="shared" ca="1" si="24"/>
        <v>0</v>
      </c>
      <c r="AG62" s="404">
        <f t="shared" ca="1" si="24"/>
        <v>0</v>
      </c>
      <c r="AH62" s="404">
        <f t="shared" ca="1" si="24"/>
        <v>0</v>
      </c>
      <c r="AI62" s="404">
        <f t="shared" ca="1" si="24"/>
        <v>0</v>
      </c>
      <c r="AJ62" s="404">
        <f t="shared" ca="1" si="24"/>
        <v>0</v>
      </c>
      <c r="AK62" s="404">
        <f t="shared" ca="1" si="24"/>
        <v>0</v>
      </c>
      <c r="AL62" s="404">
        <f t="shared" ca="1" si="24"/>
        <v>0</v>
      </c>
      <c r="AM62" s="404">
        <f t="shared" ca="1" si="24"/>
        <v>0</v>
      </c>
      <c r="AN62" s="404">
        <f t="shared" ca="1" si="24"/>
        <v>0</v>
      </c>
    </row>
    <row r="63" spans="2:40" ht="15.6" customHeight="1">
      <c r="B63" s="356"/>
      <c r="C63" s="197" t="s">
        <v>305</v>
      </c>
      <c r="D63" s="197"/>
      <c r="E63" s="195">
        <f>E23</f>
        <v>0</v>
      </c>
      <c r="F63" s="403">
        <f t="shared" ref="F63:AN63" si="25">F23</f>
        <v>0</v>
      </c>
      <c r="G63" s="403">
        <f t="shared" si="25"/>
        <v>0</v>
      </c>
      <c r="H63" s="403">
        <f>H23</f>
        <v>0</v>
      </c>
      <c r="I63" s="403">
        <f>I23</f>
        <v>0</v>
      </c>
      <c r="J63" s="403">
        <f t="shared" si="25"/>
        <v>0</v>
      </c>
      <c r="K63" s="403">
        <f t="shared" ca="1" si="25"/>
        <v>-229281.44373805908</v>
      </c>
      <c r="L63" s="403">
        <f t="shared" ca="1" si="25"/>
        <v>-210174.65675988747</v>
      </c>
      <c r="M63" s="403">
        <f t="shared" ca="1" si="25"/>
        <v>-191067.86978171588</v>
      </c>
      <c r="N63" s="403">
        <f t="shared" ca="1" si="25"/>
        <v>-171961.0828035443</v>
      </c>
      <c r="O63" s="403">
        <f t="shared" ca="1" si="25"/>
        <v>-152854.29582537271</v>
      </c>
      <c r="P63" s="403">
        <f t="shared" ca="1" si="25"/>
        <v>-133747.5088472011</v>
      </c>
      <c r="Q63" s="403">
        <f t="shared" ca="1" si="25"/>
        <v>-114640.72186902951</v>
      </c>
      <c r="R63" s="404">
        <f t="shared" ca="1" si="25"/>
        <v>-95533.934890857927</v>
      </c>
      <c r="S63" s="404">
        <f t="shared" ca="1" si="25"/>
        <v>-76427.147912686327</v>
      </c>
      <c r="T63" s="404">
        <f t="shared" ca="1" si="25"/>
        <v>-57320.360934514742</v>
      </c>
      <c r="U63" s="404">
        <f t="shared" ca="1" si="25"/>
        <v>-38213.573956343149</v>
      </c>
      <c r="V63" s="404">
        <f t="shared" ca="1" si="25"/>
        <v>-19106.78697817156</v>
      </c>
      <c r="W63" s="404">
        <f t="shared" ca="1" si="25"/>
        <v>3.0960771255195185E-11</v>
      </c>
      <c r="X63" s="404">
        <f t="shared" ca="1" si="25"/>
        <v>3.3313356419792446E-11</v>
      </c>
      <c r="Y63" s="404">
        <f t="shared" ca="1" si="25"/>
        <v>3.58447051207068E-11</v>
      </c>
      <c r="Z63" s="404">
        <f t="shared" ca="1" si="25"/>
        <v>3.8568400884008828E-11</v>
      </c>
      <c r="AA63" s="404">
        <f t="shared" ca="1" si="25"/>
        <v>4.1499059393581135E-11</v>
      </c>
      <c r="AB63" s="404">
        <f t="shared" ca="1" si="25"/>
        <v>4.4652406920661795E-11</v>
      </c>
      <c r="AC63" s="404">
        <f t="shared" ca="1" si="25"/>
        <v>4.8045364712935206E-11</v>
      </c>
      <c r="AD63" s="404">
        <f t="shared" ca="1" si="25"/>
        <v>5.1696139796012305E-11</v>
      </c>
      <c r="AE63" s="404">
        <f t="shared" ca="1" si="25"/>
        <v>5.56243226745521E-11</v>
      </c>
      <c r="AF63" s="404">
        <f t="shared" ca="1" si="25"/>
        <v>5.985099245730062E-11</v>
      </c>
      <c r="AG63" s="404">
        <f t="shared" ca="1" si="25"/>
        <v>6.4398829970161077E-11</v>
      </c>
      <c r="AH63" s="404">
        <f t="shared" ca="1" si="25"/>
        <v>6.9292239464273737E-11</v>
      </c>
      <c r="AI63" s="404">
        <f t="shared" ca="1" si="25"/>
        <v>7.4557479572206051E-11</v>
      </c>
      <c r="AJ63" s="404">
        <f t="shared" ca="1" si="25"/>
        <v>8.0222804214979716E-11</v>
      </c>
      <c r="AK63" s="404">
        <f t="shared" ca="1" si="25"/>
        <v>8.6318614216059169E-11</v>
      </c>
      <c r="AL63" s="404">
        <f t="shared" ca="1" si="25"/>
        <v>9.2877620435880642E-11</v>
      </c>
      <c r="AM63" s="404">
        <f t="shared" ca="1" si="25"/>
        <v>9.9935019302321492E-11</v>
      </c>
      <c r="AN63" s="404">
        <f t="shared" ca="1" si="25"/>
        <v>1.075286816790277E-10</v>
      </c>
    </row>
    <row r="64" spans="2:40" ht="15.6" customHeight="1">
      <c r="B64" s="356"/>
      <c r="C64" s="201" t="s">
        <v>306</v>
      </c>
      <c r="D64" s="201"/>
      <c r="E64" s="190">
        <f>E27-E73+D73</f>
        <v>0</v>
      </c>
      <c r="F64" s="406">
        <f>F27-F73</f>
        <v>0</v>
      </c>
      <c r="G64" s="406">
        <f>G27-G73+F73</f>
        <v>0</v>
      </c>
      <c r="H64" s="406">
        <f>H27-H73+G73</f>
        <v>-334286.06986448652</v>
      </c>
      <c r="I64" s="406">
        <f t="shared" ref="I64:AN64" si="26">I27-I73+H73</f>
        <v>-334286.06986448652</v>
      </c>
      <c r="J64" s="406">
        <f t="shared" si="26"/>
        <v>-334286.06986448652</v>
      </c>
      <c r="K64" s="406">
        <f t="shared" si="26"/>
        <v>-334286.06986448652</v>
      </c>
      <c r="L64" s="406">
        <f t="shared" si="26"/>
        <v>-334286.06986448652</v>
      </c>
      <c r="M64" s="406">
        <f t="shared" si="26"/>
        <v>-334286.06986448652</v>
      </c>
      <c r="N64" s="406">
        <f t="shared" si="26"/>
        <v>-334286.06986448652</v>
      </c>
      <c r="O64" s="406">
        <f t="shared" si="26"/>
        <v>-334286.06986448652</v>
      </c>
      <c r="P64" s="406">
        <f t="shared" si="26"/>
        <v>-334286.06986448652</v>
      </c>
      <c r="Q64" s="406">
        <f t="shared" si="26"/>
        <v>-334704.94061713933</v>
      </c>
      <c r="R64" s="407">
        <f t="shared" si="26"/>
        <v>-334704.94061713933</v>
      </c>
      <c r="S64" s="407">
        <f t="shared" si="26"/>
        <v>-334704.94061713933</v>
      </c>
      <c r="T64" s="407">
        <f t="shared" si="26"/>
        <v>-334704.94061713933</v>
      </c>
      <c r="U64" s="407">
        <f t="shared" si="26"/>
        <v>-334704.94061713933</v>
      </c>
      <c r="V64" s="407">
        <f t="shared" si="26"/>
        <v>-334704.94061713933</v>
      </c>
      <c r="W64" s="407">
        <f t="shared" si="26"/>
        <v>-334704.94061713933</v>
      </c>
      <c r="X64" s="407">
        <f t="shared" si="26"/>
        <v>-334704.94061713933</v>
      </c>
      <c r="Y64" s="407">
        <f t="shared" si="26"/>
        <v>-334704.94061713933</v>
      </c>
      <c r="Z64" s="407">
        <f t="shared" si="26"/>
        <v>-334704.94061713933</v>
      </c>
      <c r="AA64" s="407">
        <f t="shared" si="26"/>
        <v>-334704.94061713933</v>
      </c>
      <c r="AB64" s="407">
        <f t="shared" si="26"/>
        <v>-334704.94061713933</v>
      </c>
      <c r="AC64" s="407">
        <f t="shared" si="26"/>
        <v>-334704.94061713933</v>
      </c>
      <c r="AD64" s="407">
        <f t="shared" si="26"/>
        <v>-334704.94061713933</v>
      </c>
      <c r="AE64" s="407">
        <f t="shared" si="26"/>
        <v>-334704.94061713933</v>
      </c>
      <c r="AF64" s="407">
        <f t="shared" si="26"/>
        <v>-334704.94061713933</v>
      </c>
      <c r="AG64" s="407">
        <f t="shared" si="26"/>
        <v>-334704.94061713933</v>
      </c>
      <c r="AH64" s="407">
        <f t="shared" si="26"/>
        <v>-334704.94061713933</v>
      </c>
      <c r="AI64" s="407">
        <f t="shared" si="26"/>
        <v>-334704.94061713933</v>
      </c>
      <c r="AJ64" s="407">
        <f t="shared" si="26"/>
        <v>-334704.94061713933</v>
      </c>
      <c r="AK64" s="407">
        <f t="shared" si="26"/>
        <v>-334704.94061713933</v>
      </c>
      <c r="AL64" s="407">
        <f t="shared" si="26"/>
        <v>-334704.94061713933</v>
      </c>
      <c r="AM64" s="407">
        <f t="shared" si="26"/>
        <v>-334704.94061713933</v>
      </c>
      <c r="AN64" s="407">
        <f t="shared" si="26"/>
        <v>-334704.94061713933</v>
      </c>
    </row>
    <row r="65" spans="1:42" ht="15.6" customHeight="1">
      <c r="B65" s="356"/>
      <c r="C65" s="197" t="s">
        <v>307</v>
      </c>
      <c r="D65" s="202"/>
      <c r="E65" s="195">
        <f>E55+E56+E62+E64+E63</f>
        <v>0</v>
      </c>
      <c r="F65" s="403">
        <f>F55+F56+F62+F64+F63</f>
        <v>-2000841.7905374004</v>
      </c>
      <c r="G65" s="403">
        <f>G55+G56+G62+G64+G63</f>
        <v>-2004415.748881801</v>
      </c>
      <c r="H65" s="403">
        <f t="shared" ref="H65:AM65" ca="1" si="27">H55+H56+H62+H64+H63</f>
        <v>374302.08467770816</v>
      </c>
      <c r="I65" s="403">
        <f t="shared" ca="1" si="27"/>
        <v>491550.00778050051</v>
      </c>
      <c r="J65" s="403">
        <f t="shared" ca="1" si="27"/>
        <v>609226.8963208585</v>
      </c>
      <c r="K65" s="403">
        <f ca="1">K55+K56+K62+K64+K63</f>
        <v>391636.77190870285</v>
      </c>
      <c r="L65" s="403">
        <f t="shared" ca="1" si="27"/>
        <v>410743.55888687447</v>
      </c>
      <c r="M65" s="403">
        <f t="shared" ca="1" si="27"/>
        <v>429850.34586504602</v>
      </c>
      <c r="N65" s="403">
        <f t="shared" ca="1" si="27"/>
        <v>448957.13284321764</v>
      </c>
      <c r="O65" s="403">
        <f t="shared" ca="1" si="27"/>
        <v>468063.91982138925</v>
      </c>
      <c r="P65" s="403">
        <f t="shared" ca="1" si="27"/>
        <v>487170.70679956081</v>
      </c>
      <c r="Q65" s="403">
        <f t="shared" ca="1" si="27"/>
        <v>509082.44560322905</v>
      </c>
      <c r="R65" s="404">
        <f t="shared" ca="1" si="27"/>
        <v>528446.11028186616</v>
      </c>
      <c r="S65" s="404">
        <f t="shared" ca="1" si="27"/>
        <v>547550.76802007505</v>
      </c>
      <c r="T65" s="404">
        <f t="shared" ca="1" si="27"/>
        <v>626112.95099824667</v>
      </c>
      <c r="U65" s="404">
        <f t="shared" ca="1" si="27"/>
        <v>650624.77397641831</v>
      </c>
      <c r="V65" s="404">
        <f t="shared" ca="1" si="27"/>
        <v>669731.56095458986</v>
      </c>
      <c r="W65" s="404">
        <f t="shared" ca="1" si="27"/>
        <v>688838.34793276142</v>
      </c>
      <c r="X65" s="404">
        <f t="shared" ca="1" si="27"/>
        <v>688838.34793276142</v>
      </c>
      <c r="Y65" s="404">
        <f t="shared" ca="1" si="27"/>
        <v>688838.34793276142</v>
      </c>
      <c r="Z65" s="404">
        <f t="shared" ca="1" si="27"/>
        <v>688838.34793276142</v>
      </c>
      <c r="AA65" s="404">
        <f t="shared" ca="1" si="27"/>
        <v>688838.34793276142</v>
      </c>
      <c r="AB65" s="404">
        <f t="shared" ca="1" si="27"/>
        <v>688838.34793276142</v>
      </c>
      <c r="AC65" s="404">
        <f t="shared" ca="1" si="27"/>
        <v>688838.34793276142</v>
      </c>
      <c r="AD65" s="404">
        <f t="shared" ca="1" si="27"/>
        <v>688838.34793276142</v>
      </c>
      <c r="AE65" s="404">
        <f t="shared" ca="1" si="27"/>
        <v>688838.34793276142</v>
      </c>
      <c r="AF65" s="404">
        <f t="shared" ca="1" si="27"/>
        <v>688838.34793276154</v>
      </c>
      <c r="AG65" s="404">
        <f t="shared" ca="1" si="27"/>
        <v>688838.34793276154</v>
      </c>
      <c r="AH65" s="404">
        <f t="shared" ca="1" si="27"/>
        <v>688838.34793276154</v>
      </c>
      <c r="AI65" s="404">
        <f t="shared" ca="1" si="27"/>
        <v>688838.34793276154</v>
      </c>
      <c r="AJ65" s="404">
        <f t="shared" ca="1" si="27"/>
        <v>688838.34793276154</v>
      </c>
      <c r="AK65" s="404">
        <f t="shared" ca="1" si="27"/>
        <v>688838.34793276154</v>
      </c>
      <c r="AL65" s="404">
        <f t="shared" ca="1" si="27"/>
        <v>688838.34793276154</v>
      </c>
      <c r="AM65" s="404">
        <f t="shared" ca="1" si="27"/>
        <v>688838.34793276154</v>
      </c>
      <c r="AN65" s="404">
        <f ca="1">AN55+AN56+AN62+AN64+AN63</f>
        <v>688838.34793276154</v>
      </c>
    </row>
    <row r="66" spans="1:42" ht="24.75" customHeight="1">
      <c r="B66" s="72"/>
      <c r="C66" s="197"/>
      <c r="D66" s="202"/>
      <c r="E66" s="202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</row>
    <row r="67" spans="1:42" s="72" customFormat="1">
      <c r="A67" s="56"/>
      <c r="F67" s="219"/>
    </row>
    <row r="68" spans="1:42">
      <c r="B68" s="72"/>
      <c r="C68" s="203" t="s">
        <v>308</v>
      </c>
      <c r="D68" s="193"/>
      <c r="E68" s="105">
        <f>E65</f>
        <v>0</v>
      </c>
      <c r="F68" s="105">
        <f>F65</f>
        <v>-2000841.7905374004</v>
      </c>
      <c r="G68" s="105">
        <f t="shared" ref="G68:AN68" si="28">G65</f>
        <v>-2004415.748881801</v>
      </c>
      <c r="H68" s="105">
        <f t="shared" ca="1" si="28"/>
        <v>374302.08467770816</v>
      </c>
      <c r="I68" s="105">
        <f t="shared" ca="1" si="28"/>
        <v>491550.00778050051</v>
      </c>
      <c r="J68" s="105">
        <f t="shared" ca="1" si="28"/>
        <v>609226.8963208585</v>
      </c>
      <c r="K68" s="105">
        <f t="shared" ca="1" si="28"/>
        <v>391636.77190870285</v>
      </c>
      <c r="L68" s="105">
        <f t="shared" ca="1" si="28"/>
        <v>410743.55888687447</v>
      </c>
      <c r="M68" s="105">
        <f t="shared" ca="1" si="28"/>
        <v>429850.34586504602</v>
      </c>
      <c r="N68" s="105">
        <f t="shared" ca="1" si="28"/>
        <v>448957.13284321764</v>
      </c>
      <c r="O68" s="105">
        <f t="shared" ca="1" si="28"/>
        <v>468063.91982138925</v>
      </c>
      <c r="P68" s="105">
        <f t="shared" ca="1" si="28"/>
        <v>487170.70679956081</v>
      </c>
      <c r="Q68" s="105">
        <f t="shared" ca="1" si="28"/>
        <v>509082.44560322905</v>
      </c>
      <c r="R68" s="105">
        <f t="shared" ca="1" si="28"/>
        <v>528446.11028186616</v>
      </c>
      <c r="S68" s="105">
        <f t="shared" ca="1" si="28"/>
        <v>547550.76802007505</v>
      </c>
      <c r="T68" s="105">
        <f t="shared" ca="1" si="28"/>
        <v>626112.95099824667</v>
      </c>
      <c r="U68" s="105">
        <f t="shared" ca="1" si="28"/>
        <v>650624.77397641831</v>
      </c>
      <c r="V68" s="105">
        <f t="shared" ca="1" si="28"/>
        <v>669731.56095458986</v>
      </c>
      <c r="W68" s="105">
        <f t="shared" ca="1" si="28"/>
        <v>688838.34793276142</v>
      </c>
      <c r="X68" s="105">
        <f t="shared" ca="1" si="28"/>
        <v>688838.34793276142</v>
      </c>
      <c r="Y68" s="105">
        <f t="shared" ca="1" si="28"/>
        <v>688838.34793276142</v>
      </c>
      <c r="Z68" s="105">
        <f t="shared" ca="1" si="28"/>
        <v>688838.34793276142</v>
      </c>
      <c r="AA68" s="105">
        <f t="shared" ca="1" si="28"/>
        <v>688838.34793276142</v>
      </c>
      <c r="AB68" s="105">
        <f t="shared" ca="1" si="28"/>
        <v>688838.34793276142</v>
      </c>
      <c r="AC68" s="105">
        <f t="shared" ca="1" si="28"/>
        <v>688838.34793276142</v>
      </c>
      <c r="AD68" s="105">
        <f t="shared" ca="1" si="28"/>
        <v>688838.34793276142</v>
      </c>
      <c r="AE68" s="105">
        <f t="shared" ca="1" si="28"/>
        <v>688838.34793276142</v>
      </c>
      <c r="AF68" s="105">
        <f t="shared" ca="1" si="28"/>
        <v>688838.34793276154</v>
      </c>
      <c r="AG68" s="105">
        <f t="shared" ca="1" si="28"/>
        <v>688838.34793276154</v>
      </c>
      <c r="AH68" s="105">
        <f t="shared" ca="1" si="28"/>
        <v>688838.34793276154</v>
      </c>
      <c r="AI68" s="105">
        <f t="shared" ca="1" si="28"/>
        <v>688838.34793276154</v>
      </c>
      <c r="AJ68" s="105">
        <f t="shared" ca="1" si="28"/>
        <v>688838.34793276154</v>
      </c>
      <c r="AK68" s="105">
        <f t="shared" ca="1" si="28"/>
        <v>688838.34793276154</v>
      </c>
      <c r="AL68" s="105">
        <f t="shared" ca="1" si="28"/>
        <v>688838.34793276154</v>
      </c>
      <c r="AM68" s="105">
        <f t="shared" ca="1" si="28"/>
        <v>688838.34793276154</v>
      </c>
      <c r="AN68" s="105">
        <f t="shared" ca="1" si="28"/>
        <v>688838.34793276154</v>
      </c>
    </row>
    <row r="69" spans="1:42">
      <c r="B69" s="72"/>
      <c r="C69" s="203" t="s">
        <v>309</v>
      </c>
      <c r="D69" s="193"/>
      <c r="E69" s="105">
        <f>E65</f>
        <v>0</v>
      </c>
      <c r="F69" s="105">
        <f>F65</f>
        <v>-2000841.7905374004</v>
      </c>
      <c r="G69" s="105">
        <f>F69+G65</f>
        <v>-4005257.5394192012</v>
      </c>
      <c r="H69" s="105">
        <f t="shared" ref="H69:AM69" ca="1" si="29">G69+H65</f>
        <v>-3630955.4547414929</v>
      </c>
      <c r="I69" s="105">
        <f t="shared" ca="1" si="29"/>
        <v>-3139405.4469609922</v>
      </c>
      <c r="J69" s="105">
        <f t="shared" ca="1" si="29"/>
        <v>-2530178.5506401337</v>
      </c>
      <c r="K69" s="105">
        <f t="shared" ca="1" si="29"/>
        <v>-2138541.7787314309</v>
      </c>
      <c r="L69" s="105">
        <f t="shared" ca="1" si="29"/>
        <v>-1727798.2198445564</v>
      </c>
      <c r="M69" s="105">
        <f t="shared" ca="1" si="29"/>
        <v>-1297947.8739795103</v>
      </c>
      <c r="N69" s="105">
        <f t="shared" ca="1" si="29"/>
        <v>-848990.74113629269</v>
      </c>
      <c r="O69" s="105">
        <f t="shared" ca="1" si="29"/>
        <v>-380926.82131490344</v>
      </c>
      <c r="P69" s="105">
        <f t="shared" ca="1" si="29"/>
        <v>106243.88548465737</v>
      </c>
      <c r="Q69" s="105">
        <f t="shared" ca="1" si="29"/>
        <v>615326.33108788636</v>
      </c>
      <c r="R69" s="105">
        <f t="shared" ca="1" si="29"/>
        <v>1143772.4413697524</v>
      </c>
      <c r="S69" s="105">
        <f t="shared" ca="1" si="29"/>
        <v>1691323.2093898274</v>
      </c>
      <c r="T69" s="105">
        <f t="shared" ca="1" si="29"/>
        <v>2317436.1603880739</v>
      </c>
      <c r="U69" s="105">
        <f ca="1">T69+U65</f>
        <v>2968060.9343644921</v>
      </c>
      <c r="V69" s="105">
        <f t="shared" ca="1" si="29"/>
        <v>3637792.4953190819</v>
      </c>
      <c r="W69" s="105">
        <f ca="1">V69+W65</f>
        <v>4326630.843251843</v>
      </c>
      <c r="X69" s="105">
        <f t="shared" ca="1" si="29"/>
        <v>5015469.1911846045</v>
      </c>
      <c r="Y69" s="105">
        <f t="shared" ca="1" si="29"/>
        <v>5704307.5391173661</v>
      </c>
      <c r="Z69" s="105">
        <f t="shared" ca="1" si="29"/>
        <v>6393145.8870501276</v>
      </c>
      <c r="AA69" s="105">
        <f t="shared" ca="1" si="29"/>
        <v>7081984.2349828891</v>
      </c>
      <c r="AB69" s="105">
        <f t="shared" ca="1" si="29"/>
        <v>7770822.5829156507</v>
      </c>
      <c r="AC69" s="105">
        <f t="shared" ca="1" si="29"/>
        <v>8459660.9308484122</v>
      </c>
      <c r="AD69" s="105">
        <f t="shared" ca="1" si="29"/>
        <v>9148499.2787811738</v>
      </c>
      <c r="AE69" s="105">
        <f t="shared" ca="1" si="29"/>
        <v>9837337.6267139353</v>
      </c>
      <c r="AF69" s="105">
        <f t="shared" ca="1" si="29"/>
        <v>10526175.974646697</v>
      </c>
      <c r="AG69" s="105">
        <f t="shared" ca="1" si="29"/>
        <v>11215014.322579458</v>
      </c>
      <c r="AH69" s="105">
        <f t="shared" ca="1" si="29"/>
        <v>11903852.67051222</v>
      </c>
      <c r="AI69" s="105">
        <f t="shared" ca="1" si="29"/>
        <v>12592691.018444981</v>
      </c>
      <c r="AJ69" s="105">
        <f t="shared" ca="1" si="29"/>
        <v>13281529.366377743</v>
      </c>
      <c r="AK69" s="105">
        <f t="shared" ca="1" si="29"/>
        <v>13970367.714310504</v>
      </c>
      <c r="AL69" s="105">
        <f t="shared" ca="1" si="29"/>
        <v>14659206.062243266</v>
      </c>
      <c r="AM69" s="105">
        <f t="shared" ca="1" si="29"/>
        <v>15348044.410176028</v>
      </c>
      <c r="AN69" s="105">
        <f ca="1">AM69+AN65</f>
        <v>16036882.758108789</v>
      </c>
    </row>
    <row r="70" spans="1:42">
      <c r="B70" s="72"/>
    </row>
    <row r="71" spans="1:42">
      <c r="B71" s="72"/>
      <c r="C71" s="204" t="s">
        <v>310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2">
      <c r="B72" s="72"/>
      <c r="C72" s="191" t="s">
        <v>311</v>
      </c>
      <c r="E72" s="4">
        <f>E33+E34-E39</f>
        <v>0</v>
      </c>
      <c r="F72" s="4">
        <f>F33+F34-F39</f>
        <v>-1178.1365022000002</v>
      </c>
      <c r="G72" s="4">
        <f>G33+G34-G39</f>
        <v>-1319.0671988000004</v>
      </c>
      <c r="H72" s="4">
        <f t="shared" ref="H72:AN72" ca="1" si="30">H33+H34-H39</f>
        <v>115928.8559039924</v>
      </c>
      <c r="I72" s="4">
        <f t="shared" ca="1" si="30"/>
        <v>115928.8559039924</v>
      </c>
      <c r="J72" s="4">
        <f t="shared" ca="1" si="30"/>
        <v>127620.17522989583</v>
      </c>
      <c r="K72" s="4">
        <f t="shared" ca="1" si="30"/>
        <v>127620.17522989583</v>
      </c>
      <c r="L72" s="4">
        <f t="shared" ca="1" si="30"/>
        <v>127620.17522989583</v>
      </c>
      <c r="M72" s="4">
        <f t="shared" ca="1" si="30"/>
        <v>127620.17522989583</v>
      </c>
      <c r="N72" s="4">
        <f t="shared" ca="1" si="30"/>
        <v>127620.17522989583</v>
      </c>
      <c r="O72" s="4">
        <f t="shared" ca="1" si="30"/>
        <v>127620.17522989583</v>
      </c>
      <c r="P72" s="4">
        <f t="shared" ca="1" si="30"/>
        <v>127620.17522989583</v>
      </c>
      <c r="Q72" s="4">
        <f t="shared" ca="1" si="30"/>
        <v>127913.25000972761</v>
      </c>
      <c r="R72" s="4">
        <f t="shared" ca="1" si="30"/>
        <v>127911.12076976489</v>
      </c>
      <c r="S72" s="4">
        <f t="shared" ca="1" si="30"/>
        <v>127911.12076976489</v>
      </c>
      <c r="T72" s="4">
        <f t="shared" ca="1" si="30"/>
        <v>133316.1567697649</v>
      </c>
      <c r="U72" s="4">
        <f t="shared" ca="1" si="30"/>
        <v>133316.1567697649</v>
      </c>
      <c r="V72" s="4">
        <f t="shared" ca="1" si="30"/>
        <v>133316.1567697649</v>
      </c>
      <c r="W72" s="4">
        <f t="shared" ca="1" si="30"/>
        <v>133316.1567697649</v>
      </c>
      <c r="X72" s="4">
        <f t="shared" ca="1" si="30"/>
        <v>133316.1567697649</v>
      </c>
      <c r="Y72" s="4">
        <f t="shared" ca="1" si="30"/>
        <v>133316.1567697649</v>
      </c>
      <c r="Z72" s="4">
        <f t="shared" ca="1" si="30"/>
        <v>133316.1567697649</v>
      </c>
      <c r="AA72" s="4">
        <f t="shared" ca="1" si="30"/>
        <v>133316.1567697649</v>
      </c>
      <c r="AB72" s="4">
        <f t="shared" ca="1" si="30"/>
        <v>133316.1567697649</v>
      </c>
      <c r="AC72" s="4">
        <f t="shared" ca="1" si="30"/>
        <v>133316.1567697649</v>
      </c>
      <c r="AD72" s="4">
        <f t="shared" ca="1" si="30"/>
        <v>133316.1567697649</v>
      </c>
      <c r="AE72" s="4">
        <f t="shared" ca="1" si="30"/>
        <v>133316.1567697649</v>
      </c>
      <c r="AF72" s="4">
        <f t="shared" ca="1" si="30"/>
        <v>133316.1567697649</v>
      </c>
      <c r="AG72" s="4">
        <f t="shared" ca="1" si="30"/>
        <v>133316.1567697649</v>
      </c>
      <c r="AH72" s="4">
        <f t="shared" ca="1" si="30"/>
        <v>133316.1567697649</v>
      </c>
      <c r="AI72" s="4">
        <f t="shared" ca="1" si="30"/>
        <v>133316.1567697649</v>
      </c>
      <c r="AJ72" s="4">
        <f t="shared" ca="1" si="30"/>
        <v>133316.1567697649</v>
      </c>
      <c r="AK72" s="4">
        <f t="shared" ca="1" si="30"/>
        <v>133316.1567697649</v>
      </c>
      <c r="AL72" s="4">
        <f t="shared" ca="1" si="30"/>
        <v>133316.1567697649</v>
      </c>
      <c r="AM72" s="4">
        <f t="shared" ca="1" si="30"/>
        <v>133316.1567697649</v>
      </c>
      <c r="AN72" s="4">
        <f t="shared" ca="1" si="30"/>
        <v>133316.1567697649</v>
      </c>
    </row>
    <row r="73" spans="1:42">
      <c r="B73" s="72"/>
      <c r="C73" s="191" t="s">
        <v>312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</row>
    <row r="74" spans="1:42">
      <c r="B74" s="72"/>
    </row>
    <row r="75" spans="1:42">
      <c r="B75" s="72"/>
      <c r="C75" s="191" t="s">
        <v>313</v>
      </c>
      <c r="D75" s="193"/>
      <c r="E75" s="206">
        <f>'Demonstrações Financeiras '!E5</f>
        <v>0</v>
      </c>
      <c r="F75" s="206">
        <f>F5-1</f>
        <v>0</v>
      </c>
      <c r="G75" s="206">
        <f t="shared" ref="G75:AN75" si="31">G5-1</f>
        <v>1</v>
      </c>
      <c r="H75" s="206">
        <f t="shared" si="31"/>
        <v>2</v>
      </c>
      <c r="I75" s="206">
        <f t="shared" si="31"/>
        <v>3</v>
      </c>
      <c r="J75" s="206">
        <f t="shared" si="31"/>
        <v>4</v>
      </c>
      <c r="K75" s="206">
        <f t="shared" si="31"/>
        <v>5</v>
      </c>
      <c r="L75" s="206">
        <f t="shared" si="31"/>
        <v>6</v>
      </c>
      <c r="M75" s="206">
        <f t="shared" si="31"/>
        <v>7</v>
      </c>
      <c r="N75" s="206">
        <f t="shared" si="31"/>
        <v>8</v>
      </c>
      <c r="O75" s="206">
        <f t="shared" si="31"/>
        <v>9</v>
      </c>
      <c r="P75" s="206">
        <f t="shared" si="31"/>
        <v>10</v>
      </c>
      <c r="Q75" s="206">
        <f t="shared" si="31"/>
        <v>11</v>
      </c>
      <c r="R75" s="206">
        <f t="shared" si="31"/>
        <v>12</v>
      </c>
      <c r="S75" s="206">
        <f t="shared" si="31"/>
        <v>13</v>
      </c>
      <c r="T75" s="206">
        <f t="shared" si="31"/>
        <v>14</v>
      </c>
      <c r="U75" s="206">
        <f t="shared" si="31"/>
        <v>15</v>
      </c>
      <c r="V75" s="206">
        <f t="shared" si="31"/>
        <v>16</v>
      </c>
      <c r="W75" s="206">
        <f t="shared" si="31"/>
        <v>17</v>
      </c>
      <c r="X75" s="206">
        <f t="shared" si="31"/>
        <v>18</v>
      </c>
      <c r="Y75" s="206">
        <f t="shared" si="31"/>
        <v>19</v>
      </c>
      <c r="Z75" s="206">
        <f t="shared" si="31"/>
        <v>20</v>
      </c>
      <c r="AA75" s="206">
        <f t="shared" si="31"/>
        <v>21</v>
      </c>
      <c r="AB75" s="206">
        <f t="shared" si="31"/>
        <v>22</v>
      </c>
      <c r="AC75" s="206">
        <f t="shared" si="31"/>
        <v>23</v>
      </c>
      <c r="AD75" s="206">
        <f t="shared" si="31"/>
        <v>24</v>
      </c>
      <c r="AE75" s="206">
        <f t="shared" si="31"/>
        <v>25</v>
      </c>
      <c r="AF75" s="206">
        <f t="shared" si="31"/>
        <v>26</v>
      </c>
      <c r="AG75" s="206">
        <f t="shared" si="31"/>
        <v>27</v>
      </c>
      <c r="AH75" s="206">
        <f t="shared" si="31"/>
        <v>28</v>
      </c>
      <c r="AI75" s="206">
        <f t="shared" si="31"/>
        <v>29</v>
      </c>
      <c r="AJ75" s="206">
        <f t="shared" si="31"/>
        <v>30</v>
      </c>
      <c r="AK75" s="206">
        <f t="shared" si="31"/>
        <v>31</v>
      </c>
      <c r="AL75" s="206">
        <f t="shared" si="31"/>
        <v>32</v>
      </c>
      <c r="AM75" s="206">
        <f t="shared" si="31"/>
        <v>33</v>
      </c>
      <c r="AN75" s="206">
        <f t="shared" si="31"/>
        <v>34</v>
      </c>
    </row>
    <row r="76" spans="1:42">
      <c r="B76" s="72"/>
      <c r="C76" s="191" t="s">
        <v>314</v>
      </c>
      <c r="E76" s="74">
        <f>1/(1+'Premissas Gerais'!$D$10)^E75</f>
        <v>1</v>
      </c>
      <c r="F76" s="74">
        <f>1/(1+'Premissas Gerais'!$D$10)^F75</f>
        <v>1</v>
      </c>
      <c r="G76" s="74">
        <f>1/(1+'Premissas Gerais'!$D$10)^G75</f>
        <v>0.89389680962145235</v>
      </c>
      <c r="H76" s="74">
        <f>1/(1+'Premissas Gerais'!$D$10)^H75</f>
        <v>0.79905150625141108</v>
      </c>
      <c r="I76" s="74">
        <f>1/(1+'Premissas Gerais'!$D$10)^I75</f>
        <v>0.71426959216135233</v>
      </c>
      <c r="J76" s="74">
        <f>1/(1+'Premissas Gerais'!$D$10)^J75</f>
        <v>0.63848330964264888</v>
      </c>
      <c r="K76" s="74">
        <f>1/(1+'Premissas Gerais'!$D$10)^K75</f>
        <v>0.57073819348610977</v>
      </c>
      <c r="L76" s="74">
        <f>1/(1+'Premissas Gerais'!$D$10)^L75</f>
        <v>0.51018105028634475</v>
      </c>
      <c r="M76" s="74">
        <f>1/(1+'Premissas Gerais'!$D$10)^M75</f>
        <v>0.4560492131802853</v>
      </c>
      <c r="N76" s="74">
        <f>1/(1+'Premissas Gerais'!$D$10)^N75</f>
        <v>0.40766093669223064</v>
      </c>
      <c r="O76" s="74">
        <f>1/(1+'Premissas Gerais'!$D$10)^O75</f>
        <v>0.36440681071647779</v>
      </c>
      <c r="P76" s="74">
        <f>1/(1+'Premissas Gerais'!$D$10)^P75</f>
        <v>0.32574208550378803</v>
      </c>
      <c r="Q76" s="74">
        <f>1/(1+'Premissas Gerais'!$D$10)^Q75</f>
        <v>0.29117981099127443</v>
      </c>
      <c r="R76" s="74">
        <f>1/(1+'Premissas Gerais'!$D$10)^R75</f>
        <v>0.26028470407127779</v>
      </c>
      <c r="S76" s="74">
        <f>1/(1+'Premissas Gerais'!$D$10)^S75</f>
        <v>0.23266766656257903</v>
      </c>
      <c r="T76" s="74">
        <f>1/(1+'Premissas Gerais'!$D$10)^T75</f>
        <v>0.2079808848423573</v>
      </c>
      <c r="U76" s="74">
        <f>1/(1+'Premissas Gerais'!$D$10)^U75</f>
        <v>0.18591344942282984</v>
      </c>
      <c r="V76" s="74">
        <f>1/(1+'Premissas Gerais'!$D$10)^V75</f>
        <v>0.16618743930478685</v>
      </c>
      <c r="W76" s="74">
        <f>1/(1+'Premissas Gerais'!$D$10)^W75</f>
        <v>0.14855442179370773</v>
      </c>
      <c r="X76" s="74">
        <f>1/(1+'Premissas Gerais'!$D$10)^X75</f>
        <v>0.13279232369655489</v>
      </c>
      <c r="Y76" s="74">
        <f>1/(1+'Premissas Gerais'!$D$10)^Y75</f>
        <v>0.11870263449456959</v>
      </c>
      <c r="Z76" s="74">
        <f>1/(1+'Premissas Gerais'!$D$10)^Z75</f>
        <v>0.10610790626835714</v>
      </c>
      <c r="AA76" s="74">
        <f>1/(1+'Premissas Gerais'!$D$10)^AA75</f>
        <v>9.4849518888896561E-2</v>
      </c>
      <c r="AB76" s="74">
        <f>1/(1+'Premissas Gerais'!$D$10)^AB75</f>
        <v>8.4785682328914327E-2</v>
      </c>
      <c r="AC76" s="74">
        <f>1/(1+'Premissas Gerais'!$D$10)^AC75</f>
        <v>7.5789650935394456E-2</v>
      </c>
      <c r="AD76" s="74">
        <f>1/(1+'Premissas Gerais'!$D$10)^AD75</f>
        <v>6.774812717347263E-2</v>
      </c>
      <c r="AE76" s="74">
        <f>1/(1+'Premissas Gerais'!$D$10)^AE75</f>
        <v>6.0559834738195609E-2</v>
      </c>
      <c r="AF76" s="74">
        <f>1/(1+'Premissas Gerais'!$D$10)^AF75</f>
        <v>5.4134243063675466E-2</v>
      </c>
      <c r="AG76" s="74">
        <f>1/(1+'Premissas Gerais'!$D$10)^AG75</f>
        <v>4.8390427165891731E-2</v>
      </c>
      <c r="AH76" s="74">
        <f>1/(1+'Premissas Gerais'!$D$10)^AH75</f>
        <v>4.3256048459809883E-2</v>
      </c>
      <c r="AI76" s="74">
        <f>1/(1+'Premissas Gerais'!$D$10)^AI75</f>
        <v>3.8666443715054989E-2</v>
      </c>
      <c r="AJ76" s="74">
        <f>1/(1+'Premissas Gerais'!$D$10)^AJ75</f>
        <v>3.4563810676295117E-2</v>
      </c>
      <c r="AK76" s="74">
        <f>1/(1+'Premissas Gerais'!$D$10)^AK75</f>
        <v>3.0896480091900096E-2</v>
      </c>
      <c r="AL76" s="74">
        <f>1/(1+'Premissas Gerais'!$D$10)^AL75</f>
        <v>2.7618264982682213E-2</v>
      </c>
      <c r="AM76" s="74">
        <f>1/(1+'Premissas Gerais'!$D$10)^AM75</f>
        <v>2.4687878955299506E-2</v>
      </c>
      <c r="AN76" s="74">
        <f>1/(1+'Premissas Gerais'!$D$10)^AN75</f>
        <v>2.2068416234462825E-2</v>
      </c>
    </row>
    <row r="77" spans="1:42">
      <c r="B77" s="72"/>
      <c r="C77" s="191" t="s">
        <v>315</v>
      </c>
      <c r="D77" s="193"/>
      <c r="E77" s="3">
        <f>E65*E76</f>
        <v>0</v>
      </c>
      <c r="F77" s="3">
        <f>F65*F76</f>
        <v>-2000841.7905374004</v>
      </c>
      <c r="G77" s="3">
        <f>G65*G76</f>
        <v>-1791740.8430804361</v>
      </c>
      <c r="H77" s="3">
        <f ca="1">H65*H76</f>
        <v>299086.6445547659</v>
      </c>
      <c r="I77" s="3">
        <f ca="1">I65*I76</f>
        <v>351099.22358428768</v>
      </c>
      <c r="J77" s="3">
        <f t="shared" ref="J77:AN77" ca="1" si="32">J65*J76</f>
        <v>388981.20508626063</v>
      </c>
      <c r="K77" s="3">
        <f t="shared" ca="1" si="32"/>
        <v>223522.0637019047</v>
      </c>
      <c r="L77" s="3">
        <f t="shared" ca="1" si="32"/>
        <v>209553.58027125671</v>
      </c>
      <c r="M77" s="3">
        <f t="shared" ca="1" si="32"/>
        <v>196032.91201702773</v>
      </c>
      <c r="N77" s="3">
        <f t="shared" ca="1" si="32"/>
        <v>183022.28530952433</v>
      </c>
      <c r="O77" s="3">
        <f t="shared" ca="1" si="32"/>
        <v>170565.68023356562</v>
      </c>
      <c r="P77" s="3">
        <f t="shared" ca="1" si="32"/>
        <v>158692.00202924339</v>
      </c>
      <c r="Q77" s="3">
        <f t="shared" ca="1" si="32"/>
        <v>148234.53028972397</v>
      </c>
      <c r="R77" s="3">
        <f t="shared" ca="1" si="32"/>
        <v>137546.43943233337</v>
      </c>
      <c r="S77" s="3">
        <f t="shared" ca="1" si="32"/>
        <v>127397.35951977888</v>
      </c>
      <c r="T77" s="3">
        <f t="shared" ca="1" si="32"/>
        <v>130219.52555987483</v>
      </c>
      <c r="U77" s="3">
        <f t="shared" ca="1" si="32"/>
        <v>120959.89600990494</v>
      </c>
      <c r="V77" s="3">
        <f t="shared" ca="1" si="32"/>
        <v>111300.97313664106</v>
      </c>
      <c r="W77" s="3">
        <f t="shared" ca="1" si="32"/>
        <v>102329.98248648424</v>
      </c>
      <c r="X77" s="3">
        <f t="shared" ca="1" si="32"/>
        <v>91472.444873287357</v>
      </c>
      <c r="Y77" s="3">
        <f t="shared" ca="1" si="32"/>
        <v>81766.926640505742</v>
      </c>
      <c r="Z77" s="3">
        <f t="shared" ca="1" si="32"/>
        <v>73091.194856499438</v>
      </c>
      <c r="AA77" s="3">
        <f t="shared" ca="1" si="32"/>
        <v>65335.985893644756</v>
      </c>
      <c r="AB77" s="3">
        <f t="shared" ca="1" si="32"/>
        <v>58403.629343801265</v>
      </c>
      <c r="AC77" s="3">
        <f t="shared" ca="1" si="32"/>
        <v>52206.817940737783</v>
      </c>
      <c r="AD77" s="3">
        <f t="shared" ca="1" si="32"/>
        <v>46667.50799771351</v>
      </c>
      <c r="AE77" s="3">
        <f t="shared" ca="1" si="32"/>
        <v>41715.93651213972</v>
      </c>
      <c r="AF77" s="3">
        <f t="shared" ca="1" si="32"/>
        <v>37289.742558572761</v>
      </c>
      <c r="AG77" s="3">
        <f t="shared" ca="1" si="32"/>
        <v>33333.181904713485</v>
      </c>
      <c r="AH77" s="3">
        <f t="shared" ca="1" si="32"/>
        <v>29796.424959154912</v>
      </c>
      <c r="AI77" s="3">
        <f t="shared" ca="1" si="32"/>
        <v>26634.92920911359</v>
      </c>
      <c r="AJ77" s="3">
        <f t="shared" ca="1" si="32"/>
        <v>23808.878244519874</v>
      </c>
      <c r="AK77" s="3">
        <f t="shared" ca="1" si="32"/>
        <v>21282.680303441917</v>
      </c>
      <c r="AL77" s="3">
        <f t="shared" ca="1" si="32"/>
        <v>19024.520023440055</v>
      </c>
      <c r="AM77" s="3">
        <f t="shared" ca="1" si="32"/>
        <v>17005.957753532504</v>
      </c>
      <c r="AN77" s="3">
        <f t="shared" ca="1" si="32"/>
        <v>15201.571380439906</v>
      </c>
    </row>
    <row r="78" spans="1:42">
      <c r="B78" s="72"/>
      <c r="C78" s="191" t="s">
        <v>316</v>
      </c>
      <c r="D78" s="193"/>
      <c r="E78" s="4">
        <f>E77</f>
        <v>0</v>
      </c>
      <c r="F78" s="4">
        <f>F77</f>
        <v>-2000841.7905374004</v>
      </c>
      <c r="G78" s="4">
        <f>F78+G77</f>
        <v>-3792582.6336178365</v>
      </c>
      <c r="H78" s="4">
        <f t="shared" ref="H78:AN78" ca="1" si="33">G78+H77</f>
        <v>-3493495.9890630706</v>
      </c>
      <c r="I78" s="4">
        <f ca="1">H78+I77</f>
        <v>-3142396.7654787828</v>
      </c>
      <c r="J78" s="4">
        <f t="shared" ca="1" si="33"/>
        <v>-2753415.5603925223</v>
      </c>
      <c r="K78" s="4">
        <f t="shared" ca="1" si="33"/>
        <v>-2529893.4966906174</v>
      </c>
      <c r="L78" s="4">
        <f t="shared" ca="1" si="33"/>
        <v>-2320339.9164193608</v>
      </c>
      <c r="M78" s="4">
        <f t="shared" ca="1" si="33"/>
        <v>-2124307.0044023329</v>
      </c>
      <c r="N78" s="4">
        <f t="shared" ca="1" si="33"/>
        <v>-1941284.7190928087</v>
      </c>
      <c r="O78" s="4">
        <f t="shared" ca="1" si="33"/>
        <v>-1770719.038859243</v>
      </c>
      <c r="P78" s="4">
        <f t="shared" ca="1" si="33"/>
        <v>-1612027.0368299996</v>
      </c>
      <c r="Q78" s="4">
        <f t="shared" ca="1" si="33"/>
        <v>-1463792.5065402756</v>
      </c>
      <c r="R78" s="4">
        <f t="shared" ca="1" si="33"/>
        <v>-1326246.0671079422</v>
      </c>
      <c r="S78" s="4">
        <f t="shared" ca="1" si="33"/>
        <v>-1198848.7075881632</v>
      </c>
      <c r="T78" s="4">
        <f t="shared" ca="1" si="33"/>
        <v>-1068629.1820282885</v>
      </c>
      <c r="U78" s="4">
        <f t="shared" ca="1" si="33"/>
        <v>-947669.28601838357</v>
      </c>
      <c r="V78" s="4">
        <f t="shared" ca="1" si="33"/>
        <v>-836368.31288174249</v>
      </c>
      <c r="W78" s="4">
        <f t="shared" ca="1" si="33"/>
        <v>-734038.33039525826</v>
      </c>
      <c r="X78" s="4">
        <f t="shared" ca="1" si="33"/>
        <v>-642565.88552197092</v>
      </c>
      <c r="Y78" s="4">
        <f t="shared" ca="1" si="33"/>
        <v>-560798.95888146514</v>
      </c>
      <c r="Z78" s="4">
        <f t="shared" ca="1" si="33"/>
        <v>-487707.7640249657</v>
      </c>
      <c r="AA78" s="4">
        <f t="shared" ca="1" si="33"/>
        <v>-422371.77813132096</v>
      </c>
      <c r="AB78" s="4">
        <f t="shared" ca="1" si="33"/>
        <v>-363968.14878751966</v>
      </c>
      <c r="AC78" s="4">
        <f t="shared" ca="1" si="33"/>
        <v>-311761.3308467819</v>
      </c>
      <c r="AD78" s="4">
        <f t="shared" ca="1" si="33"/>
        <v>-265093.82284906838</v>
      </c>
      <c r="AE78" s="4">
        <f t="shared" ca="1" si="33"/>
        <v>-223377.88633692867</v>
      </c>
      <c r="AF78" s="4">
        <f t="shared" ca="1" si="33"/>
        <v>-186088.14377835591</v>
      </c>
      <c r="AG78" s="4">
        <f t="shared" ca="1" si="33"/>
        <v>-152754.96187364243</v>
      </c>
      <c r="AH78" s="4">
        <f t="shared" ca="1" si="33"/>
        <v>-122958.53691448751</v>
      </c>
      <c r="AI78" s="4">
        <f t="shared" ca="1" si="33"/>
        <v>-96323.607705373928</v>
      </c>
      <c r="AJ78" s="4">
        <f t="shared" ca="1" si="33"/>
        <v>-72514.729460854054</v>
      </c>
      <c r="AK78" s="4">
        <f t="shared" ca="1" si="33"/>
        <v>-51232.049157412141</v>
      </c>
      <c r="AL78" s="4">
        <f t="shared" ca="1" si="33"/>
        <v>-32207.529133972086</v>
      </c>
      <c r="AM78" s="4">
        <f t="shared" ca="1" si="33"/>
        <v>-15201.571380439582</v>
      </c>
      <c r="AN78" s="4">
        <f t="shared" ca="1" si="33"/>
        <v>3.2378011383116245E-10</v>
      </c>
      <c r="AP78" s="333"/>
    </row>
    <row r="79" spans="1:42">
      <c r="B79" s="72"/>
      <c r="C79" s="191"/>
      <c r="D79" s="193"/>
      <c r="E79" s="19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2">
      <c r="B80" s="72"/>
      <c r="C80" s="188" t="s">
        <v>317</v>
      </c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</row>
    <row r="81" spans="2:40">
      <c r="B81" s="72"/>
      <c r="C81" s="8" t="s">
        <v>20</v>
      </c>
      <c r="D81" s="207">
        <f ca="1">SUMPRODUCT(E68:AN68,E76:AN76)</f>
        <v>3.2378011383116245E-10</v>
      </c>
      <c r="E81" s="207"/>
      <c r="F81" s="314"/>
    </row>
    <row r="82" spans="2:40">
      <c r="B82" s="72"/>
      <c r="C82" s="8" t="s">
        <v>318</v>
      </c>
      <c r="D82" s="208">
        <f ca="1">IRR(F68:AN68)</f>
        <v>0.11869735884109511</v>
      </c>
      <c r="E82" s="208"/>
    </row>
    <row r="83" spans="2:40">
      <c r="B83" s="72"/>
      <c r="C83" s="197" t="s">
        <v>36</v>
      </c>
      <c r="D83" s="208">
        <f ca="1">D20</f>
        <v>0.36417791896779872</v>
      </c>
      <c r="E83" s="208"/>
    </row>
    <row r="84" spans="2:40">
      <c r="B84" s="72"/>
      <c r="C84" s="197" t="s">
        <v>38</v>
      </c>
      <c r="D84" s="208">
        <f ca="1">D29</f>
        <v>0.14126427676361447</v>
      </c>
      <c r="E84" s="208"/>
    </row>
    <row r="85" spans="2:40">
      <c r="B85" s="72"/>
      <c r="C85" s="197" t="s">
        <v>33</v>
      </c>
      <c r="D85" s="105">
        <f ca="1">MIN(F69:AN69)</f>
        <v>-4005257.5394192012</v>
      </c>
      <c r="E85" s="105"/>
    </row>
    <row r="86" spans="2:40">
      <c r="B86" s="72"/>
      <c r="C86" s="197" t="s">
        <v>319</v>
      </c>
      <c r="D86" s="155">
        <f ca="1">MATCH(D85, F69:AN69,0)</f>
        <v>2</v>
      </c>
      <c r="E86" s="155"/>
    </row>
    <row r="87" spans="2:40">
      <c r="B87" s="72"/>
      <c r="C87" s="197" t="s">
        <v>23</v>
      </c>
      <c r="D87" s="155">
        <f ca="1">MATCH(1,F87:AN87,0)</f>
        <v>10</v>
      </c>
      <c r="E87" s="155"/>
      <c r="F87" s="72">
        <f ca="1">IF(AND(MIN(G69:$AN$69)&gt;=0,F69&lt;0),1,0)</f>
        <v>0</v>
      </c>
      <c r="G87" s="72">
        <f ca="1">IF(AND(MIN(H69:$AN$69)&gt;=0,G69&lt;0),1,0)</f>
        <v>0</v>
      </c>
      <c r="H87" s="72">
        <f ca="1">IF(AND(MIN(I69:$AN$69)&gt;=0,H69&lt;0),1,0)</f>
        <v>0</v>
      </c>
      <c r="I87" s="72">
        <f ca="1">IF(AND(MIN(J69:$AN$69)&gt;=0,I69&lt;0),1,0)</f>
        <v>0</v>
      </c>
      <c r="J87" s="72">
        <f ca="1">IF(AND(MIN(K69:$AN$69)&gt;=0,J69&lt;0),1,0)</f>
        <v>0</v>
      </c>
      <c r="K87" s="72">
        <f ca="1">IF(AND(MIN(L69:$AN$69)&gt;=0,K69&lt;0),1,0)</f>
        <v>0</v>
      </c>
      <c r="L87" s="72">
        <f ca="1">IF(AND(MIN(M69:$AN$69)&gt;=0,L69&lt;0),1,0)</f>
        <v>0</v>
      </c>
      <c r="M87" s="72">
        <f ca="1">IF(AND(MIN(N69:$AN$69)&gt;=0,M69&lt;0),1,0)</f>
        <v>0</v>
      </c>
      <c r="N87" s="72">
        <f ca="1">IF(AND(MIN(O69:$AN$69)&gt;=0,N69&lt;0),1,0)</f>
        <v>0</v>
      </c>
      <c r="O87" s="72">
        <f ca="1">IF(AND(MIN(P69:$AN$69)&gt;=0,O69&lt;0),1,0)</f>
        <v>1</v>
      </c>
      <c r="P87" s="72">
        <f ca="1">IF(AND(MIN(Q69:$AN$69)&gt;=0,P69&lt;0),1,0)</f>
        <v>0</v>
      </c>
      <c r="Q87" s="72">
        <f ca="1">IF(AND(MIN(R69:$AN$69)&gt;=0,Q69&lt;0),1,0)</f>
        <v>0</v>
      </c>
      <c r="R87" s="72">
        <f ca="1">IF(AND(MIN(S69:$AN$69)&gt;=0,R69&lt;0),1,0)</f>
        <v>0</v>
      </c>
      <c r="S87" s="72">
        <f ca="1">IF(AND(MIN(T69:$AN$69)&gt;=0,S69&lt;0),1,0)</f>
        <v>0</v>
      </c>
      <c r="T87" s="72">
        <f ca="1">IF(AND(MIN(U69:$AN$69)&gt;=0,T69&lt;0),1,0)</f>
        <v>0</v>
      </c>
      <c r="U87" s="72">
        <f ca="1">IF(AND(MIN(V69:$AN$69)&gt;=0,U69&lt;0),1,0)</f>
        <v>0</v>
      </c>
      <c r="V87" s="72">
        <f ca="1">IF(AND(MIN(W69:$AN$69)&gt;=0,V69&lt;0),1,0)</f>
        <v>0</v>
      </c>
      <c r="W87" s="72">
        <f ca="1">IF(AND(MIN(X69:$AN$69)&gt;=0,W69&lt;0),1,0)</f>
        <v>0</v>
      </c>
      <c r="X87" s="72">
        <f ca="1">IF(AND(MIN(Y69:$AN$69)&gt;=0,X69&lt;0),1,0)</f>
        <v>0</v>
      </c>
      <c r="Y87" s="72">
        <f ca="1">IF(AND(MIN(Z69:$AN$69)&gt;=0,Y69&lt;0),1,0)</f>
        <v>0</v>
      </c>
      <c r="Z87" s="72">
        <f ca="1">IF(AND(MIN(AA69:$AN$69)&gt;=0,Z69&lt;0),1,0)</f>
        <v>0</v>
      </c>
      <c r="AA87" s="72">
        <f ca="1">IF(AND(MIN(AB69:$AN$69)&gt;=0,AA69&lt;0),1,0)</f>
        <v>0</v>
      </c>
      <c r="AB87" s="72">
        <f ca="1">IF(AND(MIN(AC69:$AN$69)&gt;=0,AB69&lt;0),1,0)</f>
        <v>0</v>
      </c>
      <c r="AC87" s="72">
        <f ca="1">IF(AND(MIN(AD69:$AN$69)&gt;=0,AC69&lt;0),1,0)</f>
        <v>0</v>
      </c>
      <c r="AD87" s="72">
        <f ca="1">IF(AND(MIN(AE69:$AN$69)&gt;=0,AD69&lt;0),1,0)</f>
        <v>0</v>
      </c>
      <c r="AE87" s="72">
        <f ca="1">IF(AND(MIN(AF69:$AN$69)&gt;=0,AE69&lt;0),1,0)</f>
        <v>0</v>
      </c>
      <c r="AF87" s="72">
        <f ca="1">IF(AND(MIN(AG69:$AN$69)&gt;=0,AF69&lt;0),1,0)</f>
        <v>0</v>
      </c>
      <c r="AG87" s="72">
        <f ca="1">IF(AND(MIN(AH69:$AN$69)&gt;=0,AG69&lt;0),1,0)</f>
        <v>0</v>
      </c>
      <c r="AH87" s="72">
        <f ca="1">IF(AND(MIN(AI69:$AN$69)&gt;=0,AH69&lt;0),1,0)</f>
        <v>0</v>
      </c>
      <c r="AI87" s="72">
        <f ca="1">IF(AND(MIN(AJ69:$AN$69)&gt;=0,AI69&lt;0),1,0)</f>
        <v>0</v>
      </c>
      <c r="AJ87" s="72">
        <f ca="1">IF(AND(MIN(AK69:$AN$69)&gt;=0,AJ69&lt;0),1,0)</f>
        <v>0</v>
      </c>
      <c r="AK87" s="72">
        <f ca="1">IF(AND(MIN(AL69:$AN$69)&gt;=0,AK69&lt;0),1,0)</f>
        <v>0</v>
      </c>
      <c r="AL87" s="72">
        <f ca="1">IF(AND(MIN(AM69:$AN$69)&gt;=0,AL69&lt;0),1,0)</f>
        <v>0</v>
      </c>
      <c r="AM87" s="72">
        <f ca="1">IF(AND(MIN(AN69:$AN$69)&gt;=0,AM69&lt;0),1,0)</f>
        <v>0</v>
      </c>
      <c r="AN87" s="72">
        <f ca="1">IF(AND(MIN($AN69:AO$69)&gt;=0,AN69&lt;0),1,0)</f>
        <v>0</v>
      </c>
    </row>
    <row r="88" spans="2:40">
      <c r="B88" s="72"/>
      <c r="C88" s="197" t="s">
        <v>320</v>
      </c>
      <c r="D88" s="155">
        <f>MATCH(1,F88:AN88,0)</f>
        <v>1</v>
      </c>
      <c r="E88" s="361">
        <f>E5</f>
        <v>0</v>
      </c>
      <c r="F88" s="361">
        <f t="shared" ref="F88:AN88" si="34">F5</f>
        <v>1</v>
      </c>
      <c r="G88" s="361">
        <f t="shared" si="34"/>
        <v>2</v>
      </c>
      <c r="H88" s="361">
        <f t="shared" si="34"/>
        <v>3</v>
      </c>
      <c r="I88" s="361">
        <f t="shared" si="34"/>
        <v>4</v>
      </c>
      <c r="J88" s="361">
        <f t="shared" si="34"/>
        <v>5</v>
      </c>
      <c r="K88" s="361">
        <f t="shared" si="34"/>
        <v>6</v>
      </c>
      <c r="L88" s="361">
        <f t="shared" si="34"/>
        <v>7</v>
      </c>
      <c r="M88" s="361">
        <f t="shared" si="34"/>
        <v>8</v>
      </c>
      <c r="N88" s="361">
        <f t="shared" si="34"/>
        <v>9</v>
      </c>
      <c r="O88" s="361">
        <f t="shared" si="34"/>
        <v>10</v>
      </c>
      <c r="P88" s="361">
        <f t="shared" si="34"/>
        <v>11</v>
      </c>
      <c r="Q88" s="361">
        <f t="shared" si="34"/>
        <v>12</v>
      </c>
      <c r="R88" s="361">
        <f t="shared" si="34"/>
        <v>13</v>
      </c>
      <c r="S88" s="361">
        <f t="shared" si="34"/>
        <v>14</v>
      </c>
      <c r="T88" s="361">
        <f t="shared" si="34"/>
        <v>15</v>
      </c>
      <c r="U88" s="361">
        <f t="shared" si="34"/>
        <v>16</v>
      </c>
      <c r="V88" s="361">
        <f t="shared" si="34"/>
        <v>17</v>
      </c>
      <c r="W88" s="361">
        <f t="shared" si="34"/>
        <v>18</v>
      </c>
      <c r="X88" s="361">
        <f t="shared" si="34"/>
        <v>19</v>
      </c>
      <c r="Y88" s="361">
        <f t="shared" si="34"/>
        <v>20</v>
      </c>
      <c r="Z88" s="361">
        <f t="shared" si="34"/>
        <v>21</v>
      </c>
      <c r="AA88" s="361">
        <f t="shared" si="34"/>
        <v>22</v>
      </c>
      <c r="AB88" s="361">
        <f t="shared" si="34"/>
        <v>23</v>
      </c>
      <c r="AC88" s="361">
        <f t="shared" si="34"/>
        <v>24</v>
      </c>
      <c r="AD88" s="361">
        <f t="shared" si="34"/>
        <v>25</v>
      </c>
      <c r="AE88" s="361">
        <f t="shared" si="34"/>
        <v>26</v>
      </c>
      <c r="AF88" s="361">
        <f t="shared" si="34"/>
        <v>27</v>
      </c>
      <c r="AG88" s="361">
        <f t="shared" si="34"/>
        <v>28</v>
      </c>
      <c r="AH88" s="361">
        <f t="shared" si="34"/>
        <v>29</v>
      </c>
      <c r="AI88" s="361">
        <f t="shared" si="34"/>
        <v>30</v>
      </c>
      <c r="AJ88" s="361">
        <f t="shared" si="34"/>
        <v>31</v>
      </c>
      <c r="AK88" s="361">
        <f t="shared" si="34"/>
        <v>32</v>
      </c>
      <c r="AL88" s="361">
        <f t="shared" si="34"/>
        <v>33</v>
      </c>
      <c r="AM88" s="361">
        <f t="shared" si="34"/>
        <v>34</v>
      </c>
      <c r="AN88" s="361">
        <f t="shared" si="34"/>
        <v>35</v>
      </c>
    </row>
    <row r="89" spans="2:40">
      <c r="B89" s="72"/>
      <c r="C89" s="197" t="s">
        <v>321</v>
      </c>
      <c r="E89" s="209">
        <f>SUMPRODUCT($E$68:E68,$E$76:E76)</f>
        <v>0</v>
      </c>
      <c r="F89" s="209">
        <f>SUMPRODUCT($F$68:F68,$F$76:F76)</f>
        <v>-2000841.7905374004</v>
      </c>
      <c r="G89" s="209">
        <f>SUMPRODUCT($F$68:G68,$F$76:G76)</f>
        <v>-3792582.6336178365</v>
      </c>
      <c r="H89" s="209">
        <f ca="1">SUMPRODUCT($F$68:H68,$F$76:H76)</f>
        <v>-3493495.9890630706</v>
      </c>
      <c r="I89" s="209">
        <f ca="1">SUMPRODUCT($F$68:I68,$F$76:I76)</f>
        <v>-3142396.7654787828</v>
      </c>
      <c r="J89" s="209">
        <f ca="1">SUMPRODUCT($F$68:J68,$F$76:J76)</f>
        <v>-2753415.5603925223</v>
      </c>
      <c r="K89" s="209">
        <f ca="1">SUMPRODUCT($F$68:K68,$F$76:K76)</f>
        <v>-2529893.4966906174</v>
      </c>
      <c r="L89" s="209">
        <f ca="1">SUMPRODUCT($F$68:L68,$F$76:L76)</f>
        <v>-2320339.9164193608</v>
      </c>
      <c r="M89" s="209">
        <f ca="1">SUMPRODUCT($F$68:M68,$F$76:M76)</f>
        <v>-2124307.0044023329</v>
      </c>
      <c r="N89" s="209">
        <f ca="1">SUMPRODUCT($F$68:N68,$F$76:N76)</f>
        <v>-1941284.7190928087</v>
      </c>
      <c r="O89" s="209">
        <f ca="1">SUMPRODUCT($F$68:O68,$F$76:O76)</f>
        <v>-1770719.038859243</v>
      </c>
      <c r="P89" s="209">
        <f ca="1">SUMPRODUCT($F$68:P68,$F$76:P76)</f>
        <v>-1612027.0368299996</v>
      </c>
      <c r="Q89" s="209">
        <f ca="1">SUMPRODUCT($F$68:Q68,$F$76:Q76)</f>
        <v>-1463792.5065402756</v>
      </c>
      <c r="R89" s="209">
        <f ca="1">SUMPRODUCT($F$68:R68,$F$76:R76)</f>
        <v>-1326246.0671079422</v>
      </c>
      <c r="S89" s="209">
        <f ca="1">SUMPRODUCT($F$68:S68,$F$76:S76)</f>
        <v>-1198848.7075881632</v>
      </c>
      <c r="T89" s="209">
        <f ca="1">SUMPRODUCT($F$68:T68,$F$76:T76)</f>
        <v>-1068629.1820282885</v>
      </c>
      <c r="U89" s="209">
        <f ca="1">SUMPRODUCT($F$68:U68,$F$76:U76)</f>
        <v>-947669.28601838357</v>
      </c>
      <c r="V89" s="209">
        <f ca="1">SUMPRODUCT($F$68:V68,$F$76:V76)</f>
        <v>-836368.31288174249</v>
      </c>
      <c r="W89" s="209">
        <f ca="1">SUMPRODUCT($F$68:W68,$F$76:W76)</f>
        <v>-734038.33039525826</v>
      </c>
      <c r="X89" s="209">
        <f ca="1">SUMPRODUCT($F$68:X68,$F$76:X76)</f>
        <v>-642565.88552197092</v>
      </c>
      <c r="Y89" s="209">
        <f ca="1">SUMPRODUCT($F$68:Y68,$F$76:Y76)</f>
        <v>-560798.95888146514</v>
      </c>
      <c r="Z89" s="209">
        <f ca="1">SUMPRODUCT($F$68:Z68,$F$76:Z76)</f>
        <v>-487707.7640249657</v>
      </c>
      <c r="AA89" s="209">
        <f ca="1">SUMPRODUCT($F$68:AA68,$F$76:AA76)</f>
        <v>-422371.77813132096</v>
      </c>
      <c r="AB89" s="209">
        <f ca="1">SUMPRODUCT($F$68:AB68,$F$76:AB76)</f>
        <v>-363968.14878751966</v>
      </c>
      <c r="AC89" s="209">
        <f ca="1">SUMPRODUCT($F$68:AC68,$F$76:AC76)</f>
        <v>-311761.3308467819</v>
      </c>
      <c r="AD89" s="209">
        <f ca="1">SUMPRODUCT($F$68:AD68,$F$76:AD76)</f>
        <v>-265093.82284906838</v>
      </c>
      <c r="AE89" s="209">
        <f ca="1">SUMPRODUCT($F$68:AE68,$F$76:AE76)</f>
        <v>-223377.88633692867</v>
      </c>
      <c r="AF89" s="209">
        <f ca="1">SUMPRODUCT($F$68:AF68,$F$76:AF76)</f>
        <v>-186088.14377835591</v>
      </c>
      <c r="AG89" s="209">
        <f ca="1">SUMPRODUCT($F$68:AG68,$F$76:AG76)</f>
        <v>-152754.96187364243</v>
      </c>
      <c r="AH89" s="209">
        <f ca="1">SUMPRODUCT($F$68:AH68,$F$76:AH76)</f>
        <v>-122958.53691448751</v>
      </c>
      <c r="AI89" s="209">
        <f ca="1">SUMPRODUCT($F$68:AI68,$F$76:AI76)</f>
        <v>-96323.607705373928</v>
      </c>
      <c r="AJ89" s="209">
        <f ca="1">SUMPRODUCT($F$68:AJ68,$F$76:AJ76)</f>
        <v>-72514.729460854054</v>
      </c>
      <c r="AK89" s="209">
        <f ca="1">SUMPRODUCT($F$68:AK68,$F$76:AK76)</f>
        <v>-51232.049157412141</v>
      </c>
      <c r="AL89" s="209">
        <f ca="1">SUMPRODUCT($F$68:AL68,$F$76:AL76)</f>
        <v>-32207.529133972086</v>
      </c>
      <c r="AM89" s="209">
        <f ca="1">SUMPRODUCT($F$68:AM68,$F$76:AM76)</f>
        <v>-15201.571380439582</v>
      </c>
      <c r="AN89" s="209">
        <f ca="1">SUMPRODUCT($F$68:AN68,$F$76:AN76)</f>
        <v>3.2378011383116245E-10</v>
      </c>
    </row>
    <row r="90" spans="2:40">
      <c r="B90" s="72"/>
      <c r="C90" s="197" t="s">
        <v>322</v>
      </c>
      <c r="E90" s="3">
        <f>IF(E77&lt;0,0,E77)</f>
        <v>0</v>
      </c>
      <c r="F90" s="3">
        <f>IF(F77&lt;0,0,F77)</f>
        <v>0</v>
      </c>
      <c r="G90" s="3">
        <f>IF(G77&lt;0,0,G77)</f>
        <v>0</v>
      </c>
      <c r="H90" s="3">
        <f t="shared" ref="H90:AN90" ca="1" si="35">IF(H77&lt;0,0,H77)</f>
        <v>299086.6445547659</v>
      </c>
      <c r="I90" s="3">
        <f t="shared" ca="1" si="35"/>
        <v>351099.22358428768</v>
      </c>
      <c r="J90" s="3">
        <f t="shared" ca="1" si="35"/>
        <v>388981.20508626063</v>
      </c>
      <c r="K90" s="3">
        <f t="shared" ca="1" si="35"/>
        <v>223522.0637019047</v>
      </c>
      <c r="L90" s="3">
        <f t="shared" ca="1" si="35"/>
        <v>209553.58027125671</v>
      </c>
      <c r="M90" s="3">
        <f t="shared" ca="1" si="35"/>
        <v>196032.91201702773</v>
      </c>
      <c r="N90" s="3">
        <f t="shared" ca="1" si="35"/>
        <v>183022.28530952433</v>
      </c>
      <c r="O90" s="3">
        <f t="shared" ca="1" si="35"/>
        <v>170565.68023356562</v>
      </c>
      <c r="P90" s="3">
        <f t="shared" ca="1" si="35"/>
        <v>158692.00202924339</v>
      </c>
      <c r="Q90" s="3">
        <f t="shared" ca="1" si="35"/>
        <v>148234.53028972397</v>
      </c>
      <c r="R90" s="3">
        <f t="shared" ca="1" si="35"/>
        <v>137546.43943233337</v>
      </c>
      <c r="S90" s="3">
        <f t="shared" ca="1" si="35"/>
        <v>127397.35951977888</v>
      </c>
      <c r="T90" s="3">
        <f t="shared" ca="1" si="35"/>
        <v>130219.52555987483</v>
      </c>
      <c r="U90" s="3">
        <f t="shared" ca="1" si="35"/>
        <v>120959.89600990494</v>
      </c>
      <c r="V90" s="3">
        <f t="shared" ca="1" si="35"/>
        <v>111300.97313664106</v>
      </c>
      <c r="W90" s="3">
        <f t="shared" ca="1" si="35"/>
        <v>102329.98248648424</v>
      </c>
      <c r="X90" s="3">
        <f t="shared" ca="1" si="35"/>
        <v>91472.444873287357</v>
      </c>
      <c r="Y90" s="3">
        <f t="shared" ca="1" si="35"/>
        <v>81766.926640505742</v>
      </c>
      <c r="Z90" s="3">
        <f t="shared" ca="1" si="35"/>
        <v>73091.194856499438</v>
      </c>
      <c r="AA90" s="3">
        <f t="shared" ca="1" si="35"/>
        <v>65335.985893644756</v>
      </c>
      <c r="AB90" s="3">
        <f t="shared" ca="1" si="35"/>
        <v>58403.629343801265</v>
      </c>
      <c r="AC90" s="3">
        <f t="shared" ca="1" si="35"/>
        <v>52206.817940737783</v>
      </c>
      <c r="AD90" s="3">
        <f t="shared" ca="1" si="35"/>
        <v>46667.50799771351</v>
      </c>
      <c r="AE90" s="3">
        <f t="shared" ca="1" si="35"/>
        <v>41715.93651213972</v>
      </c>
      <c r="AF90" s="3">
        <f t="shared" ca="1" si="35"/>
        <v>37289.742558572761</v>
      </c>
      <c r="AG90" s="3">
        <f t="shared" ca="1" si="35"/>
        <v>33333.181904713485</v>
      </c>
      <c r="AH90" s="3">
        <f t="shared" ca="1" si="35"/>
        <v>29796.424959154912</v>
      </c>
      <c r="AI90" s="3">
        <f t="shared" ca="1" si="35"/>
        <v>26634.92920911359</v>
      </c>
      <c r="AJ90" s="3">
        <f t="shared" ca="1" si="35"/>
        <v>23808.878244519874</v>
      </c>
      <c r="AK90" s="3">
        <f t="shared" ca="1" si="35"/>
        <v>21282.680303441917</v>
      </c>
      <c r="AL90" s="3">
        <f t="shared" ca="1" si="35"/>
        <v>19024.520023440055</v>
      </c>
      <c r="AM90" s="3">
        <f t="shared" ca="1" si="35"/>
        <v>17005.957753532504</v>
      </c>
      <c r="AN90" s="3">
        <f t="shared" ca="1" si="35"/>
        <v>15201.571380439906</v>
      </c>
    </row>
    <row r="91" spans="2:40">
      <c r="B91" s="72"/>
      <c r="C91" s="197" t="s">
        <v>323</v>
      </c>
      <c r="E91" s="3">
        <f>IF(E77&gt;0,0,E77)</f>
        <v>0</v>
      </c>
      <c r="F91" s="3">
        <f>IF(F77&gt;0,0,F77)</f>
        <v>-2000841.7905374004</v>
      </c>
      <c r="G91" s="3">
        <f t="shared" ref="G91:AN91" si="36">IF(G77&gt;0,0,G77)</f>
        <v>-1791740.8430804361</v>
      </c>
      <c r="H91" s="3">
        <f t="shared" ca="1" si="36"/>
        <v>0</v>
      </c>
      <c r="I91" s="3">
        <f t="shared" ca="1" si="36"/>
        <v>0</v>
      </c>
      <c r="J91" s="3">
        <f t="shared" ca="1" si="36"/>
        <v>0</v>
      </c>
      <c r="K91" s="3">
        <f t="shared" ca="1" si="36"/>
        <v>0</v>
      </c>
      <c r="L91" s="3">
        <f t="shared" ca="1" si="36"/>
        <v>0</v>
      </c>
      <c r="M91" s="3">
        <f t="shared" ca="1" si="36"/>
        <v>0</v>
      </c>
      <c r="N91" s="3">
        <f t="shared" ca="1" si="36"/>
        <v>0</v>
      </c>
      <c r="O91" s="3">
        <f t="shared" ca="1" si="36"/>
        <v>0</v>
      </c>
      <c r="P91" s="3">
        <f t="shared" ca="1" si="36"/>
        <v>0</v>
      </c>
      <c r="Q91" s="3">
        <f t="shared" ca="1" si="36"/>
        <v>0</v>
      </c>
      <c r="R91" s="3">
        <f t="shared" ca="1" si="36"/>
        <v>0</v>
      </c>
      <c r="S91" s="3">
        <f t="shared" ca="1" si="36"/>
        <v>0</v>
      </c>
      <c r="T91" s="3">
        <f t="shared" ca="1" si="36"/>
        <v>0</v>
      </c>
      <c r="U91" s="3">
        <f t="shared" ca="1" si="36"/>
        <v>0</v>
      </c>
      <c r="V91" s="3">
        <f t="shared" ca="1" si="36"/>
        <v>0</v>
      </c>
      <c r="W91" s="3">
        <f t="shared" ca="1" si="36"/>
        <v>0</v>
      </c>
      <c r="X91" s="3">
        <f t="shared" ca="1" si="36"/>
        <v>0</v>
      </c>
      <c r="Y91" s="3">
        <f t="shared" ca="1" si="36"/>
        <v>0</v>
      </c>
      <c r="Z91" s="3">
        <f t="shared" ca="1" si="36"/>
        <v>0</v>
      </c>
      <c r="AA91" s="3">
        <f t="shared" ca="1" si="36"/>
        <v>0</v>
      </c>
      <c r="AB91" s="3">
        <f t="shared" ca="1" si="36"/>
        <v>0</v>
      </c>
      <c r="AC91" s="3">
        <f t="shared" ca="1" si="36"/>
        <v>0</v>
      </c>
      <c r="AD91" s="3">
        <f t="shared" ca="1" si="36"/>
        <v>0</v>
      </c>
      <c r="AE91" s="3">
        <f t="shared" ca="1" si="36"/>
        <v>0</v>
      </c>
      <c r="AF91" s="3">
        <f t="shared" ca="1" si="36"/>
        <v>0</v>
      </c>
      <c r="AG91" s="3">
        <f t="shared" ca="1" si="36"/>
        <v>0</v>
      </c>
      <c r="AH91" s="3">
        <f t="shared" ca="1" si="36"/>
        <v>0</v>
      </c>
      <c r="AI91" s="3">
        <f t="shared" ca="1" si="36"/>
        <v>0</v>
      </c>
      <c r="AJ91" s="3">
        <f t="shared" ca="1" si="36"/>
        <v>0</v>
      </c>
      <c r="AK91" s="3">
        <f t="shared" ca="1" si="36"/>
        <v>0</v>
      </c>
      <c r="AL91" s="3">
        <f t="shared" ca="1" si="36"/>
        <v>0</v>
      </c>
      <c r="AM91" s="3">
        <f t="shared" ca="1" si="36"/>
        <v>0</v>
      </c>
      <c r="AN91" s="3">
        <f t="shared" ca="1" si="36"/>
        <v>0</v>
      </c>
    </row>
    <row r="93" spans="2:40">
      <c r="B93" s="50"/>
      <c r="C93" s="188" t="s">
        <v>324</v>
      </c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</row>
    <row r="94" spans="2:40">
      <c r="B94" s="72"/>
      <c r="G94" s="3"/>
    </row>
    <row r="95" spans="2:40">
      <c r="B95" s="72"/>
      <c r="C95" s="193"/>
      <c r="F95" s="33">
        <v>5</v>
      </c>
      <c r="G95" s="33">
        <f t="shared" ref="G95:L95" si="37">F95+5</f>
        <v>10</v>
      </c>
      <c r="H95" s="33">
        <f t="shared" si="37"/>
        <v>15</v>
      </c>
      <c r="I95" s="33">
        <f>H95+5</f>
        <v>20</v>
      </c>
      <c r="J95" s="33">
        <f t="shared" si="37"/>
        <v>25</v>
      </c>
      <c r="K95" s="33">
        <f t="shared" si="37"/>
        <v>30</v>
      </c>
      <c r="L95" s="33">
        <f t="shared" si="37"/>
        <v>35</v>
      </c>
      <c r="M95" s="292"/>
      <c r="O95" s="33">
        <v>5</v>
      </c>
      <c r="P95" s="33">
        <f t="shared" ref="P95:U95" si="38">O95+5</f>
        <v>10</v>
      </c>
      <c r="Q95" s="33">
        <f t="shared" si="38"/>
        <v>15</v>
      </c>
      <c r="R95" s="33">
        <f t="shared" si="38"/>
        <v>20</v>
      </c>
      <c r="S95" s="33">
        <f t="shared" si="38"/>
        <v>25</v>
      </c>
      <c r="T95" s="33">
        <f t="shared" si="38"/>
        <v>30</v>
      </c>
      <c r="U95" s="33">
        <f t="shared" si="38"/>
        <v>35</v>
      </c>
    </row>
    <row r="96" spans="2:40">
      <c r="B96">
        <f t="shared" ref="B96:B106" si="39">MATCH(C96,$C$6:$C$29,0)</f>
        <v>1</v>
      </c>
      <c r="C96" s="238" t="str">
        <f>C6</f>
        <v>1. Receita Bruta (+)</v>
      </c>
      <c r="D96" s="111"/>
      <c r="E96" s="111"/>
      <c r="F96" s="111">
        <f ca="1">OFFSET($D$6,$B96-1,F$95+1)</f>
        <v>3293070.4950780007</v>
      </c>
      <c r="G96" s="111">
        <f t="shared" ref="G96:L96" ca="1" si="40">OFFSET($D$6,$B96-1,G$95+1)</f>
        <v>3293070.4950780007</v>
      </c>
      <c r="H96" s="111">
        <f t="shared" ca="1" si="40"/>
        <v>3296920.4100840008</v>
      </c>
      <c r="I96" s="111">
        <f t="shared" ca="1" si="40"/>
        <v>3296920.4100840008</v>
      </c>
      <c r="J96" s="111">
        <f t="shared" ca="1" si="40"/>
        <v>3296920.4100840008</v>
      </c>
      <c r="K96" s="111">
        <f t="shared" ca="1" si="40"/>
        <v>3296920.4100840008</v>
      </c>
      <c r="L96" s="111">
        <f t="shared" ca="1" si="40"/>
        <v>3296920.4100840008</v>
      </c>
      <c r="N96" s="111" t="str">
        <f>C96</f>
        <v>1. Receita Bruta (+)</v>
      </c>
      <c r="O96" s="111">
        <f ca="1">F96</f>
        <v>3293070.4950780007</v>
      </c>
      <c r="P96" s="111">
        <f t="shared" ref="P96:T96" ca="1" si="41">G96</f>
        <v>3293070.4950780007</v>
      </c>
      <c r="Q96" s="111">
        <f t="shared" ca="1" si="41"/>
        <v>3296920.4100840008</v>
      </c>
      <c r="R96" s="111">
        <f t="shared" ca="1" si="41"/>
        <v>3296920.4100840008</v>
      </c>
      <c r="S96" s="111">
        <f t="shared" ca="1" si="41"/>
        <v>3296920.4100840008</v>
      </c>
      <c r="T96" s="111">
        <f t="shared" ca="1" si="41"/>
        <v>3296920.4100840008</v>
      </c>
      <c r="U96" s="111">
        <f ca="1">L96</f>
        <v>3296920.4100840008</v>
      </c>
    </row>
    <row r="97" spans="2:21">
      <c r="B97">
        <f t="shared" si="39"/>
        <v>4</v>
      </c>
      <c r="C97" s="238" t="str">
        <f>C9</f>
        <v xml:space="preserve">2. Deduções da Receita Bruta (-) </v>
      </c>
      <c r="D97" s="111"/>
      <c r="E97" s="111"/>
      <c r="F97" s="111">
        <f t="shared" ref="F97:L106" ca="1" si="42">OFFSET($D$6,$B97-1,F$95+1)</f>
        <v>-609152.75782424724</v>
      </c>
      <c r="G97" s="111">
        <f t="shared" ca="1" si="42"/>
        <v>-609152.75782424724</v>
      </c>
      <c r="H97" s="111">
        <f t="shared" ca="1" si="42"/>
        <v>-544625.3434722661</v>
      </c>
      <c r="I97" s="111">
        <f t="shared" ca="1" si="42"/>
        <v>-544625.3434722661</v>
      </c>
      <c r="J97" s="111">
        <f t="shared" ca="1" si="42"/>
        <v>-544625.3434722661</v>
      </c>
      <c r="K97" s="111">
        <f t="shared" ca="1" si="42"/>
        <v>-544625.3434722661</v>
      </c>
      <c r="L97" s="111">
        <f t="shared" ca="1" si="42"/>
        <v>-544625.3434722661</v>
      </c>
      <c r="M97">
        <f>MATCH(N97,$C$6:$C$29,0)</f>
        <v>2</v>
      </c>
      <c r="N97" s="357" t="str">
        <f>C7</f>
        <v xml:space="preserve">1.1. Hospedagem </v>
      </c>
      <c r="O97" s="291">
        <f ca="1">OFFSET($D$6,$M97-1,O$95+1)</f>
        <v>3243021.6000000006</v>
      </c>
      <c r="P97" s="291">
        <f t="shared" ref="P97:U98" ca="1" si="43">OFFSET($D$6,$M97-1,P$95+1)</f>
        <v>3243021.6000000006</v>
      </c>
      <c r="Q97" s="291">
        <f t="shared" ca="1" si="43"/>
        <v>3243021.6000000006</v>
      </c>
      <c r="R97" s="291">
        <f t="shared" ca="1" si="43"/>
        <v>3243021.6000000006</v>
      </c>
      <c r="S97" s="291">
        <f t="shared" ca="1" si="43"/>
        <v>3243021.6000000006</v>
      </c>
      <c r="T97" s="291">
        <f t="shared" ca="1" si="43"/>
        <v>3243021.6000000006</v>
      </c>
      <c r="U97" s="291">
        <f t="shared" ca="1" si="43"/>
        <v>3243021.6000000006</v>
      </c>
    </row>
    <row r="98" spans="2:21">
      <c r="B98">
        <f t="shared" si="39"/>
        <v>8</v>
      </c>
      <c r="C98" s="238" t="str">
        <f>C13</f>
        <v>3. Receita Operacional Líquida (=)</v>
      </c>
      <c r="D98" s="111"/>
      <c r="E98" s="111"/>
      <c r="F98" s="111">
        <f t="shared" ca="1" si="42"/>
        <v>2683917.7372537535</v>
      </c>
      <c r="G98" s="111">
        <f t="shared" ca="1" si="42"/>
        <v>2683917.7372537535</v>
      </c>
      <c r="H98" s="111">
        <f t="shared" ca="1" si="42"/>
        <v>2752295.0666117347</v>
      </c>
      <c r="I98" s="111">
        <f t="shared" ca="1" si="42"/>
        <v>2752295.0666117347</v>
      </c>
      <c r="J98" s="111">
        <f t="shared" ca="1" si="42"/>
        <v>2752295.0666117347</v>
      </c>
      <c r="K98" s="111">
        <f t="shared" ca="1" si="42"/>
        <v>2752295.0666117347</v>
      </c>
      <c r="L98" s="111">
        <f t="shared" ca="1" si="42"/>
        <v>2752295.0666117347</v>
      </c>
      <c r="M98">
        <f>MATCH(N98,$C$6:$C$29,0)</f>
        <v>3</v>
      </c>
      <c r="N98" s="357" t="str">
        <f>C8</f>
        <v>1.2 Arrendamento do Restaurante</v>
      </c>
      <c r="O98" s="291">
        <f ca="1">OFFSET($D$6,$M98-1,O$95+1)</f>
        <v>50048.895078000009</v>
      </c>
      <c r="P98" s="291">
        <f t="shared" ca="1" si="43"/>
        <v>50048.895078000009</v>
      </c>
      <c r="Q98" s="291">
        <f t="shared" ca="1" si="43"/>
        <v>53898.810084000012</v>
      </c>
      <c r="R98" s="291">
        <f t="shared" ca="1" si="43"/>
        <v>53898.810084000012</v>
      </c>
      <c r="S98" s="291">
        <f t="shared" ca="1" si="43"/>
        <v>53898.810084000012</v>
      </c>
      <c r="T98" s="291">
        <f t="shared" ca="1" si="43"/>
        <v>53898.810084000012</v>
      </c>
      <c r="U98" s="291">
        <f t="shared" ca="1" si="43"/>
        <v>53898.810084000012</v>
      </c>
    </row>
    <row r="99" spans="2:21">
      <c r="B99">
        <f t="shared" si="39"/>
        <v>9</v>
      </c>
      <c r="C99" s="238" t="str">
        <f>C14</f>
        <v xml:space="preserve"> 4. Custos e Despesas Operacionais (-)</v>
      </c>
      <c r="D99" s="111"/>
      <c r="E99" s="111"/>
      <c r="F99" s="111">
        <f t="shared" ca="1" si="42"/>
        <v>-1728713.451742505</v>
      </c>
      <c r="G99" s="111">
        <f t="shared" ca="1" si="42"/>
        <v>-1728713.451742505</v>
      </c>
      <c r="H99" s="111">
        <f t="shared" ca="1" si="42"/>
        <v>-1728751.7780618339</v>
      </c>
      <c r="I99" s="111">
        <f t="shared" ca="1" si="42"/>
        <v>-1728751.7780618339</v>
      </c>
      <c r="J99" s="111">
        <f t="shared" ca="1" si="42"/>
        <v>-1728751.7780618339</v>
      </c>
      <c r="K99" s="111">
        <f t="shared" ca="1" si="42"/>
        <v>-1728751.7780618339</v>
      </c>
      <c r="L99" s="111">
        <f t="shared" ca="1" si="42"/>
        <v>-1728751.7780618339</v>
      </c>
      <c r="M99" s="72"/>
    </row>
    <row r="100" spans="2:21">
      <c r="B100">
        <f t="shared" si="39"/>
        <v>14</v>
      </c>
      <c r="C100" s="238" t="str">
        <f>C19</f>
        <v>5. EBITDA (=)</v>
      </c>
      <c r="D100" s="111"/>
      <c r="E100" s="111"/>
      <c r="F100" s="111">
        <f t="shared" ca="1" si="42"/>
        <v>955204.28551124851</v>
      </c>
      <c r="G100" s="111">
        <f t="shared" ca="1" si="42"/>
        <v>955204.28551124851</v>
      </c>
      <c r="H100" s="111">
        <f t="shared" ca="1" si="42"/>
        <v>1023543.2885499008</v>
      </c>
      <c r="I100" s="111">
        <f t="shared" ca="1" si="42"/>
        <v>1023543.2885499008</v>
      </c>
      <c r="J100" s="111">
        <f t="shared" ca="1" si="42"/>
        <v>1023543.2885499008</v>
      </c>
      <c r="K100" s="111">
        <f t="shared" ca="1" si="42"/>
        <v>1023543.2885499008</v>
      </c>
      <c r="L100" s="111">
        <f t="shared" ca="1" si="42"/>
        <v>1023543.2885499008</v>
      </c>
      <c r="M100" s="72"/>
    </row>
    <row r="101" spans="2:21">
      <c r="B101">
        <f t="shared" si="39"/>
        <v>16</v>
      </c>
      <c r="C101" s="239" t="str">
        <f>C21</f>
        <v>5.1 Depreciação e Amortização (-)</v>
      </c>
      <c r="D101" s="112"/>
      <c r="E101" s="112"/>
      <c r="F101" s="112">
        <f t="shared" ca="1" si="42"/>
        <v>-380867.51178141934</v>
      </c>
      <c r="G101" s="112">
        <f t="shared" ca="1" si="42"/>
        <v>-380867.51178141934</v>
      </c>
      <c r="H101" s="112">
        <f t="shared" ca="1" si="42"/>
        <v>-243530.12147905384</v>
      </c>
      <c r="I101" s="112">
        <f t="shared" ca="1" si="42"/>
        <v>-243530.12147905384</v>
      </c>
      <c r="J101" s="112">
        <f t="shared" ca="1" si="42"/>
        <v>-243530.12147905384</v>
      </c>
      <c r="K101" s="112">
        <f t="shared" ca="1" si="42"/>
        <v>0</v>
      </c>
      <c r="L101" s="112">
        <f t="shared" ca="1" si="42"/>
        <v>0</v>
      </c>
    </row>
    <row r="102" spans="2:21">
      <c r="B102">
        <f t="shared" si="39"/>
        <v>17</v>
      </c>
      <c r="C102" s="240" t="str">
        <f>C22</f>
        <v xml:space="preserve">6. EBIT </v>
      </c>
      <c r="D102" s="113"/>
      <c r="E102" s="113"/>
      <c r="F102" s="113">
        <f t="shared" ca="1" si="42"/>
        <v>574336.77372982912</v>
      </c>
      <c r="G102" s="113">
        <f t="shared" ca="1" si="42"/>
        <v>574336.77372982912</v>
      </c>
      <c r="H102" s="113">
        <f t="shared" ca="1" si="42"/>
        <v>780013.16707084689</v>
      </c>
      <c r="I102" s="113">
        <f t="shared" ca="1" si="42"/>
        <v>780013.16707084689</v>
      </c>
      <c r="J102" s="113">
        <f t="shared" ca="1" si="42"/>
        <v>780013.16707084689</v>
      </c>
      <c r="K102" s="113">
        <f t="shared" ca="1" si="42"/>
        <v>1023543.2885499008</v>
      </c>
      <c r="L102" s="113">
        <f t="shared" ca="1" si="42"/>
        <v>1023543.2885499008</v>
      </c>
    </row>
    <row r="103" spans="2:21">
      <c r="B103">
        <f t="shared" si="39"/>
        <v>18</v>
      </c>
      <c r="C103" s="239" t="str">
        <f>C23</f>
        <v>6.1 Resultado financeiro (+/-)</v>
      </c>
      <c r="D103" s="112"/>
      <c r="E103" s="112"/>
      <c r="F103" s="112">
        <f t="shared" ca="1" si="42"/>
        <v>0</v>
      </c>
      <c r="G103" s="112">
        <f t="shared" ca="1" si="42"/>
        <v>-152854.29582537271</v>
      </c>
      <c r="H103" s="112">
        <f t="shared" ca="1" si="42"/>
        <v>-57320.360934514742</v>
      </c>
      <c r="I103" s="112">
        <f t="shared" ca="1" si="42"/>
        <v>3.58447051207068E-11</v>
      </c>
      <c r="J103" s="112">
        <f t="shared" ca="1" si="42"/>
        <v>5.1696139796012305E-11</v>
      </c>
      <c r="K103" s="112">
        <f t="shared" ca="1" si="42"/>
        <v>7.4557479572206051E-11</v>
      </c>
      <c r="L103" s="112">
        <f t="shared" ca="1" si="42"/>
        <v>1.075286816790277E-10</v>
      </c>
    </row>
    <row r="104" spans="2:21">
      <c r="B104">
        <f t="shared" si="39"/>
        <v>21</v>
      </c>
      <c r="C104" s="241" t="str">
        <f>C26</f>
        <v>7. EBT (LAIR)</v>
      </c>
      <c r="D104" s="115"/>
      <c r="E104" s="115"/>
      <c r="F104" s="115">
        <f t="shared" ca="1" si="42"/>
        <v>574336.77372982912</v>
      </c>
      <c r="G104" s="115">
        <f t="shared" ca="1" si="42"/>
        <v>421482.47790445643</v>
      </c>
      <c r="H104" s="115">
        <f t="shared" ca="1" si="42"/>
        <v>722692.8061363321</v>
      </c>
      <c r="I104" s="115">
        <f t="shared" ca="1" si="42"/>
        <v>780013.16707084689</v>
      </c>
      <c r="J104" s="115">
        <f t="shared" ca="1" si="42"/>
        <v>780013.16707084689</v>
      </c>
      <c r="K104" s="115">
        <f t="shared" ca="1" si="42"/>
        <v>1023543.2885499009</v>
      </c>
      <c r="L104" s="115">
        <f t="shared" ca="1" si="42"/>
        <v>1023543.2885499009</v>
      </c>
    </row>
    <row r="105" spans="2:21">
      <c r="B105">
        <f t="shared" si="39"/>
        <v>22</v>
      </c>
      <c r="C105" s="239" t="str">
        <f>C27</f>
        <v>7.1 Impostos Correntes  -  CSSL e IRPJ (-)</v>
      </c>
      <c r="D105" s="112"/>
      <c r="E105" s="112"/>
      <c r="F105" s="112">
        <f t="shared" ca="1" si="42"/>
        <v>-334286.06986448652</v>
      </c>
      <c r="G105" s="112">
        <f t="shared" ca="1" si="42"/>
        <v>-334286.06986448652</v>
      </c>
      <c r="H105" s="112">
        <f t="shared" ca="1" si="42"/>
        <v>-334704.94061713933</v>
      </c>
      <c r="I105" s="112">
        <f t="shared" ca="1" si="42"/>
        <v>-334704.94061713933</v>
      </c>
      <c r="J105" s="112">
        <f t="shared" ca="1" si="42"/>
        <v>-334704.94061713933</v>
      </c>
      <c r="K105" s="112">
        <f t="shared" ca="1" si="42"/>
        <v>-334704.94061713933</v>
      </c>
      <c r="L105" s="112">
        <f t="shared" ca="1" si="42"/>
        <v>-334704.94061713933</v>
      </c>
    </row>
    <row r="106" spans="2:21">
      <c r="B106">
        <f t="shared" si="39"/>
        <v>23</v>
      </c>
      <c r="C106" s="238" t="str">
        <f>C28</f>
        <v>8. Lucro ou Prejuízo Líquido</v>
      </c>
      <c r="D106" s="111"/>
      <c r="E106" s="111"/>
      <c r="F106" s="111">
        <f t="shared" ca="1" si="42"/>
        <v>240050.7038653426</v>
      </c>
      <c r="G106" s="111">
        <f t="shared" ca="1" si="42"/>
        <v>87196.408039969916</v>
      </c>
      <c r="H106" s="111">
        <f t="shared" ca="1" si="42"/>
        <v>387987.86551919277</v>
      </c>
      <c r="I106" s="111">
        <f t="shared" ca="1" si="42"/>
        <v>445308.22645370755</v>
      </c>
      <c r="J106" s="111">
        <f t="shared" ca="1" si="42"/>
        <v>445308.22645370755</v>
      </c>
      <c r="K106" s="111">
        <f t="shared" ca="1" si="42"/>
        <v>688838.34793276154</v>
      </c>
      <c r="L106" s="111">
        <f t="shared" ca="1" si="42"/>
        <v>688838.34793276154</v>
      </c>
    </row>
    <row r="107" spans="2:21">
      <c r="C107" s="193"/>
    </row>
    <row r="108" spans="2:21">
      <c r="B108" s="72"/>
      <c r="C108" s="188" t="s">
        <v>325</v>
      </c>
      <c r="D108" s="188"/>
      <c r="E108" s="188"/>
      <c r="F108" s="188"/>
      <c r="G108" s="188"/>
      <c r="H108" s="188"/>
      <c r="I108" s="188"/>
      <c r="J108" s="188"/>
      <c r="K108" s="188"/>
      <c r="L108" s="188"/>
    </row>
    <row r="109" spans="2:21">
      <c r="B109" s="72"/>
      <c r="C109" s="193"/>
      <c r="F109" s="33">
        <v>5</v>
      </c>
      <c r="G109" s="33">
        <f t="shared" ref="G109:L109" si="44">F109+5</f>
        <v>10</v>
      </c>
      <c r="H109" s="33">
        <f t="shared" si="44"/>
        <v>15</v>
      </c>
      <c r="I109" s="33">
        <f t="shared" si="44"/>
        <v>20</v>
      </c>
      <c r="J109" s="33">
        <f t="shared" si="44"/>
        <v>25</v>
      </c>
      <c r="K109" s="33">
        <f t="shared" si="44"/>
        <v>30</v>
      </c>
      <c r="L109" s="33">
        <f t="shared" si="44"/>
        <v>35</v>
      </c>
    </row>
    <row r="110" spans="2:21">
      <c r="B110" s="50">
        <f>MATCH(C110,$C$55:$C$65,0)</f>
        <v>1</v>
      </c>
      <c r="C110" s="197" t="str">
        <f>C55</f>
        <v>(=) EBITDA</v>
      </c>
      <c r="F110" s="112">
        <f ca="1">OFFSET($D$55,$B110-1,F$109+1)</f>
        <v>955204.28551124851</v>
      </c>
      <c r="G110" s="112">
        <f t="shared" ref="G110:L110" ca="1" si="45">OFFSET($D$55,$B110-1,G$109+1)</f>
        <v>955204.28551124851</v>
      </c>
      <c r="H110" s="112">
        <f t="shared" ca="1" si="45"/>
        <v>1023543.2885499008</v>
      </c>
      <c r="I110" s="112">
        <f t="shared" ca="1" si="45"/>
        <v>1023543.2885499008</v>
      </c>
      <c r="J110" s="112">
        <f t="shared" ca="1" si="45"/>
        <v>1023543.2885499008</v>
      </c>
      <c r="K110" s="112">
        <f t="shared" ca="1" si="45"/>
        <v>1023543.2885499008</v>
      </c>
      <c r="L110" s="112">
        <f t="shared" ca="1" si="45"/>
        <v>1023543.2885499008</v>
      </c>
    </row>
    <row r="111" spans="2:21">
      <c r="B111" s="50">
        <f t="shared" ref="B111:B120" si="46">MATCH(C111,$C$55:$C$65,0)</f>
        <v>2</v>
      </c>
      <c r="C111" s="197" t="str">
        <f t="shared" ref="C111:C119" si="47">C56</f>
        <v>(-) Investimentos</v>
      </c>
      <c r="F111" s="112">
        <f t="shared" ref="F111:L120" ca="1" si="48">OFFSET($D$55,$B111-1,F$109+1)</f>
        <v>0</v>
      </c>
      <c r="G111" s="112">
        <f t="shared" ca="1" si="48"/>
        <v>0</v>
      </c>
      <c r="H111" s="112">
        <f t="shared" ca="1" si="48"/>
        <v>0</v>
      </c>
      <c r="I111" s="112">
        <f t="shared" ca="1" si="48"/>
        <v>0</v>
      </c>
      <c r="J111" s="112">
        <f t="shared" ca="1" si="48"/>
        <v>0</v>
      </c>
      <c r="K111" s="112">
        <f t="shared" ca="1" si="48"/>
        <v>0</v>
      </c>
      <c r="L111" s="112">
        <f t="shared" ca="1" si="48"/>
        <v>0</v>
      </c>
      <c r="N111" s="197"/>
    </row>
    <row r="112" spans="2:21">
      <c r="B112" s="50">
        <f t="shared" si="46"/>
        <v>3</v>
      </c>
      <c r="C112" s="198" t="str">
        <f t="shared" si="47"/>
        <v>Capex Total</v>
      </c>
      <c r="F112" s="112">
        <f t="shared" ca="1" si="48"/>
        <v>0</v>
      </c>
      <c r="G112" s="112">
        <f t="shared" ca="1" si="48"/>
        <v>0</v>
      </c>
      <c r="H112" s="112">
        <f t="shared" ca="1" si="48"/>
        <v>0</v>
      </c>
      <c r="I112" s="112">
        <f t="shared" ca="1" si="48"/>
        <v>0</v>
      </c>
      <c r="J112" s="112">
        <f t="shared" ca="1" si="48"/>
        <v>0</v>
      </c>
      <c r="K112" s="112">
        <f t="shared" ca="1" si="48"/>
        <v>0</v>
      </c>
      <c r="L112" s="112">
        <f t="shared" ca="1" si="48"/>
        <v>0</v>
      </c>
      <c r="N112" s="197"/>
    </row>
    <row r="113" spans="2:14">
      <c r="B113" s="50">
        <f t="shared" si="46"/>
        <v>4</v>
      </c>
      <c r="C113" s="199" t="str">
        <f t="shared" si="47"/>
        <v>Capex - Investimento</v>
      </c>
      <c r="F113" s="112">
        <f t="shared" ca="1" si="48"/>
        <v>0</v>
      </c>
      <c r="G113" s="112">
        <f t="shared" ca="1" si="48"/>
        <v>0</v>
      </c>
      <c r="H113" s="112">
        <f t="shared" ca="1" si="48"/>
        <v>0</v>
      </c>
      <c r="I113" s="112">
        <f t="shared" ca="1" si="48"/>
        <v>0</v>
      </c>
      <c r="J113" s="112">
        <f t="shared" ca="1" si="48"/>
        <v>0</v>
      </c>
      <c r="K113" s="112">
        <f t="shared" ca="1" si="48"/>
        <v>0</v>
      </c>
      <c r="L113" s="112">
        <f t="shared" ca="1" si="48"/>
        <v>0</v>
      </c>
      <c r="N113" s="198"/>
    </row>
    <row r="114" spans="2:14">
      <c r="B114" s="50">
        <f t="shared" si="46"/>
        <v>5</v>
      </c>
      <c r="C114" s="199" t="str">
        <f t="shared" si="47"/>
        <v>Capex Reinvestimento</v>
      </c>
      <c r="F114" s="112">
        <f t="shared" ca="1" si="48"/>
        <v>0</v>
      </c>
      <c r="G114" s="112">
        <f t="shared" ca="1" si="48"/>
        <v>0</v>
      </c>
      <c r="H114" s="112">
        <f t="shared" ca="1" si="48"/>
        <v>0</v>
      </c>
      <c r="I114" s="112">
        <f t="shared" ca="1" si="48"/>
        <v>0</v>
      </c>
      <c r="J114" s="112">
        <f t="shared" ca="1" si="48"/>
        <v>0</v>
      </c>
      <c r="K114" s="112">
        <f t="shared" ca="1" si="48"/>
        <v>0</v>
      </c>
      <c r="L114" s="112">
        <f t="shared" ca="1" si="48"/>
        <v>0</v>
      </c>
      <c r="N114" s="199"/>
    </row>
    <row r="115" spans="2:14">
      <c r="B115" s="50">
        <f t="shared" si="46"/>
        <v>6</v>
      </c>
      <c r="C115" s="200" t="str">
        <f t="shared" si="47"/>
        <v>Outorga Fixa e Reembolso Estudos</v>
      </c>
      <c r="F115" s="112">
        <f t="shared" ca="1" si="48"/>
        <v>0</v>
      </c>
      <c r="G115" s="112">
        <f t="shared" ca="1" si="48"/>
        <v>0</v>
      </c>
      <c r="H115" s="112">
        <f t="shared" ca="1" si="48"/>
        <v>0</v>
      </c>
      <c r="I115" s="112">
        <f t="shared" ca="1" si="48"/>
        <v>0</v>
      </c>
      <c r="J115" s="112">
        <f t="shared" ca="1" si="48"/>
        <v>0</v>
      </c>
      <c r="K115" s="112">
        <f t="shared" ca="1" si="48"/>
        <v>0</v>
      </c>
      <c r="L115" s="112">
        <f t="shared" ca="1" si="48"/>
        <v>0</v>
      </c>
      <c r="N115" s="199"/>
    </row>
    <row r="116" spans="2:14">
      <c r="B116" s="50">
        <f t="shared" si="46"/>
        <v>7</v>
      </c>
      <c r="C116" s="200" t="str">
        <f t="shared" si="47"/>
        <v>Subsídio Governo do Piauí</v>
      </c>
      <c r="F116" s="112">
        <f t="shared" ca="1" si="48"/>
        <v>0</v>
      </c>
      <c r="G116" s="112">
        <f t="shared" ca="1" si="48"/>
        <v>0</v>
      </c>
      <c r="H116" s="112">
        <f t="shared" ca="1" si="48"/>
        <v>0</v>
      </c>
      <c r="I116" s="112">
        <f t="shared" ca="1" si="48"/>
        <v>0</v>
      </c>
      <c r="J116" s="112">
        <f t="shared" ca="1" si="48"/>
        <v>0</v>
      </c>
      <c r="K116" s="112">
        <f t="shared" ca="1" si="48"/>
        <v>0</v>
      </c>
      <c r="L116" s="112">
        <f t="shared" ca="1" si="48"/>
        <v>0</v>
      </c>
      <c r="N116" s="200"/>
    </row>
    <row r="117" spans="2:14">
      <c r="B117" s="50">
        <f t="shared" si="46"/>
        <v>8</v>
      </c>
      <c r="C117" s="197" t="str">
        <f t="shared" si="47"/>
        <v>(+/-) Δ Kgiro</v>
      </c>
      <c r="F117" s="112">
        <f t="shared" ca="1" si="48"/>
        <v>-11691.319325903431</v>
      </c>
      <c r="G117" s="112">
        <f t="shared" ca="1" si="48"/>
        <v>0</v>
      </c>
      <c r="H117" s="112">
        <f t="shared" ca="1" si="48"/>
        <v>-5405.0360000000073</v>
      </c>
      <c r="I117" s="112">
        <f t="shared" ca="1" si="48"/>
        <v>0</v>
      </c>
      <c r="J117" s="112">
        <f t="shared" ca="1" si="48"/>
        <v>0</v>
      </c>
      <c r="K117" s="112">
        <f t="shared" ca="1" si="48"/>
        <v>0</v>
      </c>
      <c r="L117" s="112">
        <f t="shared" ca="1" si="48"/>
        <v>0</v>
      </c>
      <c r="N117" s="200"/>
    </row>
    <row r="118" spans="2:14">
      <c r="B118" s="50">
        <f t="shared" si="46"/>
        <v>9</v>
      </c>
      <c r="C118" s="197" t="str">
        <f t="shared" si="47"/>
        <v xml:space="preserve">(+/-) Resultado Financeiro </v>
      </c>
      <c r="F118" s="112">
        <f t="shared" ca="1" si="48"/>
        <v>0</v>
      </c>
      <c r="G118" s="112">
        <f t="shared" ca="1" si="48"/>
        <v>-152854.29582537271</v>
      </c>
      <c r="H118" s="112">
        <f t="shared" ca="1" si="48"/>
        <v>-57320.360934514742</v>
      </c>
      <c r="I118" s="112">
        <f t="shared" ca="1" si="48"/>
        <v>3.58447051207068E-11</v>
      </c>
      <c r="J118" s="112">
        <f t="shared" ca="1" si="48"/>
        <v>5.1696139796012305E-11</v>
      </c>
      <c r="K118" s="112">
        <f t="shared" ca="1" si="48"/>
        <v>7.4557479572206051E-11</v>
      </c>
      <c r="L118" s="112">
        <f t="shared" ca="1" si="48"/>
        <v>1.075286816790277E-10</v>
      </c>
      <c r="N118" s="197"/>
    </row>
    <row r="119" spans="2:14">
      <c r="B119" s="50">
        <f t="shared" si="46"/>
        <v>10</v>
      </c>
      <c r="C119" s="201" t="str">
        <f t="shared" si="47"/>
        <v xml:space="preserve">(-) IRPJ/CSLL </v>
      </c>
      <c r="F119" s="112">
        <f t="shared" ca="1" si="48"/>
        <v>-334286.06986448652</v>
      </c>
      <c r="G119" s="112">
        <f t="shared" ca="1" si="48"/>
        <v>-334286.06986448652</v>
      </c>
      <c r="H119" s="112">
        <f t="shared" ca="1" si="48"/>
        <v>-334704.94061713933</v>
      </c>
      <c r="I119" s="112">
        <f t="shared" ca="1" si="48"/>
        <v>-334704.94061713933</v>
      </c>
      <c r="J119" s="112">
        <f t="shared" ca="1" si="48"/>
        <v>-334704.94061713933</v>
      </c>
      <c r="K119" s="112">
        <f t="shared" ca="1" si="48"/>
        <v>-334704.94061713933</v>
      </c>
      <c r="L119" s="112">
        <f t="shared" ca="1" si="48"/>
        <v>-334704.94061713933</v>
      </c>
      <c r="N119" s="197"/>
    </row>
    <row r="120" spans="2:14">
      <c r="B120" s="50">
        <f t="shared" si="46"/>
        <v>11</v>
      </c>
      <c r="C120" s="197" t="str">
        <f>C65</f>
        <v>(=) FCFE real (maio/2025)</v>
      </c>
      <c r="F120" s="112">
        <f t="shared" ca="1" si="48"/>
        <v>609226.8963208585</v>
      </c>
      <c r="G120" s="112">
        <f t="shared" ca="1" si="48"/>
        <v>468063.91982138925</v>
      </c>
      <c r="H120" s="112">
        <f t="shared" ca="1" si="48"/>
        <v>626112.95099824667</v>
      </c>
      <c r="I120" s="112">
        <f t="shared" ca="1" si="48"/>
        <v>688838.34793276142</v>
      </c>
      <c r="J120" s="112">
        <f t="shared" ca="1" si="48"/>
        <v>688838.34793276142</v>
      </c>
      <c r="K120" s="112">
        <f t="shared" ca="1" si="48"/>
        <v>688838.34793276154</v>
      </c>
      <c r="L120" s="112">
        <f t="shared" ca="1" si="48"/>
        <v>688838.34793276154</v>
      </c>
      <c r="N120" s="201"/>
    </row>
    <row r="121" spans="2:14">
      <c r="B121" s="72">
        <v>12</v>
      </c>
    </row>
  </sheetData>
  <sheetProtection password="C655" sheet="1" objects="1" scenarios="1"/>
  <customSheetViews>
    <customSheetView guid="{30D5658C-25B6-44C0-9599-95A19C107C6A}" scale="90">
      <selection activeCell="G93" sqref="G93"/>
      <pageMargins left="0" right="0" top="0" bottom="0" header="0" footer="0"/>
      <pageSetup paperSize="9" orientation="portrait" horizontalDpi="360" verticalDpi="360" r:id="rId1"/>
    </customSheetView>
  </customSheetViews>
  <conditionalFormatting sqref="AN78">
    <cfRule type="cellIs" dxfId="26" priority="1" operator="between">
      <formula>0</formula>
      <formula>0.0000000026</formula>
    </cfRule>
    <cfRule type="cellIs" dxfId="25" priority="2" operator="between">
      <formula>0</formula>
      <formula>-0.001</formula>
    </cfRule>
    <cfRule type="cellIs" dxfId="24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workbookViewId="0">
      <selection activeCell="E14" sqref="E14"/>
    </sheetView>
  </sheetViews>
  <sheetFormatPr defaultRowHeight="15"/>
  <cols>
    <col min="1" max="1" width="8.85546875" style="56"/>
    <col min="2" max="2" width="49.28515625" bestFit="1" customWidth="1"/>
    <col min="3" max="3" width="15.5703125" bestFit="1" customWidth="1"/>
    <col min="4" max="4" width="2.140625" customWidth="1"/>
    <col min="5" max="5" width="18.85546875" bestFit="1" customWidth="1"/>
    <col min="6" max="6" width="31.7109375" customWidth="1"/>
    <col min="7" max="8" width="15.85546875" bestFit="1" customWidth="1"/>
    <col min="9" max="40" width="15.5703125" bestFit="1" customWidth="1"/>
  </cols>
  <sheetData>
    <row r="1" spans="1:40" s="56" customFormat="1" ht="23.25">
      <c r="B1" s="369" t="s">
        <v>326</v>
      </c>
    </row>
    <row r="3" spans="1:40">
      <c r="F3" s="247">
        <f>'Demonstrações Financeiras '!F4</f>
        <v>2026</v>
      </c>
      <c r="G3" s="247">
        <f>'Demonstrações Financeiras '!G4</f>
        <v>2027</v>
      </c>
      <c r="H3" s="247">
        <f>'Demonstrações Financeiras '!H4</f>
        <v>2028</v>
      </c>
      <c r="I3" s="247">
        <f>'Demonstrações Financeiras '!I4</f>
        <v>2029</v>
      </c>
      <c r="J3" s="247">
        <f>'Demonstrações Financeiras '!J4</f>
        <v>2030</v>
      </c>
      <c r="K3" s="247">
        <f>'Demonstrações Financeiras '!K4</f>
        <v>2031</v>
      </c>
      <c r="L3" s="247">
        <f>'Demonstrações Financeiras '!L4</f>
        <v>2032</v>
      </c>
      <c r="M3" s="247">
        <f>'Demonstrações Financeiras '!M4</f>
        <v>2033</v>
      </c>
      <c r="N3" s="247">
        <f>'Demonstrações Financeiras '!N4</f>
        <v>2034</v>
      </c>
      <c r="O3" s="247">
        <f>'Demonstrações Financeiras '!O4</f>
        <v>2035</v>
      </c>
      <c r="P3" s="247">
        <f>'Demonstrações Financeiras '!P4</f>
        <v>2036</v>
      </c>
      <c r="Q3" s="247">
        <f>'Demonstrações Financeiras '!Q4</f>
        <v>2037</v>
      </c>
      <c r="R3" s="247">
        <f>'Demonstrações Financeiras '!R4</f>
        <v>2038</v>
      </c>
      <c r="S3" s="247">
        <f>'Demonstrações Financeiras '!S4</f>
        <v>2039</v>
      </c>
      <c r="T3" s="247">
        <f>'Demonstrações Financeiras '!T4</f>
        <v>2040</v>
      </c>
      <c r="U3" s="247">
        <f>'Demonstrações Financeiras '!U4</f>
        <v>2041</v>
      </c>
      <c r="V3" s="247">
        <f>'Demonstrações Financeiras '!V4</f>
        <v>2042</v>
      </c>
      <c r="W3" s="247">
        <f>'Demonstrações Financeiras '!W4</f>
        <v>2043</v>
      </c>
      <c r="X3" s="247">
        <f>'Demonstrações Financeiras '!X4</f>
        <v>2044</v>
      </c>
      <c r="Y3" s="247">
        <f>'Demonstrações Financeiras '!Y4</f>
        <v>2045</v>
      </c>
      <c r="Z3" s="247">
        <f>'Demonstrações Financeiras '!Z4</f>
        <v>2046</v>
      </c>
      <c r="AA3" s="247">
        <f>'Demonstrações Financeiras '!AA4</f>
        <v>2047</v>
      </c>
      <c r="AB3" s="247">
        <f>'Demonstrações Financeiras '!AB4</f>
        <v>2048</v>
      </c>
      <c r="AC3" s="247">
        <f>'Demonstrações Financeiras '!AC4</f>
        <v>2049</v>
      </c>
      <c r="AD3" s="247">
        <f>'Demonstrações Financeiras '!AD4</f>
        <v>2050</v>
      </c>
      <c r="AE3" s="247">
        <f>'Demonstrações Financeiras '!AE4</f>
        <v>2051</v>
      </c>
      <c r="AF3" s="247">
        <f>'Demonstrações Financeiras '!AF4</f>
        <v>2052</v>
      </c>
      <c r="AG3" s="247">
        <f>'Demonstrações Financeiras '!AG4</f>
        <v>2053</v>
      </c>
      <c r="AH3" s="247">
        <f>'Demonstrações Financeiras '!AH4</f>
        <v>2054</v>
      </c>
      <c r="AI3" s="247">
        <f>'Demonstrações Financeiras '!AI4</f>
        <v>2055</v>
      </c>
      <c r="AJ3" s="372">
        <f>Seguros!C14*Seguros!C13</f>
        <v>186525</v>
      </c>
      <c r="AK3" s="247">
        <f>'Demonstrações Financeiras '!AK4</f>
        <v>2057</v>
      </c>
      <c r="AL3" s="247">
        <f>'Demonstrações Financeiras '!AL4</f>
        <v>2058</v>
      </c>
      <c r="AM3" s="247">
        <f>'Demonstrações Financeiras '!AM4</f>
        <v>2059</v>
      </c>
      <c r="AN3" s="247">
        <f>'Demonstrações Financeiras '!AN4</f>
        <v>2060</v>
      </c>
    </row>
    <row r="4" spans="1:40">
      <c r="F4" s="1">
        <f>'Demonstrações Financeiras '!F5</f>
        <v>1</v>
      </c>
      <c r="G4" s="1">
        <f>'Demonstrações Financeiras '!G5</f>
        <v>2</v>
      </c>
      <c r="H4" s="1">
        <f>'Demonstrações Financeiras '!H5</f>
        <v>3</v>
      </c>
      <c r="I4" s="1">
        <f>'Demonstrações Financeiras '!I5</f>
        <v>4</v>
      </c>
      <c r="J4" s="1">
        <f>'Demonstrações Financeiras '!J5</f>
        <v>5</v>
      </c>
      <c r="K4" s="1">
        <f>'Demonstrações Financeiras '!K5</f>
        <v>6</v>
      </c>
      <c r="L4" s="1">
        <f>'Demonstrações Financeiras '!L5</f>
        <v>7</v>
      </c>
      <c r="M4" s="1">
        <f>'Demonstrações Financeiras '!M5</f>
        <v>8</v>
      </c>
      <c r="N4" s="1">
        <f>'Demonstrações Financeiras '!N5</f>
        <v>9</v>
      </c>
      <c r="O4" s="1">
        <f>'Demonstrações Financeiras '!O5</f>
        <v>10</v>
      </c>
      <c r="P4" s="1">
        <f>'Demonstrações Financeiras '!P5</f>
        <v>11</v>
      </c>
      <c r="Q4" s="1">
        <f>'Demonstrações Financeiras '!Q5</f>
        <v>12</v>
      </c>
      <c r="R4" s="1">
        <f>'Demonstrações Financeiras '!R5</f>
        <v>13</v>
      </c>
      <c r="S4" s="1">
        <f>'Demonstrações Financeiras '!S5</f>
        <v>14</v>
      </c>
      <c r="T4" s="1">
        <f>'Demonstrações Financeiras '!T5</f>
        <v>15</v>
      </c>
      <c r="U4" s="1">
        <f>'Demonstrações Financeiras '!U5</f>
        <v>16</v>
      </c>
      <c r="V4" s="1">
        <f>'Demonstrações Financeiras '!V5</f>
        <v>17</v>
      </c>
      <c r="W4" s="1">
        <f>'Demonstrações Financeiras '!W5</f>
        <v>18</v>
      </c>
      <c r="X4" s="1">
        <f>'Demonstrações Financeiras '!X5</f>
        <v>19</v>
      </c>
      <c r="Y4" s="1">
        <f>'Demonstrações Financeiras '!Y5</f>
        <v>20</v>
      </c>
      <c r="Z4" s="1">
        <f>'Demonstrações Financeiras '!Z5</f>
        <v>21</v>
      </c>
      <c r="AA4" s="1">
        <f>'Demonstrações Financeiras '!AA5</f>
        <v>22</v>
      </c>
      <c r="AB4" s="1">
        <f>'Demonstrações Financeiras '!AB5</f>
        <v>23</v>
      </c>
      <c r="AC4" s="1">
        <f>'Demonstrações Financeiras '!AC5</f>
        <v>24</v>
      </c>
      <c r="AD4" s="1">
        <f>'Demonstrações Financeiras '!AD5</f>
        <v>25</v>
      </c>
      <c r="AE4" s="1">
        <f>'Demonstrações Financeiras '!AE5</f>
        <v>26</v>
      </c>
      <c r="AF4" s="1">
        <f>'Demonstrações Financeiras '!AF5</f>
        <v>27</v>
      </c>
      <c r="AG4" s="1">
        <f>'Demonstrações Financeiras '!AG5</f>
        <v>28</v>
      </c>
      <c r="AH4" s="1">
        <f>'Demonstrações Financeiras '!AH5</f>
        <v>29</v>
      </c>
      <c r="AI4" s="1">
        <f>'Demonstrações Financeiras '!AI5</f>
        <v>30</v>
      </c>
      <c r="AJ4" s="1">
        <f>'Demonstrações Financeiras '!AJ5</f>
        <v>31</v>
      </c>
      <c r="AK4" s="1">
        <f>'Demonstrações Financeiras '!AK5</f>
        <v>32</v>
      </c>
      <c r="AL4" s="1">
        <f>'Demonstrações Financeiras '!AL5</f>
        <v>33</v>
      </c>
      <c r="AM4" s="1">
        <f>'Demonstrações Financeiras '!AM5</f>
        <v>34</v>
      </c>
      <c r="AN4" s="1">
        <f>'Demonstrações Financeiras '!AN5</f>
        <v>35</v>
      </c>
    </row>
    <row r="5" spans="1:40">
      <c r="E5" t="s">
        <v>327</v>
      </c>
      <c r="F5" s="4">
        <f t="shared" ref="F5:AN5" si="0">$C$16</f>
        <v>1865.25</v>
      </c>
      <c r="G5" s="4">
        <f t="shared" si="0"/>
        <v>1865.25</v>
      </c>
      <c r="H5" s="4">
        <f t="shared" si="0"/>
        <v>1865.25</v>
      </c>
      <c r="I5" s="4">
        <f t="shared" si="0"/>
        <v>1865.25</v>
      </c>
      <c r="J5" s="4">
        <f t="shared" si="0"/>
        <v>1865.25</v>
      </c>
      <c r="K5" s="4">
        <f t="shared" si="0"/>
        <v>1865.25</v>
      </c>
      <c r="L5" s="4">
        <f t="shared" si="0"/>
        <v>1865.25</v>
      </c>
      <c r="M5" s="4">
        <f t="shared" si="0"/>
        <v>1865.25</v>
      </c>
      <c r="N5" s="4">
        <f t="shared" si="0"/>
        <v>1865.25</v>
      </c>
      <c r="O5" s="4">
        <f t="shared" si="0"/>
        <v>1865.25</v>
      </c>
      <c r="P5" s="4">
        <f t="shared" si="0"/>
        <v>1865.25</v>
      </c>
      <c r="Q5" s="4">
        <f t="shared" si="0"/>
        <v>1865.25</v>
      </c>
      <c r="R5" s="4">
        <f t="shared" si="0"/>
        <v>1865.25</v>
      </c>
      <c r="S5" s="4">
        <f t="shared" si="0"/>
        <v>1865.25</v>
      </c>
      <c r="T5" s="4">
        <f t="shared" si="0"/>
        <v>1865.25</v>
      </c>
      <c r="U5" s="4">
        <f t="shared" si="0"/>
        <v>1865.25</v>
      </c>
      <c r="V5" s="4">
        <f t="shared" si="0"/>
        <v>1865.25</v>
      </c>
      <c r="W5" s="4">
        <f t="shared" si="0"/>
        <v>1865.25</v>
      </c>
      <c r="X5" s="4">
        <f t="shared" si="0"/>
        <v>1865.25</v>
      </c>
      <c r="Y5" s="4">
        <f t="shared" si="0"/>
        <v>1865.25</v>
      </c>
      <c r="Z5" s="4">
        <f t="shared" si="0"/>
        <v>1865.25</v>
      </c>
      <c r="AA5" s="4">
        <f t="shared" si="0"/>
        <v>1865.25</v>
      </c>
      <c r="AB5" s="4">
        <f t="shared" si="0"/>
        <v>1865.25</v>
      </c>
      <c r="AC5" s="4">
        <f t="shared" si="0"/>
        <v>1865.25</v>
      </c>
      <c r="AD5" s="4">
        <f t="shared" si="0"/>
        <v>1865.25</v>
      </c>
      <c r="AE5" s="4">
        <f t="shared" si="0"/>
        <v>1865.25</v>
      </c>
      <c r="AF5" s="4">
        <f t="shared" si="0"/>
        <v>1865.25</v>
      </c>
      <c r="AG5" s="4">
        <f t="shared" si="0"/>
        <v>1865.25</v>
      </c>
      <c r="AH5" s="4">
        <f t="shared" si="0"/>
        <v>1865.25</v>
      </c>
      <c r="AI5" s="4">
        <f t="shared" si="0"/>
        <v>1865.25</v>
      </c>
      <c r="AJ5" s="4">
        <f t="shared" si="0"/>
        <v>1865.25</v>
      </c>
      <c r="AK5" s="4">
        <f t="shared" si="0"/>
        <v>1865.25</v>
      </c>
      <c r="AL5" s="4">
        <f t="shared" si="0"/>
        <v>1865.25</v>
      </c>
      <c r="AM5" s="4">
        <f t="shared" si="0"/>
        <v>1865.25</v>
      </c>
      <c r="AN5" s="4">
        <f t="shared" si="0"/>
        <v>1865.25</v>
      </c>
    </row>
    <row r="6" spans="1:40">
      <c r="E6" t="s">
        <v>328</v>
      </c>
      <c r="F6" s="4">
        <f>F25</f>
        <v>14923.253880000004</v>
      </c>
      <c r="G6" s="4">
        <f t="shared" ref="G6:AN6" si="1">G25</f>
        <v>14923.253880000004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0</v>
      </c>
      <c r="S6" s="4">
        <f t="shared" si="1"/>
        <v>0</v>
      </c>
      <c r="T6" s="4">
        <f t="shared" si="1"/>
        <v>0</v>
      </c>
      <c r="U6" s="4">
        <f t="shared" si="1"/>
        <v>0</v>
      </c>
      <c r="V6" s="4">
        <f t="shared" si="1"/>
        <v>0</v>
      </c>
      <c r="W6" s="4">
        <f t="shared" si="1"/>
        <v>0</v>
      </c>
      <c r="X6" s="4">
        <f t="shared" si="1"/>
        <v>0</v>
      </c>
      <c r="Y6" s="4">
        <f t="shared" si="1"/>
        <v>0</v>
      </c>
      <c r="Z6" s="4">
        <f t="shared" si="1"/>
        <v>0</v>
      </c>
      <c r="AA6" s="4">
        <f t="shared" si="1"/>
        <v>0</v>
      </c>
      <c r="AB6" s="4">
        <f t="shared" si="1"/>
        <v>0</v>
      </c>
      <c r="AC6" s="4">
        <f t="shared" si="1"/>
        <v>0</v>
      </c>
      <c r="AD6" s="4">
        <f t="shared" si="1"/>
        <v>0</v>
      </c>
      <c r="AE6" s="4">
        <f t="shared" si="1"/>
        <v>0</v>
      </c>
      <c r="AF6" s="4">
        <f t="shared" si="1"/>
        <v>0</v>
      </c>
      <c r="AG6" s="4">
        <f t="shared" si="1"/>
        <v>0</v>
      </c>
      <c r="AH6" s="4">
        <f t="shared" si="1"/>
        <v>0</v>
      </c>
      <c r="AI6" s="4">
        <f t="shared" si="1"/>
        <v>0</v>
      </c>
      <c r="AJ6" s="4">
        <f t="shared" si="1"/>
        <v>0</v>
      </c>
      <c r="AK6" s="4">
        <f t="shared" si="1"/>
        <v>0</v>
      </c>
      <c r="AL6" s="4">
        <f t="shared" si="1"/>
        <v>0</v>
      </c>
      <c r="AM6" s="4">
        <f t="shared" si="1"/>
        <v>0</v>
      </c>
      <c r="AN6" s="4">
        <f t="shared" si="1"/>
        <v>0</v>
      </c>
    </row>
    <row r="7" spans="1:40">
      <c r="D7" s="4"/>
      <c r="E7" s="362" t="s">
        <v>329</v>
      </c>
      <c r="F7" s="4">
        <f>F34</f>
        <v>1193.8603104000003</v>
      </c>
      <c r="G7" s="4">
        <f t="shared" ref="G7:AN7" si="2">G34</f>
        <v>2387.52</v>
      </c>
      <c r="H7" s="4">
        <f t="shared" si="2"/>
        <v>2387.52</v>
      </c>
      <c r="I7" s="4">
        <f t="shared" si="2"/>
        <v>2387.52</v>
      </c>
      <c r="J7" s="4">
        <f t="shared" si="2"/>
        <v>2387.52</v>
      </c>
      <c r="K7" s="4">
        <f t="shared" si="2"/>
        <v>2387.52</v>
      </c>
      <c r="L7" s="4">
        <f t="shared" si="2"/>
        <v>2387.52</v>
      </c>
      <c r="M7" s="4">
        <f t="shared" si="2"/>
        <v>2387.52</v>
      </c>
      <c r="N7" s="4">
        <f t="shared" si="2"/>
        <v>2387.52</v>
      </c>
      <c r="O7" s="4">
        <f t="shared" si="2"/>
        <v>2387.52</v>
      </c>
      <c r="P7" s="4">
        <f t="shared" si="2"/>
        <v>2387.52</v>
      </c>
      <c r="Q7" s="4">
        <f t="shared" si="2"/>
        <v>2387.52</v>
      </c>
      <c r="R7" s="4">
        <f t="shared" si="2"/>
        <v>2387.52</v>
      </c>
      <c r="S7" s="4">
        <f t="shared" si="2"/>
        <v>2387.52</v>
      </c>
      <c r="T7" s="4">
        <f t="shared" si="2"/>
        <v>2387.52</v>
      </c>
      <c r="U7" s="4">
        <f t="shared" si="2"/>
        <v>2387.52</v>
      </c>
      <c r="V7" s="4">
        <f t="shared" si="2"/>
        <v>2387.52</v>
      </c>
      <c r="W7" s="4">
        <f t="shared" si="2"/>
        <v>2387.52</v>
      </c>
      <c r="X7" s="4">
        <f t="shared" si="2"/>
        <v>2387.52</v>
      </c>
      <c r="Y7" s="4">
        <f t="shared" si="2"/>
        <v>2387.52</v>
      </c>
      <c r="Z7" s="4">
        <f t="shared" si="2"/>
        <v>2387.52</v>
      </c>
      <c r="AA7" s="4">
        <f t="shared" si="2"/>
        <v>2387.52</v>
      </c>
      <c r="AB7" s="4">
        <f t="shared" si="2"/>
        <v>2387.52</v>
      </c>
      <c r="AC7" s="4">
        <f t="shared" si="2"/>
        <v>2387.52</v>
      </c>
      <c r="AD7" s="4">
        <f t="shared" si="2"/>
        <v>2387.52</v>
      </c>
      <c r="AE7" s="4">
        <f t="shared" si="2"/>
        <v>2387.52</v>
      </c>
      <c r="AF7" s="4">
        <f t="shared" si="2"/>
        <v>2387.52</v>
      </c>
      <c r="AG7" s="4">
        <f t="shared" si="2"/>
        <v>2387.52</v>
      </c>
      <c r="AH7" s="4">
        <f t="shared" si="2"/>
        <v>2387.52</v>
      </c>
      <c r="AI7" s="4">
        <f t="shared" si="2"/>
        <v>2387.52</v>
      </c>
      <c r="AJ7" s="4">
        <f t="shared" si="2"/>
        <v>2387.52</v>
      </c>
      <c r="AK7" s="4">
        <f t="shared" si="2"/>
        <v>2387.52</v>
      </c>
      <c r="AL7" s="4">
        <f t="shared" si="2"/>
        <v>2387.52</v>
      </c>
      <c r="AM7" s="4">
        <f t="shared" si="2"/>
        <v>2387.52</v>
      </c>
      <c r="AN7" s="4">
        <f t="shared" si="2"/>
        <v>2387.52</v>
      </c>
    </row>
    <row r="8" spans="1:40">
      <c r="D8" s="4"/>
      <c r="E8" t="s">
        <v>330</v>
      </c>
      <c r="F8" s="4">
        <f>F43</f>
        <v>1343.0928492</v>
      </c>
      <c r="G8" s="4">
        <f t="shared" ref="G8:AN8" si="3">G43</f>
        <v>2686.1856984000001</v>
      </c>
      <c r="H8" s="4">
        <f t="shared" si="3"/>
        <v>2686.1856984000001</v>
      </c>
      <c r="I8" s="4">
        <f t="shared" si="3"/>
        <v>2686.1856984000001</v>
      </c>
      <c r="J8" s="4">
        <f t="shared" si="3"/>
        <v>2686.1856984000001</v>
      </c>
      <c r="K8" s="4">
        <f t="shared" si="3"/>
        <v>2686.1856984000001</v>
      </c>
      <c r="L8" s="4">
        <f t="shared" si="3"/>
        <v>2686.1856984000001</v>
      </c>
      <c r="M8" s="4">
        <f t="shared" si="3"/>
        <v>2686.1856984000001</v>
      </c>
      <c r="N8" s="4">
        <f t="shared" si="3"/>
        <v>2686.1856984000001</v>
      </c>
      <c r="O8" s="4">
        <f t="shared" si="3"/>
        <v>2686.1856984000001</v>
      </c>
      <c r="P8" s="4">
        <f t="shared" si="3"/>
        <v>2686.1856984000001</v>
      </c>
      <c r="Q8" s="4">
        <f t="shared" si="3"/>
        <v>2686.1856984000001</v>
      </c>
      <c r="R8" s="4">
        <f t="shared" si="3"/>
        <v>2686.1856984000001</v>
      </c>
      <c r="S8" s="4">
        <f t="shared" si="3"/>
        <v>2686.1856984000001</v>
      </c>
      <c r="T8" s="4">
        <f t="shared" si="3"/>
        <v>2686.1856984000001</v>
      </c>
      <c r="U8" s="4">
        <f t="shared" si="3"/>
        <v>2686.1856984000001</v>
      </c>
      <c r="V8" s="4">
        <f t="shared" si="3"/>
        <v>2686.1856984000001</v>
      </c>
      <c r="W8" s="4">
        <f t="shared" si="3"/>
        <v>2686.1856984000001</v>
      </c>
      <c r="X8" s="4">
        <f t="shared" si="3"/>
        <v>2686.1856984000001</v>
      </c>
      <c r="Y8" s="4">
        <f t="shared" si="3"/>
        <v>2686.1856984000001</v>
      </c>
      <c r="Z8" s="4">
        <f t="shared" si="3"/>
        <v>2686.1856984000001</v>
      </c>
      <c r="AA8" s="4">
        <f t="shared" si="3"/>
        <v>2686.1856984000001</v>
      </c>
      <c r="AB8" s="4">
        <f t="shared" si="3"/>
        <v>2686.1856984000001</v>
      </c>
      <c r="AC8" s="4">
        <f t="shared" si="3"/>
        <v>2686.1856984000001</v>
      </c>
      <c r="AD8" s="4">
        <f t="shared" si="3"/>
        <v>2686.1856984000001</v>
      </c>
      <c r="AE8" s="4">
        <f t="shared" si="3"/>
        <v>2686.1856984000001</v>
      </c>
      <c r="AF8" s="4">
        <f t="shared" si="3"/>
        <v>2686.1856984000001</v>
      </c>
      <c r="AG8" s="4">
        <f t="shared" si="3"/>
        <v>2686.1856984000001</v>
      </c>
      <c r="AH8" s="4">
        <f t="shared" si="3"/>
        <v>2686.1856984000001</v>
      </c>
      <c r="AI8" s="4">
        <f t="shared" si="3"/>
        <v>2686.1856984000001</v>
      </c>
      <c r="AJ8" s="4">
        <f t="shared" si="3"/>
        <v>2686.1856984000001</v>
      </c>
      <c r="AK8" s="4">
        <f t="shared" si="3"/>
        <v>2686.1856984000001</v>
      </c>
      <c r="AL8" s="4">
        <f t="shared" si="3"/>
        <v>2686.1856984000001</v>
      </c>
      <c r="AM8" s="4">
        <f t="shared" si="3"/>
        <v>2686.1856984000001</v>
      </c>
      <c r="AN8" s="4">
        <f t="shared" si="3"/>
        <v>2686.1856984000001</v>
      </c>
    </row>
    <row r="9" spans="1:40">
      <c r="E9" s="120" t="s">
        <v>331</v>
      </c>
      <c r="F9" s="121">
        <f>SUM(F5:F8)</f>
        <v>19325.457039600002</v>
      </c>
      <c r="G9" s="121">
        <f t="shared" ref="G9:AN9" si="4">SUM(G5:G8)</f>
        <v>21862.209578400005</v>
      </c>
      <c r="H9" s="121">
        <f t="shared" si="4"/>
        <v>6938.955698400001</v>
      </c>
      <c r="I9" s="121">
        <f t="shared" si="4"/>
        <v>6938.955698400001</v>
      </c>
      <c r="J9" s="121">
        <f t="shared" si="4"/>
        <v>6938.955698400001</v>
      </c>
      <c r="K9" s="121">
        <f t="shared" si="4"/>
        <v>6938.955698400001</v>
      </c>
      <c r="L9" s="121">
        <f t="shared" si="4"/>
        <v>6938.955698400001</v>
      </c>
      <c r="M9" s="121">
        <f t="shared" si="4"/>
        <v>6938.955698400001</v>
      </c>
      <c r="N9" s="121">
        <f t="shared" si="4"/>
        <v>6938.955698400001</v>
      </c>
      <c r="O9" s="121">
        <f t="shared" si="4"/>
        <v>6938.955698400001</v>
      </c>
      <c r="P9" s="121">
        <f t="shared" si="4"/>
        <v>6938.955698400001</v>
      </c>
      <c r="Q9" s="121">
        <f t="shared" si="4"/>
        <v>6938.955698400001</v>
      </c>
      <c r="R9" s="121">
        <f t="shared" si="4"/>
        <v>6938.955698400001</v>
      </c>
      <c r="S9" s="121">
        <f t="shared" si="4"/>
        <v>6938.955698400001</v>
      </c>
      <c r="T9" s="121">
        <f t="shared" si="4"/>
        <v>6938.955698400001</v>
      </c>
      <c r="U9" s="121">
        <f t="shared" si="4"/>
        <v>6938.955698400001</v>
      </c>
      <c r="V9" s="121">
        <f t="shared" si="4"/>
        <v>6938.955698400001</v>
      </c>
      <c r="W9" s="121">
        <f t="shared" si="4"/>
        <v>6938.955698400001</v>
      </c>
      <c r="X9" s="121">
        <f t="shared" si="4"/>
        <v>6938.955698400001</v>
      </c>
      <c r="Y9" s="121">
        <f t="shared" si="4"/>
        <v>6938.955698400001</v>
      </c>
      <c r="Z9" s="121">
        <f t="shared" si="4"/>
        <v>6938.955698400001</v>
      </c>
      <c r="AA9" s="121">
        <f t="shared" si="4"/>
        <v>6938.955698400001</v>
      </c>
      <c r="AB9" s="121">
        <f t="shared" si="4"/>
        <v>6938.955698400001</v>
      </c>
      <c r="AC9" s="121">
        <f t="shared" si="4"/>
        <v>6938.955698400001</v>
      </c>
      <c r="AD9" s="121">
        <f t="shared" si="4"/>
        <v>6938.955698400001</v>
      </c>
      <c r="AE9" s="121">
        <f t="shared" si="4"/>
        <v>6938.955698400001</v>
      </c>
      <c r="AF9" s="121">
        <f t="shared" si="4"/>
        <v>6938.955698400001</v>
      </c>
      <c r="AG9" s="121">
        <f t="shared" si="4"/>
        <v>6938.955698400001</v>
      </c>
      <c r="AH9" s="121">
        <f t="shared" si="4"/>
        <v>6938.955698400001</v>
      </c>
      <c r="AI9" s="121">
        <f t="shared" si="4"/>
        <v>6938.955698400001</v>
      </c>
      <c r="AJ9" s="121">
        <f t="shared" si="4"/>
        <v>6938.955698400001</v>
      </c>
      <c r="AK9" s="121">
        <f t="shared" si="4"/>
        <v>6938.955698400001</v>
      </c>
      <c r="AL9" s="121">
        <f t="shared" si="4"/>
        <v>6938.955698400001</v>
      </c>
      <c r="AM9" s="121">
        <f t="shared" si="4"/>
        <v>6938.955698400001</v>
      </c>
      <c r="AN9" s="121">
        <f t="shared" si="4"/>
        <v>6938.955698400001</v>
      </c>
    </row>
    <row r="10" spans="1:40">
      <c r="F10" s="4"/>
    </row>
    <row r="11" spans="1:40" s="120" customFormat="1">
      <c r="A11" s="56"/>
      <c r="B11" s="120" t="s">
        <v>327</v>
      </c>
      <c r="F11" s="121"/>
    </row>
    <row r="12" spans="1:40">
      <c r="F12" s="4"/>
    </row>
    <row r="13" spans="1:40">
      <c r="B13" t="s">
        <v>332</v>
      </c>
      <c r="C13" s="367">
        <f>TRUNC('Premissas Gerais'!D7/1000,0)*1000</f>
        <v>7461000</v>
      </c>
      <c r="F13" s="4"/>
    </row>
    <row r="14" spans="1:40">
      <c r="B14" t="s">
        <v>333</v>
      </c>
      <c r="C14" s="366">
        <v>2.5000000000000001E-2</v>
      </c>
      <c r="F14" s="4"/>
    </row>
    <row r="15" spans="1:40">
      <c r="B15" t="s">
        <v>334</v>
      </c>
      <c r="C15" s="363">
        <v>0.01</v>
      </c>
      <c r="F15" s="4"/>
    </row>
    <row r="16" spans="1:40">
      <c r="B16" t="s">
        <v>335</v>
      </c>
      <c r="C16" s="4">
        <f>C15*C14*C13</f>
        <v>1865.25</v>
      </c>
      <c r="E16" s="289"/>
      <c r="F16" s="4"/>
    </row>
    <row r="17" spans="1:40">
      <c r="F17" s="4"/>
    </row>
    <row r="18" spans="1:40" s="120" customFormat="1">
      <c r="A18" s="56"/>
      <c r="B18" s="120" t="s">
        <v>336</v>
      </c>
    </row>
    <row r="19" spans="1:40">
      <c r="F19" s="247">
        <f>F3</f>
        <v>2026</v>
      </c>
      <c r="G19" s="247">
        <f t="shared" ref="G19:AN19" si="5">G3</f>
        <v>2027</v>
      </c>
      <c r="H19" s="247">
        <f t="shared" si="5"/>
        <v>2028</v>
      </c>
      <c r="I19" s="247">
        <f t="shared" si="5"/>
        <v>2029</v>
      </c>
      <c r="J19" s="247">
        <f t="shared" si="5"/>
        <v>2030</v>
      </c>
      <c r="K19" s="247">
        <f t="shared" si="5"/>
        <v>2031</v>
      </c>
      <c r="L19" s="247">
        <f t="shared" si="5"/>
        <v>2032</v>
      </c>
      <c r="M19" s="247">
        <f t="shared" si="5"/>
        <v>2033</v>
      </c>
      <c r="N19" s="247">
        <f t="shared" si="5"/>
        <v>2034</v>
      </c>
      <c r="O19" s="247">
        <f t="shared" si="5"/>
        <v>2035</v>
      </c>
      <c r="P19" s="247">
        <f t="shared" si="5"/>
        <v>2036</v>
      </c>
      <c r="Q19" s="247">
        <f t="shared" si="5"/>
        <v>2037</v>
      </c>
      <c r="R19" s="247">
        <f t="shared" si="5"/>
        <v>2038</v>
      </c>
      <c r="S19" s="247">
        <f t="shared" si="5"/>
        <v>2039</v>
      </c>
      <c r="T19" s="247">
        <f t="shared" si="5"/>
        <v>2040</v>
      </c>
      <c r="U19" s="247">
        <f t="shared" si="5"/>
        <v>2041</v>
      </c>
      <c r="V19" s="247">
        <f t="shared" si="5"/>
        <v>2042</v>
      </c>
      <c r="W19" s="247">
        <f t="shared" si="5"/>
        <v>2043</v>
      </c>
      <c r="X19" s="247">
        <f t="shared" si="5"/>
        <v>2044</v>
      </c>
      <c r="Y19" s="247">
        <f t="shared" si="5"/>
        <v>2045</v>
      </c>
      <c r="Z19" s="247">
        <f t="shared" si="5"/>
        <v>2046</v>
      </c>
      <c r="AA19" s="247">
        <f t="shared" si="5"/>
        <v>2047</v>
      </c>
      <c r="AB19" s="247">
        <f t="shared" si="5"/>
        <v>2048</v>
      </c>
      <c r="AC19" s="247">
        <f t="shared" si="5"/>
        <v>2049</v>
      </c>
      <c r="AD19" s="247">
        <f t="shared" si="5"/>
        <v>2050</v>
      </c>
      <c r="AE19" s="247">
        <f t="shared" si="5"/>
        <v>2051</v>
      </c>
      <c r="AF19" s="247">
        <f t="shared" si="5"/>
        <v>2052</v>
      </c>
      <c r="AG19" s="247">
        <f t="shared" si="5"/>
        <v>2053</v>
      </c>
      <c r="AH19" s="247">
        <f t="shared" si="5"/>
        <v>2054</v>
      </c>
      <c r="AI19" s="247">
        <f t="shared" si="5"/>
        <v>2055</v>
      </c>
      <c r="AJ19" s="247">
        <f t="shared" si="5"/>
        <v>186525</v>
      </c>
      <c r="AK19" s="247">
        <f t="shared" si="5"/>
        <v>2057</v>
      </c>
      <c r="AL19" s="247">
        <f t="shared" si="5"/>
        <v>2058</v>
      </c>
      <c r="AM19" s="247">
        <f t="shared" si="5"/>
        <v>2059</v>
      </c>
      <c r="AN19" s="247">
        <f t="shared" si="5"/>
        <v>2060</v>
      </c>
    </row>
    <row r="20" spans="1:40">
      <c r="F20" s="1">
        <f>F4</f>
        <v>1</v>
      </c>
      <c r="G20" s="1">
        <f t="shared" ref="G20:AN20" si="6">G4</f>
        <v>2</v>
      </c>
      <c r="H20" s="1">
        <f t="shared" si="6"/>
        <v>3</v>
      </c>
      <c r="I20" s="1">
        <f t="shared" si="6"/>
        <v>4</v>
      </c>
      <c r="J20" s="1">
        <f t="shared" si="6"/>
        <v>5</v>
      </c>
      <c r="K20" s="1">
        <f t="shared" si="6"/>
        <v>6</v>
      </c>
      <c r="L20" s="1">
        <f t="shared" si="6"/>
        <v>7</v>
      </c>
      <c r="M20" s="1">
        <f t="shared" si="6"/>
        <v>8</v>
      </c>
      <c r="N20" s="1">
        <f t="shared" si="6"/>
        <v>9</v>
      </c>
      <c r="O20" s="1">
        <f t="shared" si="6"/>
        <v>10</v>
      </c>
      <c r="P20" s="1">
        <f t="shared" si="6"/>
        <v>11</v>
      </c>
      <c r="Q20" s="1">
        <f t="shared" si="6"/>
        <v>12</v>
      </c>
      <c r="R20" s="1">
        <f t="shared" si="6"/>
        <v>13</v>
      </c>
      <c r="S20" s="1">
        <f t="shared" si="6"/>
        <v>14</v>
      </c>
      <c r="T20" s="1">
        <f t="shared" si="6"/>
        <v>15</v>
      </c>
      <c r="U20" s="1">
        <f t="shared" si="6"/>
        <v>16</v>
      </c>
      <c r="V20" s="1">
        <f t="shared" si="6"/>
        <v>17</v>
      </c>
      <c r="W20" s="1">
        <f t="shared" si="6"/>
        <v>18</v>
      </c>
      <c r="X20" s="1">
        <f t="shared" si="6"/>
        <v>19</v>
      </c>
      <c r="Y20" s="1">
        <f t="shared" si="6"/>
        <v>20</v>
      </c>
      <c r="Z20" s="1">
        <f t="shared" si="6"/>
        <v>21</v>
      </c>
      <c r="AA20" s="1">
        <f t="shared" si="6"/>
        <v>22</v>
      </c>
      <c r="AB20" s="1">
        <f t="shared" si="6"/>
        <v>23</v>
      </c>
      <c r="AC20" s="1">
        <f t="shared" si="6"/>
        <v>24</v>
      </c>
      <c r="AD20" s="1">
        <f t="shared" si="6"/>
        <v>25</v>
      </c>
      <c r="AE20" s="1">
        <f t="shared" si="6"/>
        <v>26</v>
      </c>
      <c r="AF20" s="1">
        <f t="shared" si="6"/>
        <v>27</v>
      </c>
      <c r="AG20" s="1">
        <f t="shared" si="6"/>
        <v>28</v>
      </c>
      <c r="AH20" s="1">
        <f t="shared" si="6"/>
        <v>29</v>
      </c>
      <c r="AI20" s="1">
        <f t="shared" si="6"/>
        <v>30</v>
      </c>
      <c r="AJ20" s="1">
        <f t="shared" si="6"/>
        <v>31</v>
      </c>
      <c r="AK20" s="1">
        <f t="shared" si="6"/>
        <v>32</v>
      </c>
      <c r="AL20" s="1">
        <f t="shared" si="6"/>
        <v>33</v>
      </c>
      <c r="AM20" s="1">
        <f t="shared" si="6"/>
        <v>34</v>
      </c>
      <c r="AN20" s="1">
        <f t="shared" si="6"/>
        <v>35</v>
      </c>
    </row>
    <row r="21" spans="1:40">
      <c r="E21" t="s">
        <v>290</v>
      </c>
      <c r="F21" s="4">
        <f>Capex!G7</f>
        <v>3730813.4700000007</v>
      </c>
      <c r="G21" s="4">
        <f>Capex!H7</f>
        <v>3730813.4700000007</v>
      </c>
      <c r="H21" s="4">
        <f>Capex!I7</f>
        <v>0</v>
      </c>
      <c r="I21" s="4">
        <f>Capex!J7</f>
        <v>0</v>
      </c>
      <c r="J21" s="4">
        <f>Capex!K7</f>
        <v>0</v>
      </c>
      <c r="K21" s="4">
        <f>Capex!L7</f>
        <v>0</v>
      </c>
      <c r="L21" s="4">
        <f>Capex!M7</f>
        <v>0</v>
      </c>
      <c r="M21" s="4">
        <f>Capex!N7</f>
        <v>0</v>
      </c>
      <c r="N21" s="4">
        <f>Capex!O7</f>
        <v>0</v>
      </c>
      <c r="O21" s="4">
        <f>Capex!P7</f>
        <v>0</v>
      </c>
      <c r="P21" s="4">
        <f>Capex!Q7</f>
        <v>0</v>
      </c>
      <c r="Q21" s="4">
        <f>Capex!R7</f>
        <v>0</v>
      </c>
      <c r="R21" s="4">
        <f>Capex!S7</f>
        <v>0</v>
      </c>
      <c r="S21" s="4">
        <f>Capex!T7</f>
        <v>0</v>
      </c>
      <c r="T21" s="4">
        <f>Capex!U7</f>
        <v>0</v>
      </c>
      <c r="U21" s="4">
        <f>Capex!V7</f>
        <v>0</v>
      </c>
      <c r="V21" s="4">
        <f>Capex!W7</f>
        <v>0</v>
      </c>
      <c r="W21" s="4">
        <f>Capex!X7</f>
        <v>0</v>
      </c>
      <c r="X21" s="4">
        <f>Capex!Y7</f>
        <v>0</v>
      </c>
      <c r="Y21" s="4">
        <f>Capex!Z7</f>
        <v>0</v>
      </c>
      <c r="Z21" s="4">
        <f>Capex!AA7</f>
        <v>0</v>
      </c>
      <c r="AA21" s="4">
        <f>Capex!AB7</f>
        <v>0</v>
      </c>
      <c r="AB21" s="4">
        <f>Capex!AC7</f>
        <v>0</v>
      </c>
      <c r="AC21" s="4">
        <f>Capex!AD7</f>
        <v>0</v>
      </c>
      <c r="AD21" s="4">
        <f>Capex!AE7</f>
        <v>0</v>
      </c>
      <c r="AE21" s="4">
        <f>Capex!AF7</f>
        <v>0</v>
      </c>
      <c r="AF21" s="4">
        <f>Capex!AG7</f>
        <v>0</v>
      </c>
      <c r="AG21" s="4">
        <f>Capex!AH7</f>
        <v>0</v>
      </c>
      <c r="AH21" s="4">
        <f>Capex!AI7</f>
        <v>0</v>
      </c>
      <c r="AI21" s="4">
        <f>Capex!AJ7</f>
        <v>0</v>
      </c>
      <c r="AJ21" s="4">
        <f>Capex!AK7</f>
        <v>0</v>
      </c>
      <c r="AK21" s="4">
        <f>Capex!AL7</f>
        <v>0</v>
      </c>
      <c r="AL21" s="4">
        <f>Capex!AM7</f>
        <v>0</v>
      </c>
      <c r="AM21" s="4">
        <f>Capex!AN7</f>
        <v>0</v>
      </c>
      <c r="AN21" s="4">
        <f>Capex!AO7</f>
        <v>0</v>
      </c>
    </row>
    <row r="22" spans="1:40" ht="25.15" customHeight="1">
      <c r="B22" s="421" t="s">
        <v>337</v>
      </c>
      <c r="C22" s="421"/>
      <c r="E22" t="s">
        <v>338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  <c r="N22" s="148">
        <v>1</v>
      </c>
      <c r="O22" s="148">
        <v>1</v>
      </c>
      <c r="P22" s="148">
        <v>1</v>
      </c>
      <c r="Q22" s="148">
        <v>1</v>
      </c>
      <c r="R22" s="148">
        <v>1</v>
      </c>
      <c r="S22" s="148">
        <v>1</v>
      </c>
      <c r="T22" s="148">
        <v>1</v>
      </c>
      <c r="U22" s="148">
        <v>1</v>
      </c>
      <c r="V22" s="148">
        <v>1</v>
      </c>
      <c r="W22" s="148">
        <v>1</v>
      </c>
      <c r="X22" s="148">
        <v>1</v>
      </c>
      <c r="Y22" s="148">
        <v>1</v>
      </c>
      <c r="Z22" s="148">
        <v>1</v>
      </c>
      <c r="AA22" s="148">
        <v>1</v>
      </c>
      <c r="AB22" s="148">
        <v>1</v>
      </c>
      <c r="AC22" s="148">
        <v>1</v>
      </c>
      <c r="AD22" s="148">
        <v>1</v>
      </c>
      <c r="AE22" s="148">
        <v>1</v>
      </c>
      <c r="AF22" s="148">
        <v>1</v>
      </c>
      <c r="AG22" s="148">
        <v>1</v>
      </c>
      <c r="AH22" s="148">
        <v>1</v>
      </c>
      <c r="AI22" s="148">
        <v>1</v>
      </c>
      <c r="AJ22" s="148">
        <v>1</v>
      </c>
      <c r="AK22" s="148">
        <v>1</v>
      </c>
      <c r="AL22" s="148">
        <v>1</v>
      </c>
      <c r="AM22" s="148">
        <v>1</v>
      </c>
      <c r="AN22" s="148">
        <v>1</v>
      </c>
    </row>
    <row r="23" spans="1:40">
      <c r="E23" t="s">
        <v>339</v>
      </c>
      <c r="F23" s="363">
        <v>4.0000000000000001E-3</v>
      </c>
      <c r="G23" s="208">
        <f>F23</f>
        <v>4.0000000000000001E-3</v>
      </c>
      <c r="H23" s="208">
        <f t="shared" ref="H23:AN24" si="7">G23</f>
        <v>4.0000000000000001E-3</v>
      </c>
      <c r="I23" s="208">
        <f t="shared" si="7"/>
        <v>4.0000000000000001E-3</v>
      </c>
      <c r="J23" s="208">
        <f t="shared" si="7"/>
        <v>4.0000000000000001E-3</v>
      </c>
      <c r="K23" s="208">
        <f t="shared" si="7"/>
        <v>4.0000000000000001E-3</v>
      </c>
      <c r="L23" s="208">
        <f t="shared" si="7"/>
        <v>4.0000000000000001E-3</v>
      </c>
      <c r="M23" s="208">
        <f t="shared" si="7"/>
        <v>4.0000000000000001E-3</v>
      </c>
      <c r="N23" s="208">
        <f t="shared" si="7"/>
        <v>4.0000000000000001E-3</v>
      </c>
      <c r="O23" s="208">
        <f t="shared" si="7"/>
        <v>4.0000000000000001E-3</v>
      </c>
      <c r="P23" s="208">
        <f t="shared" si="7"/>
        <v>4.0000000000000001E-3</v>
      </c>
      <c r="Q23" s="208">
        <f t="shared" si="7"/>
        <v>4.0000000000000001E-3</v>
      </c>
      <c r="R23" s="208">
        <f t="shared" si="7"/>
        <v>4.0000000000000001E-3</v>
      </c>
      <c r="S23" s="208">
        <f t="shared" si="7"/>
        <v>4.0000000000000001E-3</v>
      </c>
      <c r="T23" s="208">
        <f t="shared" si="7"/>
        <v>4.0000000000000001E-3</v>
      </c>
      <c r="U23" s="208">
        <f t="shared" si="7"/>
        <v>4.0000000000000001E-3</v>
      </c>
      <c r="V23" s="208">
        <f t="shared" si="7"/>
        <v>4.0000000000000001E-3</v>
      </c>
      <c r="W23" s="208">
        <f t="shared" si="7"/>
        <v>4.0000000000000001E-3</v>
      </c>
      <c r="X23" s="208">
        <f t="shared" si="7"/>
        <v>4.0000000000000001E-3</v>
      </c>
      <c r="Y23" s="208">
        <f t="shared" si="7"/>
        <v>4.0000000000000001E-3</v>
      </c>
      <c r="Z23" s="208">
        <f t="shared" si="7"/>
        <v>4.0000000000000001E-3</v>
      </c>
      <c r="AA23" s="208">
        <f t="shared" si="7"/>
        <v>4.0000000000000001E-3</v>
      </c>
      <c r="AB23" s="208">
        <f t="shared" si="7"/>
        <v>4.0000000000000001E-3</v>
      </c>
      <c r="AC23" s="208">
        <f t="shared" si="7"/>
        <v>4.0000000000000001E-3</v>
      </c>
      <c r="AD23" s="208">
        <f t="shared" si="7"/>
        <v>4.0000000000000001E-3</v>
      </c>
      <c r="AE23" s="208">
        <f t="shared" si="7"/>
        <v>4.0000000000000001E-3</v>
      </c>
      <c r="AF23" s="208">
        <f t="shared" si="7"/>
        <v>4.0000000000000001E-3</v>
      </c>
      <c r="AG23" s="208">
        <f t="shared" si="7"/>
        <v>4.0000000000000001E-3</v>
      </c>
      <c r="AH23" s="208">
        <f t="shared" si="7"/>
        <v>4.0000000000000001E-3</v>
      </c>
      <c r="AI23" s="208">
        <f t="shared" si="7"/>
        <v>4.0000000000000001E-3</v>
      </c>
      <c r="AJ23" s="208">
        <f t="shared" si="7"/>
        <v>4.0000000000000001E-3</v>
      </c>
      <c r="AK23" s="208">
        <f t="shared" si="7"/>
        <v>4.0000000000000001E-3</v>
      </c>
      <c r="AL23" s="208">
        <f t="shared" si="7"/>
        <v>4.0000000000000001E-3</v>
      </c>
      <c r="AM23" s="208">
        <f t="shared" si="7"/>
        <v>4.0000000000000001E-3</v>
      </c>
      <c r="AN23" s="208">
        <f t="shared" si="7"/>
        <v>4.0000000000000001E-3</v>
      </c>
    </row>
    <row r="24" spans="1:40">
      <c r="B24" s="289"/>
      <c r="E24" t="s">
        <v>340</v>
      </c>
      <c r="F24" s="208">
        <v>0</v>
      </c>
      <c r="G24" s="208">
        <f>F24</f>
        <v>0</v>
      </c>
      <c r="H24" s="208">
        <f t="shared" si="7"/>
        <v>0</v>
      </c>
      <c r="I24" s="208">
        <f t="shared" si="7"/>
        <v>0</v>
      </c>
      <c r="J24" s="208">
        <f t="shared" si="7"/>
        <v>0</v>
      </c>
      <c r="K24" s="208">
        <f t="shared" si="7"/>
        <v>0</v>
      </c>
      <c r="L24" s="208">
        <f t="shared" si="7"/>
        <v>0</v>
      </c>
      <c r="M24" s="208">
        <f t="shared" si="7"/>
        <v>0</v>
      </c>
      <c r="N24" s="208">
        <f t="shared" si="7"/>
        <v>0</v>
      </c>
      <c r="O24" s="208">
        <f t="shared" si="7"/>
        <v>0</v>
      </c>
      <c r="P24" s="208">
        <f t="shared" si="7"/>
        <v>0</v>
      </c>
      <c r="Q24" s="208">
        <f t="shared" si="7"/>
        <v>0</v>
      </c>
      <c r="R24" s="208">
        <f t="shared" si="7"/>
        <v>0</v>
      </c>
      <c r="S24" s="208">
        <f t="shared" si="7"/>
        <v>0</v>
      </c>
      <c r="T24" s="208">
        <f t="shared" si="7"/>
        <v>0</v>
      </c>
      <c r="U24" s="208">
        <f t="shared" si="7"/>
        <v>0</v>
      </c>
      <c r="V24" s="208">
        <f t="shared" si="7"/>
        <v>0</v>
      </c>
      <c r="W24" s="208">
        <f t="shared" si="7"/>
        <v>0</v>
      </c>
      <c r="X24" s="208">
        <f t="shared" si="7"/>
        <v>0</v>
      </c>
      <c r="Y24" s="208">
        <f t="shared" si="7"/>
        <v>0</v>
      </c>
      <c r="Z24" s="208">
        <f t="shared" si="7"/>
        <v>0</v>
      </c>
      <c r="AA24" s="208">
        <f t="shared" si="7"/>
        <v>0</v>
      </c>
      <c r="AB24" s="208">
        <f t="shared" si="7"/>
        <v>0</v>
      </c>
      <c r="AC24" s="208">
        <f t="shared" si="7"/>
        <v>0</v>
      </c>
      <c r="AD24" s="208">
        <f t="shared" si="7"/>
        <v>0</v>
      </c>
      <c r="AE24" s="208">
        <f t="shared" si="7"/>
        <v>0</v>
      </c>
      <c r="AF24" s="208">
        <f t="shared" si="7"/>
        <v>0</v>
      </c>
      <c r="AG24" s="208">
        <f t="shared" si="7"/>
        <v>0</v>
      </c>
      <c r="AH24" s="208">
        <f t="shared" si="7"/>
        <v>0</v>
      </c>
      <c r="AI24" s="208">
        <f t="shared" si="7"/>
        <v>0</v>
      </c>
      <c r="AJ24" s="208">
        <f t="shared" si="7"/>
        <v>0</v>
      </c>
      <c r="AK24" s="208">
        <f t="shared" si="7"/>
        <v>0</v>
      </c>
      <c r="AL24" s="208">
        <f t="shared" si="7"/>
        <v>0</v>
      </c>
      <c r="AM24" s="208">
        <f t="shared" si="7"/>
        <v>0</v>
      </c>
      <c r="AN24" s="208">
        <f t="shared" si="7"/>
        <v>0</v>
      </c>
    </row>
    <row r="25" spans="1:40">
      <c r="E25" t="s">
        <v>341</v>
      </c>
      <c r="F25" s="4">
        <f>F21*F22*F23*(1+F24)</f>
        <v>14923.253880000004</v>
      </c>
      <c r="G25" s="4">
        <f>G21*G22*G23*(1+G24)</f>
        <v>14923.253880000004</v>
      </c>
      <c r="H25" s="4">
        <f t="shared" ref="H25:AN25" si="8">H21*H22*H23*(1+H24)</f>
        <v>0</v>
      </c>
      <c r="I25" s="4">
        <f t="shared" si="8"/>
        <v>0</v>
      </c>
      <c r="J25" s="4">
        <f t="shared" si="8"/>
        <v>0</v>
      </c>
      <c r="K25" s="4">
        <f t="shared" si="8"/>
        <v>0</v>
      </c>
      <c r="L25" s="4">
        <f t="shared" si="8"/>
        <v>0</v>
      </c>
      <c r="M25" s="4">
        <f t="shared" si="8"/>
        <v>0</v>
      </c>
      <c r="N25" s="4">
        <f t="shared" si="8"/>
        <v>0</v>
      </c>
      <c r="O25" s="4">
        <f t="shared" si="8"/>
        <v>0</v>
      </c>
      <c r="P25" s="4">
        <f t="shared" si="8"/>
        <v>0</v>
      </c>
      <c r="Q25" s="4">
        <f t="shared" si="8"/>
        <v>0</v>
      </c>
      <c r="R25" s="4">
        <f t="shared" si="8"/>
        <v>0</v>
      </c>
      <c r="S25" s="4">
        <f t="shared" si="8"/>
        <v>0</v>
      </c>
      <c r="T25" s="4">
        <f t="shared" si="8"/>
        <v>0</v>
      </c>
      <c r="U25" s="4">
        <f t="shared" si="8"/>
        <v>0</v>
      </c>
      <c r="V25" s="4">
        <f t="shared" si="8"/>
        <v>0</v>
      </c>
      <c r="W25" s="4">
        <f t="shared" si="8"/>
        <v>0</v>
      </c>
      <c r="X25" s="4">
        <f t="shared" si="8"/>
        <v>0</v>
      </c>
      <c r="Y25" s="4">
        <f t="shared" si="8"/>
        <v>0</v>
      </c>
      <c r="Z25" s="4">
        <f t="shared" si="8"/>
        <v>0</v>
      </c>
      <c r="AA25" s="4">
        <f t="shared" si="8"/>
        <v>0</v>
      </c>
      <c r="AB25" s="4">
        <f t="shared" si="8"/>
        <v>0</v>
      </c>
      <c r="AC25" s="4">
        <f t="shared" si="8"/>
        <v>0</v>
      </c>
      <c r="AD25" s="4">
        <f t="shared" si="8"/>
        <v>0</v>
      </c>
      <c r="AE25" s="4">
        <f t="shared" si="8"/>
        <v>0</v>
      </c>
      <c r="AF25" s="4">
        <f t="shared" si="8"/>
        <v>0</v>
      </c>
      <c r="AG25" s="4">
        <f t="shared" si="8"/>
        <v>0</v>
      </c>
      <c r="AH25" s="4">
        <f t="shared" si="8"/>
        <v>0</v>
      </c>
      <c r="AI25" s="4">
        <f t="shared" si="8"/>
        <v>0</v>
      </c>
      <c r="AJ25" s="4">
        <f t="shared" si="8"/>
        <v>0</v>
      </c>
      <c r="AK25" s="4">
        <f t="shared" si="8"/>
        <v>0</v>
      </c>
      <c r="AL25" s="4">
        <f t="shared" si="8"/>
        <v>0</v>
      </c>
      <c r="AM25" s="4">
        <f t="shared" si="8"/>
        <v>0</v>
      </c>
      <c r="AN25" s="4">
        <f t="shared" si="8"/>
        <v>0</v>
      </c>
    </row>
    <row r="27" spans="1:40" s="120" customFormat="1">
      <c r="A27" s="56"/>
      <c r="B27" s="120" t="s">
        <v>329</v>
      </c>
    </row>
    <row r="29" spans="1:40">
      <c r="F29" s="247">
        <f>F19</f>
        <v>2026</v>
      </c>
      <c r="G29" s="247">
        <f t="shared" ref="G29:AN29" si="9">G19</f>
        <v>2027</v>
      </c>
      <c r="H29" s="247">
        <f t="shared" si="9"/>
        <v>2028</v>
      </c>
      <c r="I29" s="247">
        <f t="shared" si="9"/>
        <v>2029</v>
      </c>
      <c r="J29" s="247">
        <f t="shared" si="9"/>
        <v>2030</v>
      </c>
      <c r="K29" s="247">
        <f t="shared" si="9"/>
        <v>2031</v>
      </c>
      <c r="L29" s="247">
        <f t="shared" si="9"/>
        <v>2032</v>
      </c>
      <c r="M29" s="247">
        <f t="shared" si="9"/>
        <v>2033</v>
      </c>
      <c r="N29" s="247">
        <f t="shared" si="9"/>
        <v>2034</v>
      </c>
      <c r="O29" s="247">
        <f t="shared" si="9"/>
        <v>2035</v>
      </c>
      <c r="P29" s="247">
        <f t="shared" si="9"/>
        <v>2036</v>
      </c>
      <c r="Q29" s="247">
        <f t="shared" si="9"/>
        <v>2037</v>
      </c>
      <c r="R29" s="247">
        <f t="shared" si="9"/>
        <v>2038</v>
      </c>
      <c r="S29" s="247">
        <f t="shared" si="9"/>
        <v>2039</v>
      </c>
      <c r="T29" s="247">
        <f t="shared" si="9"/>
        <v>2040</v>
      </c>
      <c r="U29" s="247">
        <f t="shared" si="9"/>
        <v>2041</v>
      </c>
      <c r="V29" s="247">
        <f t="shared" si="9"/>
        <v>2042</v>
      </c>
      <c r="W29" s="247">
        <f t="shared" si="9"/>
        <v>2043</v>
      </c>
      <c r="X29" s="247">
        <f t="shared" si="9"/>
        <v>2044</v>
      </c>
      <c r="Y29" s="247">
        <f t="shared" si="9"/>
        <v>2045</v>
      </c>
      <c r="Z29" s="247">
        <f t="shared" si="9"/>
        <v>2046</v>
      </c>
      <c r="AA29" s="247">
        <f t="shared" si="9"/>
        <v>2047</v>
      </c>
      <c r="AB29" s="247">
        <f t="shared" si="9"/>
        <v>2048</v>
      </c>
      <c r="AC29" s="247">
        <f t="shared" si="9"/>
        <v>2049</v>
      </c>
      <c r="AD29" s="247">
        <f t="shared" si="9"/>
        <v>2050</v>
      </c>
      <c r="AE29" s="247">
        <f t="shared" si="9"/>
        <v>2051</v>
      </c>
      <c r="AF29" s="247">
        <f t="shared" si="9"/>
        <v>2052</v>
      </c>
      <c r="AG29" s="247">
        <f t="shared" si="9"/>
        <v>2053</v>
      </c>
      <c r="AH29" s="247">
        <f t="shared" si="9"/>
        <v>2054</v>
      </c>
      <c r="AI29" s="247">
        <f t="shared" si="9"/>
        <v>2055</v>
      </c>
      <c r="AJ29" s="247">
        <f t="shared" si="9"/>
        <v>186525</v>
      </c>
      <c r="AK29" s="247">
        <f t="shared" si="9"/>
        <v>2057</v>
      </c>
      <c r="AL29" s="247">
        <f t="shared" si="9"/>
        <v>2058</v>
      </c>
      <c r="AM29" s="247">
        <f t="shared" si="9"/>
        <v>2059</v>
      </c>
      <c r="AN29" s="247">
        <f t="shared" si="9"/>
        <v>2060</v>
      </c>
    </row>
    <row r="30" spans="1:40">
      <c r="F30" s="1">
        <f>F20</f>
        <v>1</v>
      </c>
      <c r="G30" s="1">
        <f t="shared" ref="G30:AN30" si="10">G20</f>
        <v>2</v>
      </c>
      <c r="H30" s="1">
        <f t="shared" si="10"/>
        <v>3</v>
      </c>
      <c r="I30" s="1">
        <f t="shared" si="10"/>
        <v>4</v>
      </c>
      <c r="J30" s="1">
        <f t="shared" si="10"/>
        <v>5</v>
      </c>
      <c r="K30" s="1">
        <f t="shared" si="10"/>
        <v>6</v>
      </c>
      <c r="L30" s="1">
        <f t="shared" si="10"/>
        <v>7</v>
      </c>
      <c r="M30" s="1">
        <f t="shared" si="10"/>
        <v>8</v>
      </c>
      <c r="N30" s="1">
        <f t="shared" si="10"/>
        <v>9</v>
      </c>
      <c r="O30" s="1">
        <f t="shared" si="10"/>
        <v>10</v>
      </c>
      <c r="P30" s="1">
        <f t="shared" si="10"/>
        <v>11</v>
      </c>
      <c r="Q30" s="1">
        <f t="shared" si="10"/>
        <v>12</v>
      </c>
      <c r="R30" s="1">
        <f t="shared" si="10"/>
        <v>13</v>
      </c>
      <c r="S30" s="1">
        <f t="shared" si="10"/>
        <v>14</v>
      </c>
      <c r="T30" s="1">
        <f t="shared" si="10"/>
        <v>15</v>
      </c>
      <c r="U30" s="1">
        <f t="shared" si="10"/>
        <v>16</v>
      </c>
      <c r="V30" s="1">
        <f t="shared" si="10"/>
        <v>17</v>
      </c>
      <c r="W30" s="1">
        <f t="shared" si="10"/>
        <v>18</v>
      </c>
      <c r="X30" s="1">
        <f t="shared" si="10"/>
        <v>19</v>
      </c>
      <c r="Y30" s="1">
        <f t="shared" si="10"/>
        <v>20</v>
      </c>
      <c r="Z30" s="1">
        <f t="shared" si="10"/>
        <v>21</v>
      </c>
      <c r="AA30" s="1">
        <f t="shared" si="10"/>
        <v>22</v>
      </c>
      <c r="AB30" s="1">
        <f t="shared" si="10"/>
        <v>23</v>
      </c>
      <c r="AC30" s="1">
        <f t="shared" si="10"/>
        <v>24</v>
      </c>
      <c r="AD30" s="1">
        <f t="shared" si="10"/>
        <v>25</v>
      </c>
      <c r="AE30" s="1">
        <f t="shared" si="10"/>
        <v>26</v>
      </c>
      <c r="AF30" s="1">
        <f t="shared" si="10"/>
        <v>27</v>
      </c>
      <c r="AG30" s="1">
        <f t="shared" si="10"/>
        <v>28</v>
      </c>
      <c r="AH30" s="1">
        <f t="shared" si="10"/>
        <v>29</v>
      </c>
      <c r="AI30" s="1">
        <f t="shared" si="10"/>
        <v>30</v>
      </c>
      <c r="AJ30" s="1">
        <f t="shared" si="10"/>
        <v>31</v>
      </c>
      <c r="AK30" s="1">
        <f t="shared" si="10"/>
        <v>32</v>
      </c>
      <c r="AL30" s="1">
        <f t="shared" si="10"/>
        <v>33</v>
      </c>
      <c r="AM30" s="1">
        <f t="shared" si="10"/>
        <v>34</v>
      </c>
      <c r="AN30" s="1">
        <f t="shared" si="10"/>
        <v>35</v>
      </c>
    </row>
    <row r="31" spans="1:40">
      <c r="E31" t="s">
        <v>339</v>
      </c>
      <c r="F31" s="363">
        <v>8.0000000000000002E-3</v>
      </c>
      <c r="G31" s="208">
        <f>F31</f>
        <v>8.0000000000000002E-3</v>
      </c>
      <c r="H31" s="208">
        <f t="shared" ref="H31:AN31" si="11">G31</f>
        <v>8.0000000000000002E-3</v>
      </c>
      <c r="I31" s="208">
        <f t="shared" si="11"/>
        <v>8.0000000000000002E-3</v>
      </c>
      <c r="J31" s="208">
        <f t="shared" si="11"/>
        <v>8.0000000000000002E-3</v>
      </c>
      <c r="K31" s="208">
        <f t="shared" si="11"/>
        <v>8.0000000000000002E-3</v>
      </c>
      <c r="L31" s="208">
        <f t="shared" si="11"/>
        <v>8.0000000000000002E-3</v>
      </c>
      <c r="M31" s="208">
        <f t="shared" si="11"/>
        <v>8.0000000000000002E-3</v>
      </c>
      <c r="N31" s="208">
        <f t="shared" si="11"/>
        <v>8.0000000000000002E-3</v>
      </c>
      <c r="O31" s="208">
        <f t="shared" si="11"/>
        <v>8.0000000000000002E-3</v>
      </c>
      <c r="P31" s="208">
        <f t="shared" si="11"/>
        <v>8.0000000000000002E-3</v>
      </c>
      <c r="Q31" s="208">
        <f t="shared" si="11"/>
        <v>8.0000000000000002E-3</v>
      </c>
      <c r="R31" s="208">
        <f t="shared" si="11"/>
        <v>8.0000000000000002E-3</v>
      </c>
      <c r="S31" s="208">
        <f t="shared" si="11"/>
        <v>8.0000000000000002E-3</v>
      </c>
      <c r="T31" s="208">
        <f t="shared" si="11"/>
        <v>8.0000000000000002E-3</v>
      </c>
      <c r="U31" s="208">
        <f t="shared" si="11"/>
        <v>8.0000000000000002E-3</v>
      </c>
      <c r="V31" s="208">
        <f t="shared" si="11"/>
        <v>8.0000000000000002E-3</v>
      </c>
      <c r="W31" s="208">
        <f t="shared" si="11"/>
        <v>8.0000000000000002E-3</v>
      </c>
      <c r="X31" s="208">
        <f t="shared" si="11"/>
        <v>8.0000000000000002E-3</v>
      </c>
      <c r="Y31" s="208">
        <f t="shared" si="11"/>
        <v>8.0000000000000002E-3</v>
      </c>
      <c r="Z31" s="208">
        <f t="shared" si="11"/>
        <v>8.0000000000000002E-3</v>
      </c>
      <c r="AA31" s="208">
        <f t="shared" si="11"/>
        <v>8.0000000000000002E-3</v>
      </c>
      <c r="AB31" s="208">
        <f t="shared" si="11"/>
        <v>8.0000000000000002E-3</v>
      </c>
      <c r="AC31" s="208">
        <f t="shared" si="11"/>
        <v>8.0000000000000002E-3</v>
      </c>
      <c r="AD31" s="208">
        <f t="shared" si="11"/>
        <v>8.0000000000000002E-3</v>
      </c>
      <c r="AE31" s="208">
        <f t="shared" si="11"/>
        <v>8.0000000000000002E-3</v>
      </c>
      <c r="AF31" s="208">
        <f t="shared" si="11"/>
        <v>8.0000000000000002E-3</v>
      </c>
      <c r="AG31" s="208">
        <f t="shared" si="11"/>
        <v>8.0000000000000002E-3</v>
      </c>
      <c r="AH31" s="208">
        <f t="shared" si="11"/>
        <v>8.0000000000000002E-3</v>
      </c>
      <c r="AI31" s="208">
        <f t="shared" si="11"/>
        <v>8.0000000000000002E-3</v>
      </c>
      <c r="AJ31" s="208">
        <f t="shared" si="11"/>
        <v>8.0000000000000002E-3</v>
      </c>
      <c r="AK31" s="208">
        <f t="shared" si="11"/>
        <v>8.0000000000000002E-3</v>
      </c>
      <c r="AL31" s="208">
        <f t="shared" si="11"/>
        <v>8.0000000000000002E-3</v>
      </c>
      <c r="AM31" s="208">
        <f t="shared" si="11"/>
        <v>8.0000000000000002E-3</v>
      </c>
      <c r="AN31" s="208">
        <f t="shared" si="11"/>
        <v>8.0000000000000002E-3</v>
      </c>
    </row>
    <row r="32" spans="1:40">
      <c r="B32" s="422" t="s">
        <v>342</v>
      </c>
      <c r="C32" s="422"/>
      <c r="E32" t="str">
        <f>E41</f>
        <v>Capex Ativo</v>
      </c>
      <c r="F32" s="4">
        <f>F41:AN41</f>
        <v>3730813.4700000007</v>
      </c>
      <c r="G32" s="4">
        <f>$C$13</f>
        <v>7461000</v>
      </c>
      <c r="H32" s="4">
        <f t="shared" ref="H32:AN32" si="12">$C$13</f>
        <v>7461000</v>
      </c>
      <c r="I32" s="4">
        <f t="shared" si="12"/>
        <v>7461000</v>
      </c>
      <c r="J32" s="4">
        <f t="shared" si="12"/>
        <v>7461000</v>
      </c>
      <c r="K32" s="4">
        <f t="shared" si="12"/>
        <v>7461000</v>
      </c>
      <c r="L32" s="4">
        <f t="shared" si="12"/>
        <v>7461000</v>
      </c>
      <c r="M32" s="4">
        <f t="shared" si="12"/>
        <v>7461000</v>
      </c>
      <c r="N32" s="4">
        <f t="shared" si="12"/>
        <v>7461000</v>
      </c>
      <c r="O32" s="4">
        <f t="shared" si="12"/>
        <v>7461000</v>
      </c>
      <c r="P32" s="4">
        <f t="shared" si="12"/>
        <v>7461000</v>
      </c>
      <c r="Q32" s="4">
        <f t="shared" si="12"/>
        <v>7461000</v>
      </c>
      <c r="R32" s="4">
        <f t="shared" si="12"/>
        <v>7461000</v>
      </c>
      <c r="S32" s="4">
        <f t="shared" si="12"/>
        <v>7461000</v>
      </c>
      <c r="T32" s="4">
        <f t="shared" si="12"/>
        <v>7461000</v>
      </c>
      <c r="U32" s="4">
        <f t="shared" si="12"/>
        <v>7461000</v>
      </c>
      <c r="V32" s="4">
        <f t="shared" si="12"/>
        <v>7461000</v>
      </c>
      <c r="W32" s="4">
        <f t="shared" si="12"/>
        <v>7461000</v>
      </c>
      <c r="X32" s="4">
        <f t="shared" si="12"/>
        <v>7461000</v>
      </c>
      <c r="Y32" s="4">
        <f t="shared" si="12"/>
        <v>7461000</v>
      </c>
      <c r="Z32" s="4">
        <f t="shared" si="12"/>
        <v>7461000</v>
      </c>
      <c r="AA32" s="4">
        <f t="shared" si="12"/>
        <v>7461000</v>
      </c>
      <c r="AB32" s="4">
        <f t="shared" si="12"/>
        <v>7461000</v>
      </c>
      <c r="AC32" s="4">
        <f t="shared" si="12"/>
        <v>7461000</v>
      </c>
      <c r="AD32" s="4">
        <f t="shared" si="12"/>
        <v>7461000</v>
      </c>
      <c r="AE32" s="4">
        <f t="shared" si="12"/>
        <v>7461000</v>
      </c>
      <c r="AF32" s="4">
        <f t="shared" si="12"/>
        <v>7461000</v>
      </c>
      <c r="AG32" s="4">
        <f t="shared" si="12"/>
        <v>7461000</v>
      </c>
      <c r="AH32" s="4">
        <f t="shared" si="12"/>
        <v>7461000</v>
      </c>
      <c r="AI32" s="4">
        <f t="shared" si="12"/>
        <v>7461000</v>
      </c>
      <c r="AJ32" s="4">
        <f t="shared" si="12"/>
        <v>7461000</v>
      </c>
      <c r="AK32" s="4">
        <f t="shared" si="12"/>
        <v>7461000</v>
      </c>
      <c r="AL32" s="4">
        <f t="shared" si="12"/>
        <v>7461000</v>
      </c>
      <c r="AM32" s="4">
        <f t="shared" si="12"/>
        <v>7461000</v>
      </c>
      <c r="AN32" s="4">
        <f t="shared" si="12"/>
        <v>7461000</v>
      </c>
    </row>
    <row r="33" spans="1:40">
      <c r="E33" t="str">
        <f>E42</f>
        <v>%sobre capex ativo</v>
      </c>
      <c r="F33" s="208">
        <v>0.04</v>
      </c>
      <c r="G33" s="208">
        <f>F33</f>
        <v>0.04</v>
      </c>
      <c r="H33" s="208">
        <f t="shared" ref="H33:AN33" si="13">G33</f>
        <v>0.04</v>
      </c>
      <c r="I33" s="208">
        <f t="shared" si="13"/>
        <v>0.04</v>
      </c>
      <c r="J33" s="208">
        <f t="shared" si="13"/>
        <v>0.04</v>
      </c>
      <c r="K33" s="208">
        <f t="shared" si="13"/>
        <v>0.04</v>
      </c>
      <c r="L33" s="208">
        <f t="shared" si="13"/>
        <v>0.04</v>
      </c>
      <c r="M33" s="208">
        <f t="shared" si="13"/>
        <v>0.04</v>
      </c>
      <c r="N33" s="208">
        <f t="shared" si="13"/>
        <v>0.04</v>
      </c>
      <c r="O33" s="208">
        <f t="shared" si="13"/>
        <v>0.04</v>
      </c>
      <c r="P33" s="208">
        <f t="shared" si="13"/>
        <v>0.04</v>
      </c>
      <c r="Q33" s="208">
        <f t="shared" si="13"/>
        <v>0.04</v>
      </c>
      <c r="R33" s="208">
        <f t="shared" si="13"/>
        <v>0.04</v>
      </c>
      <c r="S33" s="208">
        <f t="shared" si="13"/>
        <v>0.04</v>
      </c>
      <c r="T33" s="208">
        <f t="shared" si="13"/>
        <v>0.04</v>
      </c>
      <c r="U33" s="208">
        <f t="shared" si="13"/>
        <v>0.04</v>
      </c>
      <c r="V33" s="208">
        <f t="shared" si="13"/>
        <v>0.04</v>
      </c>
      <c r="W33" s="208">
        <f t="shared" si="13"/>
        <v>0.04</v>
      </c>
      <c r="X33" s="208">
        <f t="shared" si="13"/>
        <v>0.04</v>
      </c>
      <c r="Y33" s="208">
        <f t="shared" si="13"/>
        <v>0.04</v>
      </c>
      <c r="Z33" s="208">
        <f t="shared" si="13"/>
        <v>0.04</v>
      </c>
      <c r="AA33" s="208">
        <f t="shared" si="13"/>
        <v>0.04</v>
      </c>
      <c r="AB33" s="208">
        <f t="shared" si="13"/>
        <v>0.04</v>
      </c>
      <c r="AC33" s="208">
        <f t="shared" si="13"/>
        <v>0.04</v>
      </c>
      <c r="AD33" s="208">
        <f t="shared" si="13"/>
        <v>0.04</v>
      </c>
      <c r="AE33" s="208">
        <f t="shared" si="13"/>
        <v>0.04</v>
      </c>
      <c r="AF33" s="208">
        <f t="shared" si="13"/>
        <v>0.04</v>
      </c>
      <c r="AG33" s="208">
        <f t="shared" si="13"/>
        <v>0.04</v>
      </c>
      <c r="AH33" s="208">
        <f t="shared" si="13"/>
        <v>0.04</v>
      </c>
      <c r="AI33" s="208">
        <f t="shared" si="13"/>
        <v>0.04</v>
      </c>
      <c r="AJ33" s="208">
        <f t="shared" si="13"/>
        <v>0.04</v>
      </c>
      <c r="AK33" s="208">
        <f t="shared" si="13"/>
        <v>0.04</v>
      </c>
      <c r="AL33" s="208">
        <f t="shared" si="13"/>
        <v>0.04</v>
      </c>
      <c r="AM33" s="208">
        <f t="shared" si="13"/>
        <v>0.04</v>
      </c>
      <c r="AN33" s="208">
        <f t="shared" si="13"/>
        <v>0.04</v>
      </c>
    </row>
    <row r="34" spans="1:40">
      <c r="E34" t="s">
        <v>343</v>
      </c>
      <c r="F34" s="3">
        <f>F31*F32*F33</f>
        <v>1193.8603104000003</v>
      </c>
      <c r="G34" s="3">
        <f t="shared" ref="G34:AN34" si="14">G31*G32*G33</f>
        <v>2387.52</v>
      </c>
      <c r="H34" s="3">
        <f t="shared" si="14"/>
        <v>2387.52</v>
      </c>
      <c r="I34" s="3">
        <f t="shared" si="14"/>
        <v>2387.52</v>
      </c>
      <c r="J34" s="3">
        <f t="shared" si="14"/>
        <v>2387.52</v>
      </c>
      <c r="K34" s="3">
        <f t="shared" si="14"/>
        <v>2387.52</v>
      </c>
      <c r="L34" s="3">
        <f t="shared" si="14"/>
        <v>2387.52</v>
      </c>
      <c r="M34" s="3">
        <f t="shared" si="14"/>
        <v>2387.52</v>
      </c>
      <c r="N34" s="3">
        <f t="shared" si="14"/>
        <v>2387.52</v>
      </c>
      <c r="O34" s="3">
        <f t="shared" si="14"/>
        <v>2387.52</v>
      </c>
      <c r="P34" s="3">
        <f t="shared" si="14"/>
        <v>2387.52</v>
      </c>
      <c r="Q34" s="3">
        <f t="shared" si="14"/>
        <v>2387.52</v>
      </c>
      <c r="R34" s="3">
        <f t="shared" si="14"/>
        <v>2387.52</v>
      </c>
      <c r="S34" s="3">
        <f t="shared" si="14"/>
        <v>2387.52</v>
      </c>
      <c r="T34" s="3">
        <f t="shared" si="14"/>
        <v>2387.52</v>
      </c>
      <c r="U34" s="3">
        <f t="shared" si="14"/>
        <v>2387.52</v>
      </c>
      <c r="V34" s="3">
        <f t="shared" si="14"/>
        <v>2387.52</v>
      </c>
      <c r="W34" s="3">
        <f t="shared" si="14"/>
        <v>2387.52</v>
      </c>
      <c r="X34" s="3">
        <f t="shared" si="14"/>
        <v>2387.52</v>
      </c>
      <c r="Y34" s="3">
        <f t="shared" si="14"/>
        <v>2387.52</v>
      </c>
      <c r="Z34" s="3">
        <f t="shared" si="14"/>
        <v>2387.52</v>
      </c>
      <c r="AA34" s="3">
        <f t="shared" si="14"/>
        <v>2387.52</v>
      </c>
      <c r="AB34" s="3">
        <f t="shared" si="14"/>
        <v>2387.52</v>
      </c>
      <c r="AC34" s="3">
        <f t="shared" si="14"/>
        <v>2387.52</v>
      </c>
      <c r="AD34" s="3">
        <f t="shared" si="14"/>
        <v>2387.52</v>
      </c>
      <c r="AE34" s="3">
        <f t="shared" si="14"/>
        <v>2387.52</v>
      </c>
      <c r="AF34" s="3">
        <f t="shared" si="14"/>
        <v>2387.52</v>
      </c>
      <c r="AG34" s="3">
        <f t="shared" si="14"/>
        <v>2387.52</v>
      </c>
      <c r="AH34" s="3">
        <f t="shared" si="14"/>
        <v>2387.52</v>
      </c>
      <c r="AI34" s="3">
        <f t="shared" si="14"/>
        <v>2387.52</v>
      </c>
      <c r="AJ34" s="3">
        <f t="shared" si="14"/>
        <v>2387.52</v>
      </c>
      <c r="AK34" s="3">
        <f t="shared" si="14"/>
        <v>2387.52</v>
      </c>
      <c r="AL34" s="3">
        <f t="shared" si="14"/>
        <v>2387.52</v>
      </c>
      <c r="AM34" s="3">
        <f t="shared" si="14"/>
        <v>2387.52</v>
      </c>
      <c r="AN34" s="3">
        <f t="shared" si="14"/>
        <v>2387.52</v>
      </c>
    </row>
    <row r="36" spans="1:40" ht="15.75">
      <c r="B36" s="364"/>
    </row>
    <row r="37" spans="1:40" s="120" customFormat="1">
      <c r="A37" s="56"/>
      <c r="B37" s="120" t="s">
        <v>330</v>
      </c>
    </row>
    <row r="38" spans="1:40" s="8" customFormat="1">
      <c r="A38" s="56"/>
      <c r="F38" s="247">
        <f>F29</f>
        <v>2026</v>
      </c>
      <c r="G38" s="247">
        <f t="shared" ref="G38:AN38" si="15">G29</f>
        <v>2027</v>
      </c>
      <c r="H38" s="247">
        <f t="shared" si="15"/>
        <v>2028</v>
      </c>
      <c r="I38" s="247">
        <f t="shared" si="15"/>
        <v>2029</v>
      </c>
      <c r="J38" s="247">
        <f t="shared" si="15"/>
        <v>2030</v>
      </c>
      <c r="K38" s="247">
        <f t="shared" si="15"/>
        <v>2031</v>
      </c>
      <c r="L38" s="247">
        <f t="shared" si="15"/>
        <v>2032</v>
      </c>
      <c r="M38" s="247">
        <f t="shared" si="15"/>
        <v>2033</v>
      </c>
      <c r="N38" s="247">
        <f t="shared" si="15"/>
        <v>2034</v>
      </c>
      <c r="O38" s="247">
        <f t="shared" si="15"/>
        <v>2035</v>
      </c>
      <c r="P38" s="247">
        <f t="shared" si="15"/>
        <v>2036</v>
      </c>
      <c r="Q38" s="247">
        <f t="shared" si="15"/>
        <v>2037</v>
      </c>
      <c r="R38" s="247">
        <f t="shared" si="15"/>
        <v>2038</v>
      </c>
      <c r="S38" s="247">
        <f t="shared" si="15"/>
        <v>2039</v>
      </c>
      <c r="T38" s="247">
        <f t="shared" si="15"/>
        <v>2040</v>
      </c>
      <c r="U38" s="247">
        <f t="shared" si="15"/>
        <v>2041</v>
      </c>
      <c r="V38" s="247">
        <f t="shared" si="15"/>
        <v>2042</v>
      </c>
      <c r="W38" s="247">
        <f t="shared" si="15"/>
        <v>2043</v>
      </c>
      <c r="X38" s="247">
        <f t="shared" si="15"/>
        <v>2044</v>
      </c>
      <c r="Y38" s="247">
        <f t="shared" si="15"/>
        <v>2045</v>
      </c>
      <c r="Z38" s="247">
        <f t="shared" si="15"/>
        <v>2046</v>
      </c>
      <c r="AA38" s="247">
        <f t="shared" si="15"/>
        <v>2047</v>
      </c>
      <c r="AB38" s="247">
        <f t="shared" si="15"/>
        <v>2048</v>
      </c>
      <c r="AC38" s="247">
        <f t="shared" si="15"/>
        <v>2049</v>
      </c>
      <c r="AD38" s="247">
        <f t="shared" si="15"/>
        <v>2050</v>
      </c>
      <c r="AE38" s="247">
        <f t="shared" si="15"/>
        <v>2051</v>
      </c>
      <c r="AF38" s="247">
        <f t="shared" si="15"/>
        <v>2052</v>
      </c>
      <c r="AG38" s="247">
        <f t="shared" si="15"/>
        <v>2053</v>
      </c>
      <c r="AH38" s="247">
        <f t="shared" si="15"/>
        <v>2054</v>
      </c>
      <c r="AI38" s="247">
        <f t="shared" si="15"/>
        <v>2055</v>
      </c>
      <c r="AJ38" s="247">
        <f t="shared" si="15"/>
        <v>186525</v>
      </c>
      <c r="AK38" s="247">
        <f t="shared" si="15"/>
        <v>2057</v>
      </c>
      <c r="AL38" s="247">
        <f t="shared" si="15"/>
        <v>2058</v>
      </c>
      <c r="AM38" s="247">
        <f t="shared" si="15"/>
        <v>2059</v>
      </c>
      <c r="AN38" s="247">
        <f t="shared" si="15"/>
        <v>2060</v>
      </c>
    </row>
    <row r="39" spans="1:40" s="8" customFormat="1">
      <c r="A39" s="56"/>
      <c r="F39" s="1">
        <f>F30</f>
        <v>1</v>
      </c>
      <c r="G39" s="1">
        <f t="shared" ref="G39:AN39" si="16">G30</f>
        <v>2</v>
      </c>
      <c r="H39" s="1">
        <f t="shared" si="16"/>
        <v>3</v>
      </c>
      <c r="I39" s="1">
        <f t="shared" si="16"/>
        <v>4</v>
      </c>
      <c r="J39" s="1">
        <f t="shared" si="16"/>
        <v>5</v>
      </c>
      <c r="K39" s="1">
        <f t="shared" si="16"/>
        <v>6</v>
      </c>
      <c r="L39" s="1">
        <f t="shared" si="16"/>
        <v>7</v>
      </c>
      <c r="M39" s="1">
        <f t="shared" si="16"/>
        <v>8</v>
      </c>
      <c r="N39" s="1">
        <f t="shared" si="16"/>
        <v>9</v>
      </c>
      <c r="O39" s="1">
        <f t="shared" si="16"/>
        <v>10</v>
      </c>
      <c r="P39" s="1">
        <f t="shared" si="16"/>
        <v>11</v>
      </c>
      <c r="Q39" s="1">
        <f t="shared" si="16"/>
        <v>12</v>
      </c>
      <c r="R39" s="1">
        <f t="shared" si="16"/>
        <v>13</v>
      </c>
      <c r="S39" s="1">
        <f t="shared" si="16"/>
        <v>14</v>
      </c>
      <c r="T39" s="1">
        <f t="shared" si="16"/>
        <v>15</v>
      </c>
      <c r="U39" s="1">
        <f t="shared" si="16"/>
        <v>16</v>
      </c>
      <c r="V39" s="1">
        <f t="shared" si="16"/>
        <v>17</v>
      </c>
      <c r="W39" s="1">
        <f t="shared" si="16"/>
        <v>18</v>
      </c>
      <c r="X39" s="1">
        <f t="shared" si="16"/>
        <v>19</v>
      </c>
      <c r="Y39" s="1">
        <f t="shared" si="16"/>
        <v>20</v>
      </c>
      <c r="Z39" s="1">
        <f t="shared" si="16"/>
        <v>21</v>
      </c>
      <c r="AA39" s="1">
        <f t="shared" si="16"/>
        <v>22</v>
      </c>
      <c r="AB39" s="1">
        <f t="shared" si="16"/>
        <v>23</v>
      </c>
      <c r="AC39" s="1">
        <f t="shared" si="16"/>
        <v>24</v>
      </c>
      <c r="AD39" s="1">
        <f t="shared" si="16"/>
        <v>25</v>
      </c>
      <c r="AE39" s="1">
        <f t="shared" si="16"/>
        <v>26</v>
      </c>
      <c r="AF39" s="1">
        <f t="shared" si="16"/>
        <v>27</v>
      </c>
      <c r="AG39" s="1">
        <f t="shared" si="16"/>
        <v>28</v>
      </c>
      <c r="AH39" s="1">
        <f t="shared" si="16"/>
        <v>29</v>
      </c>
      <c r="AI39" s="1">
        <f t="shared" si="16"/>
        <v>30</v>
      </c>
      <c r="AJ39" s="1">
        <f t="shared" si="16"/>
        <v>31</v>
      </c>
      <c r="AK39" s="1">
        <f t="shared" si="16"/>
        <v>32</v>
      </c>
      <c r="AL39" s="1">
        <f t="shared" si="16"/>
        <v>33</v>
      </c>
      <c r="AM39" s="1">
        <f t="shared" si="16"/>
        <v>34</v>
      </c>
      <c r="AN39" s="1">
        <f t="shared" si="16"/>
        <v>35</v>
      </c>
    </row>
    <row r="40" spans="1:40">
      <c r="B40" s="422" t="s">
        <v>344</v>
      </c>
      <c r="C40" s="422"/>
      <c r="E40" t="s">
        <v>339</v>
      </c>
      <c r="F40" s="363">
        <v>8.9999999999999993E-3</v>
      </c>
      <c r="G40" s="208">
        <f>F40</f>
        <v>8.9999999999999993E-3</v>
      </c>
      <c r="H40" s="208">
        <f t="shared" ref="H40:AN40" si="17">G40</f>
        <v>8.9999999999999993E-3</v>
      </c>
      <c r="I40" s="208">
        <f t="shared" si="17"/>
        <v>8.9999999999999993E-3</v>
      </c>
      <c r="J40" s="208">
        <f t="shared" si="17"/>
        <v>8.9999999999999993E-3</v>
      </c>
      <c r="K40" s="208">
        <f t="shared" si="17"/>
        <v>8.9999999999999993E-3</v>
      </c>
      <c r="L40" s="208">
        <f t="shared" si="17"/>
        <v>8.9999999999999993E-3</v>
      </c>
      <c r="M40" s="208">
        <f t="shared" si="17"/>
        <v>8.9999999999999993E-3</v>
      </c>
      <c r="N40" s="208">
        <f t="shared" si="17"/>
        <v>8.9999999999999993E-3</v>
      </c>
      <c r="O40" s="208">
        <f t="shared" si="17"/>
        <v>8.9999999999999993E-3</v>
      </c>
      <c r="P40" s="208">
        <f t="shared" si="17"/>
        <v>8.9999999999999993E-3</v>
      </c>
      <c r="Q40" s="208">
        <f t="shared" si="17"/>
        <v>8.9999999999999993E-3</v>
      </c>
      <c r="R40" s="208">
        <f t="shared" si="17"/>
        <v>8.9999999999999993E-3</v>
      </c>
      <c r="S40" s="208">
        <f t="shared" si="17"/>
        <v>8.9999999999999993E-3</v>
      </c>
      <c r="T40" s="208">
        <f t="shared" si="17"/>
        <v>8.9999999999999993E-3</v>
      </c>
      <c r="U40" s="208">
        <f t="shared" si="17"/>
        <v>8.9999999999999993E-3</v>
      </c>
      <c r="V40" s="208">
        <f t="shared" si="17"/>
        <v>8.9999999999999993E-3</v>
      </c>
      <c r="W40" s="208">
        <f t="shared" si="17"/>
        <v>8.9999999999999993E-3</v>
      </c>
      <c r="X40" s="208">
        <f t="shared" si="17"/>
        <v>8.9999999999999993E-3</v>
      </c>
      <c r="Y40" s="208">
        <f t="shared" si="17"/>
        <v>8.9999999999999993E-3</v>
      </c>
      <c r="Z40" s="208">
        <f t="shared" si="17"/>
        <v>8.9999999999999993E-3</v>
      </c>
      <c r="AA40" s="208">
        <f t="shared" si="17"/>
        <v>8.9999999999999993E-3</v>
      </c>
      <c r="AB40" s="208">
        <f t="shared" si="17"/>
        <v>8.9999999999999993E-3</v>
      </c>
      <c r="AC40" s="208">
        <f t="shared" si="17"/>
        <v>8.9999999999999993E-3</v>
      </c>
      <c r="AD40" s="208">
        <f t="shared" si="17"/>
        <v>8.9999999999999993E-3</v>
      </c>
      <c r="AE40" s="208">
        <f t="shared" si="17"/>
        <v>8.9999999999999993E-3</v>
      </c>
      <c r="AF40" s="208">
        <f t="shared" si="17"/>
        <v>8.9999999999999993E-3</v>
      </c>
      <c r="AG40" s="208">
        <f t="shared" si="17"/>
        <v>8.9999999999999993E-3</v>
      </c>
      <c r="AH40" s="208">
        <f t="shared" si="17"/>
        <v>8.9999999999999993E-3</v>
      </c>
      <c r="AI40" s="208">
        <f t="shared" si="17"/>
        <v>8.9999999999999993E-3</v>
      </c>
      <c r="AJ40" s="208">
        <f t="shared" si="17"/>
        <v>8.9999999999999993E-3</v>
      </c>
      <c r="AK40" s="208">
        <f t="shared" si="17"/>
        <v>8.9999999999999993E-3</v>
      </c>
      <c r="AL40" s="208">
        <f t="shared" si="17"/>
        <v>8.9999999999999993E-3</v>
      </c>
      <c r="AM40" s="208">
        <f t="shared" si="17"/>
        <v>8.9999999999999993E-3</v>
      </c>
      <c r="AN40" s="208">
        <f t="shared" si="17"/>
        <v>8.9999999999999993E-3</v>
      </c>
    </row>
    <row r="41" spans="1:40">
      <c r="E41" t="s">
        <v>345</v>
      </c>
      <c r="F41" s="4">
        <f>SUM($F$21:F21)</f>
        <v>3730813.4700000007</v>
      </c>
      <c r="G41" s="4">
        <f>SUM($F$21:G21)</f>
        <v>7461626.9400000013</v>
      </c>
      <c r="H41" s="4">
        <f>SUM($F$21:H21)</f>
        <v>7461626.9400000013</v>
      </c>
      <c r="I41" s="4">
        <f>SUM($F$21:I21)</f>
        <v>7461626.9400000013</v>
      </c>
      <c r="J41" s="4">
        <f>SUM($F$21:J21)</f>
        <v>7461626.9400000013</v>
      </c>
      <c r="K41" s="4">
        <f>SUM($F$21:K21)</f>
        <v>7461626.9400000013</v>
      </c>
      <c r="L41" s="4">
        <f>SUM($F$21:L21)</f>
        <v>7461626.9400000013</v>
      </c>
      <c r="M41" s="4">
        <f>SUM($F$21:M21)</f>
        <v>7461626.9400000013</v>
      </c>
      <c r="N41" s="4">
        <f>SUM($F$21:N21)</f>
        <v>7461626.9400000013</v>
      </c>
      <c r="O41" s="4">
        <f>SUM($F$21:O21)</f>
        <v>7461626.9400000013</v>
      </c>
      <c r="P41" s="4">
        <f>SUM($F$21:P21)</f>
        <v>7461626.9400000013</v>
      </c>
      <c r="Q41" s="4">
        <f>SUM($F$21:Q21)</f>
        <v>7461626.9400000013</v>
      </c>
      <c r="R41" s="4">
        <f>SUM($F$21:R21)</f>
        <v>7461626.9400000013</v>
      </c>
      <c r="S41" s="4">
        <f>SUM($F$21:S21)</f>
        <v>7461626.9400000013</v>
      </c>
      <c r="T41" s="4">
        <f>SUM($F$21:T21)</f>
        <v>7461626.9400000013</v>
      </c>
      <c r="U41" s="4">
        <f>SUM($F$21:U21)</f>
        <v>7461626.9400000013</v>
      </c>
      <c r="V41" s="4">
        <f>SUM($F$21:V21)</f>
        <v>7461626.9400000013</v>
      </c>
      <c r="W41" s="4">
        <f>SUM($F$21:W21)</f>
        <v>7461626.9400000013</v>
      </c>
      <c r="X41" s="4">
        <f>SUM($F$21:X21)</f>
        <v>7461626.9400000013</v>
      </c>
      <c r="Y41" s="4">
        <f>SUM($F$21:Y21)</f>
        <v>7461626.9400000013</v>
      </c>
      <c r="Z41" s="4">
        <f>SUM($F$21:Z21)</f>
        <v>7461626.9400000013</v>
      </c>
      <c r="AA41" s="4">
        <f>SUM($F$21:AA21)</f>
        <v>7461626.9400000013</v>
      </c>
      <c r="AB41" s="4">
        <f>SUM($F$21:AB21)</f>
        <v>7461626.9400000013</v>
      </c>
      <c r="AC41" s="4">
        <f>SUM($F$21:AC21)</f>
        <v>7461626.9400000013</v>
      </c>
      <c r="AD41" s="4">
        <f>SUM($F$21:AD21)</f>
        <v>7461626.9400000013</v>
      </c>
      <c r="AE41" s="4">
        <f>SUM($F$21:AE21)</f>
        <v>7461626.9400000013</v>
      </c>
      <c r="AF41" s="4">
        <f>SUM($F$21:AF21)</f>
        <v>7461626.9400000013</v>
      </c>
      <c r="AG41" s="4">
        <f>SUM($F$21:AG21)</f>
        <v>7461626.9400000013</v>
      </c>
      <c r="AH41" s="4">
        <f>SUM($F$21:AH21)</f>
        <v>7461626.9400000013</v>
      </c>
      <c r="AI41" s="4">
        <f>SUM($F$21:AI21)</f>
        <v>7461626.9400000013</v>
      </c>
      <c r="AJ41" s="4">
        <f>SUM($F$21:AJ21)</f>
        <v>7461626.9400000013</v>
      </c>
      <c r="AK41" s="4">
        <f>SUM($F$21:AK21)</f>
        <v>7461626.9400000013</v>
      </c>
      <c r="AL41" s="4">
        <f>SUM($F$21:AL21)</f>
        <v>7461626.9400000013</v>
      </c>
      <c r="AM41" s="4">
        <f>SUM($F$21:AM21)</f>
        <v>7461626.9400000013</v>
      </c>
      <c r="AN41" s="4">
        <f>SUM($F$21:AN21)</f>
        <v>7461626.9400000013</v>
      </c>
    </row>
    <row r="42" spans="1:40">
      <c r="E42" t="s">
        <v>346</v>
      </c>
      <c r="F42" s="363">
        <v>0.04</v>
      </c>
      <c r="G42" s="148">
        <f>F42</f>
        <v>0.04</v>
      </c>
      <c r="H42" s="148">
        <f t="shared" ref="H42:AN42" si="18">G42</f>
        <v>0.04</v>
      </c>
      <c r="I42" s="148">
        <f t="shared" si="18"/>
        <v>0.04</v>
      </c>
      <c r="J42" s="148">
        <f t="shared" si="18"/>
        <v>0.04</v>
      </c>
      <c r="K42" s="148">
        <f t="shared" si="18"/>
        <v>0.04</v>
      </c>
      <c r="L42" s="148">
        <f t="shared" si="18"/>
        <v>0.04</v>
      </c>
      <c r="M42" s="148">
        <f t="shared" si="18"/>
        <v>0.04</v>
      </c>
      <c r="N42" s="148">
        <f t="shared" si="18"/>
        <v>0.04</v>
      </c>
      <c r="O42" s="148">
        <f t="shared" si="18"/>
        <v>0.04</v>
      </c>
      <c r="P42" s="148">
        <f t="shared" si="18"/>
        <v>0.04</v>
      </c>
      <c r="Q42" s="148">
        <f t="shared" si="18"/>
        <v>0.04</v>
      </c>
      <c r="R42" s="148">
        <f t="shared" si="18"/>
        <v>0.04</v>
      </c>
      <c r="S42" s="148">
        <f t="shared" si="18"/>
        <v>0.04</v>
      </c>
      <c r="T42" s="148">
        <f t="shared" si="18"/>
        <v>0.04</v>
      </c>
      <c r="U42" s="148">
        <f t="shared" si="18"/>
        <v>0.04</v>
      </c>
      <c r="V42" s="148">
        <f t="shared" si="18"/>
        <v>0.04</v>
      </c>
      <c r="W42" s="148">
        <f t="shared" si="18"/>
        <v>0.04</v>
      </c>
      <c r="X42" s="148">
        <f t="shared" si="18"/>
        <v>0.04</v>
      </c>
      <c r="Y42" s="148">
        <f t="shared" si="18"/>
        <v>0.04</v>
      </c>
      <c r="Z42" s="148">
        <f t="shared" si="18"/>
        <v>0.04</v>
      </c>
      <c r="AA42" s="148">
        <f t="shared" si="18"/>
        <v>0.04</v>
      </c>
      <c r="AB42" s="148">
        <f t="shared" si="18"/>
        <v>0.04</v>
      </c>
      <c r="AC42" s="148">
        <f t="shared" si="18"/>
        <v>0.04</v>
      </c>
      <c r="AD42" s="148">
        <f t="shared" si="18"/>
        <v>0.04</v>
      </c>
      <c r="AE42" s="148">
        <f t="shared" si="18"/>
        <v>0.04</v>
      </c>
      <c r="AF42" s="148">
        <f t="shared" si="18"/>
        <v>0.04</v>
      </c>
      <c r="AG42" s="148">
        <f t="shared" si="18"/>
        <v>0.04</v>
      </c>
      <c r="AH42" s="148">
        <f t="shared" si="18"/>
        <v>0.04</v>
      </c>
      <c r="AI42" s="148">
        <f t="shared" si="18"/>
        <v>0.04</v>
      </c>
      <c r="AJ42" s="148">
        <f t="shared" si="18"/>
        <v>0.04</v>
      </c>
      <c r="AK42" s="148">
        <f t="shared" si="18"/>
        <v>0.04</v>
      </c>
      <c r="AL42" s="148">
        <f t="shared" si="18"/>
        <v>0.04</v>
      </c>
      <c r="AM42" s="148">
        <f t="shared" si="18"/>
        <v>0.04</v>
      </c>
      <c r="AN42" s="148">
        <f t="shared" si="18"/>
        <v>0.04</v>
      </c>
    </row>
    <row r="43" spans="1:40">
      <c r="E43" t="s">
        <v>347</v>
      </c>
      <c r="F43" s="4">
        <f>F40*F41*F42</f>
        <v>1343.0928492</v>
      </c>
      <c r="G43" s="4">
        <f>G40*G41*G42</f>
        <v>2686.1856984000001</v>
      </c>
      <c r="H43" s="4">
        <f t="shared" ref="H43:AN43" si="19">H40*H41*H42</f>
        <v>2686.1856984000001</v>
      </c>
      <c r="I43" s="4">
        <f t="shared" si="19"/>
        <v>2686.1856984000001</v>
      </c>
      <c r="J43" s="4">
        <f t="shared" si="19"/>
        <v>2686.1856984000001</v>
      </c>
      <c r="K43" s="4">
        <f t="shared" si="19"/>
        <v>2686.1856984000001</v>
      </c>
      <c r="L43" s="4">
        <f t="shared" si="19"/>
        <v>2686.1856984000001</v>
      </c>
      <c r="M43" s="4">
        <f t="shared" si="19"/>
        <v>2686.1856984000001</v>
      </c>
      <c r="N43" s="4">
        <f t="shared" si="19"/>
        <v>2686.1856984000001</v>
      </c>
      <c r="O43" s="4">
        <f t="shared" si="19"/>
        <v>2686.1856984000001</v>
      </c>
      <c r="P43" s="4">
        <f t="shared" si="19"/>
        <v>2686.1856984000001</v>
      </c>
      <c r="Q43" s="4">
        <f t="shared" si="19"/>
        <v>2686.1856984000001</v>
      </c>
      <c r="R43" s="4">
        <f t="shared" si="19"/>
        <v>2686.1856984000001</v>
      </c>
      <c r="S43" s="4">
        <f t="shared" si="19"/>
        <v>2686.1856984000001</v>
      </c>
      <c r="T43" s="4">
        <f t="shared" si="19"/>
        <v>2686.1856984000001</v>
      </c>
      <c r="U43" s="4">
        <f t="shared" si="19"/>
        <v>2686.1856984000001</v>
      </c>
      <c r="V43" s="4">
        <f t="shared" si="19"/>
        <v>2686.1856984000001</v>
      </c>
      <c r="W43" s="4">
        <f t="shared" si="19"/>
        <v>2686.1856984000001</v>
      </c>
      <c r="X43" s="4">
        <f t="shared" si="19"/>
        <v>2686.1856984000001</v>
      </c>
      <c r="Y43" s="4">
        <f t="shared" si="19"/>
        <v>2686.1856984000001</v>
      </c>
      <c r="Z43" s="4">
        <f t="shared" si="19"/>
        <v>2686.1856984000001</v>
      </c>
      <c r="AA43" s="4">
        <f t="shared" si="19"/>
        <v>2686.1856984000001</v>
      </c>
      <c r="AB43" s="4">
        <f t="shared" si="19"/>
        <v>2686.1856984000001</v>
      </c>
      <c r="AC43" s="4">
        <f t="shared" si="19"/>
        <v>2686.1856984000001</v>
      </c>
      <c r="AD43" s="4">
        <f t="shared" si="19"/>
        <v>2686.1856984000001</v>
      </c>
      <c r="AE43" s="4">
        <f t="shared" si="19"/>
        <v>2686.1856984000001</v>
      </c>
      <c r="AF43" s="4">
        <f t="shared" si="19"/>
        <v>2686.1856984000001</v>
      </c>
      <c r="AG43" s="4">
        <f t="shared" si="19"/>
        <v>2686.1856984000001</v>
      </c>
      <c r="AH43" s="4">
        <f t="shared" si="19"/>
        <v>2686.1856984000001</v>
      </c>
      <c r="AI43" s="4">
        <f t="shared" si="19"/>
        <v>2686.1856984000001</v>
      </c>
      <c r="AJ43" s="4">
        <f t="shared" si="19"/>
        <v>2686.1856984000001</v>
      </c>
      <c r="AK43" s="4">
        <f t="shared" si="19"/>
        <v>2686.1856984000001</v>
      </c>
      <c r="AL43" s="4">
        <f t="shared" si="19"/>
        <v>2686.1856984000001</v>
      </c>
      <c r="AM43" s="4">
        <f t="shared" si="19"/>
        <v>2686.1856984000001</v>
      </c>
      <c r="AN43" s="4">
        <f t="shared" si="19"/>
        <v>2686.1856984000001</v>
      </c>
    </row>
    <row r="44" spans="1:40">
      <c r="E44" s="365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</row>
    <row r="45" spans="1:40">
      <c r="F45" s="362"/>
    </row>
    <row r="47" spans="1:40" ht="25.5">
      <c r="E47" s="287" t="s">
        <v>348</v>
      </c>
      <c r="F47" s="287" t="s">
        <v>349</v>
      </c>
      <c r="G47" s="287" t="s">
        <v>350</v>
      </c>
      <c r="H47" s="287" t="s">
        <v>351</v>
      </c>
    </row>
    <row r="48" spans="1:40">
      <c r="E48" t="str">
        <f>E5</f>
        <v>Garantia de Execução</v>
      </c>
      <c r="F48" s="2" t="s">
        <v>352</v>
      </c>
      <c r="G48" s="112">
        <f>C14*C13</f>
        <v>186525</v>
      </c>
      <c r="H48" s="373">
        <f>C15</f>
        <v>0.01</v>
      </c>
    </row>
    <row r="49" spans="5:8">
      <c r="E49" t="str">
        <f>E6</f>
        <v>Risco de engenharia</v>
      </c>
      <c r="F49" t="s">
        <v>353</v>
      </c>
      <c r="G49" s="112">
        <f>F22*F21</f>
        <v>3730813.4700000007</v>
      </c>
      <c r="H49" s="373">
        <f>F23</f>
        <v>4.0000000000000001E-3</v>
      </c>
    </row>
    <row r="50" spans="5:8">
      <c r="E50" t="str">
        <f t="shared" ref="E50:E51" si="20">E7</f>
        <v>Risco Operacional</v>
      </c>
      <c r="F50" t="s">
        <v>354</v>
      </c>
      <c r="G50" s="112">
        <f>F33*F32</f>
        <v>149232.53880000004</v>
      </c>
      <c r="H50" s="373">
        <f>F31</f>
        <v>8.0000000000000002E-3</v>
      </c>
    </row>
    <row r="51" spans="5:8">
      <c r="E51" t="str">
        <f t="shared" si="20"/>
        <v>Responsabilidade civil</v>
      </c>
      <c r="F51" t="s">
        <v>354</v>
      </c>
      <c r="G51" s="112">
        <f>F42*F41</f>
        <v>149232.53880000004</v>
      </c>
      <c r="H51" s="373">
        <f>F40</f>
        <v>8.9999999999999993E-3</v>
      </c>
    </row>
  </sheetData>
  <sheetProtection password="C655" sheet="1" objects="1" scenarios="1"/>
  <mergeCells count="3">
    <mergeCell ref="B22:C22"/>
    <mergeCell ref="B32:C32"/>
    <mergeCell ref="B40:C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"/>
  <sheetViews>
    <sheetView zoomScale="90" zoomScaleNormal="90" workbookViewId="0">
      <selection activeCell="E5" sqref="E5"/>
    </sheetView>
  </sheetViews>
  <sheetFormatPr defaultRowHeight="15"/>
  <cols>
    <col min="1" max="1" width="8.85546875" style="56"/>
    <col min="3" max="3" width="23.85546875" customWidth="1"/>
    <col min="4" max="4" width="15.140625" customWidth="1"/>
    <col min="5" max="5" width="19.140625" customWidth="1"/>
    <col min="6" max="6" width="4.140625" customWidth="1"/>
    <col min="7" max="7" width="5.7109375" customWidth="1"/>
    <col min="8" max="8" width="14.42578125" customWidth="1"/>
    <col min="9" max="9" width="63.7109375" customWidth="1"/>
    <col min="10" max="10" width="79.5703125" customWidth="1"/>
    <col min="11" max="11" width="10.85546875" bestFit="1" customWidth="1"/>
    <col min="12" max="12" width="79.7109375" customWidth="1"/>
    <col min="27" max="27" width="12" customWidth="1"/>
    <col min="28" max="28" width="20.85546875" customWidth="1"/>
  </cols>
  <sheetData>
    <row r="1" spans="1:64" s="56" customFormat="1">
      <c r="A1" s="416" t="s">
        <v>355</v>
      </c>
      <c r="B1" s="416"/>
      <c r="C1" s="416"/>
      <c r="D1" s="416"/>
      <c r="E1" s="416"/>
      <c r="F1" s="416"/>
      <c r="G1" s="416"/>
      <c r="H1" s="416"/>
      <c r="I1" s="416"/>
    </row>
    <row r="2" spans="1:64" s="56" customFormat="1">
      <c r="A2" s="416"/>
      <c r="B2" s="416"/>
      <c r="C2" s="416"/>
      <c r="D2" s="416"/>
      <c r="E2" s="416"/>
      <c r="F2" s="416"/>
      <c r="G2" s="416"/>
      <c r="H2" s="416"/>
      <c r="I2" s="416"/>
    </row>
    <row r="4" spans="1:64" ht="15.6" customHeight="1">
      <c r="C4" s="271" t="s">
        <v>356</v>
      </c>
      <c r="D4" s="271"/>
      <c r="E4" s="272"/>
      <c r="H4" s="248" t="s">
        <v>357</v>
      </c>
      <c r="I4" s="275" t="s">
        <v>358</v>
      </c>
      <c r="J4" s="249" t="s">
        <v>359</v>
      </c>
      <c r="L4" s="277" t="s">
        <v>360</v>
      </c>
      <c r="Y4" s="423" t="s">
        <v>361</v>
      </c>
      <c r="Z4" s="423"/>
      <c r="AA4" s="279" t="s">
        <v>362</v>
      </c>
      <c r="AB4" s="280">
        <f>MEDIAN(Z5:Z254)</f>
        <v>208</v>
      </c>
      <c r="AD4" s="282" t="s">
        <v>363</v>
      </c>
      <c r="AE4" s="17" t="s">
        <v>364</v>
      </c>
      <c r="AF4" s="281">
        <f>AD9-1</f>
        <v>3.514832544047386E-2</v>
      </c>
    </row>
    <row r="5" spans="1:64" ht="15.6" customHeight="1" thickBot="1">
      <c r="C5" t="s">
        <v>365</v>
      </c>
      <c r="D5" t="s">
        <v>366</v>
      </c>
      <c r="E5" s="256">
        <f>MAX(M5:M6)</f>
        <v>4.1700000000000001E-2</v>
      </c>
      <c r="H5" s="250" t="s">
        <v>367</v>
      </c>
      <c r="I5" s="251" t="s">
        <v>368</v>
      </c>
      <c r="J5" s="273" t="s">
        <v>369</v>
      </c>
      <c r="L5" s="278" t="s">
        <v>370</v>
      </c>
      <c r="M5" s="208">
        <v>4.1700000000000001E-2</v>
      </c>
      <c r="N5" s="20" t="s">
        <v>371</v>
      </c>
      <c r="Y5" s="265">
        <v>45503</v>
      </c>
      <c r="Z5" s="266">
        <v>228</v>
      </c>
      <c r="AD5" s="412">
        <v>2025</v>
      </c>
      <c r="AE5" s="412">
        <v>2026</v>
      </c>
      <c r="AF5" s="412">
        <v>2027</v>
      </c>
      <c r="AG5" s="412">
        <v>2028</v>
      </c>
      <c r="AH5" s="412">
        <v>2029</v>
      </c>
      <c r="AI5" s="412">
        <v>2030</v>
      </c>
      <c r="AJ5" s="412">
        <v>2031</v>
      </c>
      <c r="AK5" s="412">
        <v>2032</v>
      </c>
      <c r="AL5" s="412">
        <v>2033</v>
      </c>
      <c r="AM5" s="412">
        <v>2034</v>
      </c>
      <c r="AN5" s="412">
        <v>2035</v>
      </c>
      <c r="AO5" s="412">
        <v>2036</v>
      </c>
      <c r="AP5" s="412">
        <v>2037</v>
      </c>
      <c r="AQ5" s="412">
        <v>2038</v>
      </c>
      <c r="AR5" s="412">
        <v>2039</v>
      </c>
      <c r="AS5" s="412">
        <v>2040</v>
      </c>
      <c r="AT5" s="412">
        <v>2041</v>
      </c>
      <c r="AU5" s="412">
        <v>2042</v>
      </c>
      <c r="AV5" s="412">
        <v>2043</v>
      </c>
      <c r="AW5" s="412">
        <v>2044</v>
      </c>
      <c r="AX5" s="412">
        <v>2045</v>
      </c>
      <c r="AY5" s="412">
        <v>2046</v>
      </c>
      <c r="AZ5" s="412">
        <v>2047</v>
      </c>
      <c r="BA5" s="412">
        <v>2048</v>
      </c>
      <c r="BB5" s="412">
        <v>2049</v>
      </c>
      <c r="BC5" s="412">
        <v>2050</v>
      </c>
      <c r="BD5" s="412">
        <v>2051</v>
      </c>
      <c r="BE5" s="412">
        <v>2052</v>
      </c>
      <c r="BF5" s="412">
        <v>2053</v>
      </c>
      <c r="BG5" s="412">
        <v>2054</v>
      </c>
      <c r="BH5" s="412">
        <v>2055</v>
      </c>
      <c r="BI5" s="412">
        <v>2056</v>
      </c>
      <c r="BJ5" s="412">
        <v>2057</v>
      </c>
      <c r="BK5" s="412">
        <v>2058</v>
      </c>
      <c r="BL5" s="412">
        <v>2059</v>
      </c>
    </row>
    <row r="6" spans="1:64" ht="15.6" customHeight="1" thickBot="1">
      <c r="C6" t="s">
        <v>372</v>
      </c>
      <c r="D6" t="s">
        <v>373</v>
      </c>
      <c r="E6" s="257">
        <f>M8</f>
        <v>0.9</v>
      </c>
      <c r="H6" s="250" t="s">
        <v>374</v>
      </c>
      <c r="I6" s="251" t="s">
        <v>375</v>
      </c>
      <c r="J6" s="273" t="s">
        <v>376</v>
      </c>
      <c r="L6" s="278" t="s">
        <v>377</v>
      </c>
      <c r="M6" s="208">
        <v>3.5000000000000003E-2</v>
      </c>
      <c r="N6" s="20" t="s">
        <v>378</v>
      </c>
      <c r="Y6" s="267">
        <v>45502</v>
      </c>
      <c r="Z6" s="268">
        <v>225</v>
      </c>
      <c r="AD6" s="208">
        <v>3.9199999999999999E-2</v>
      </c>
      <c r="AE6" s="208">
        <v>3.5999999999999997E-2</v>
      </c>
      <c r="AF6" s="208">
        <v>3.5000000000000003E-2</v>
      </c>
      <c r="AG6" s="208">
        <v>3.5000000000000003E-2</v>
      </c>
      <c r="AH6" s="208">
        <v>3.5000000000000003E-2</v>
      </c>
      <c r="AI6" s="208">
        <v>3.5000000000000003E-2</v>
      </c>
      <c r="AJ6" s="208">
        <v>3.5000000000000003E-2</v>
      </c>
      <c r="AK6" s="208">
        <v>3.5000000000000003E-2</v>
      </c>
      <c r="AL6" s="208">
        <v>3.5000000000000003E-2</v>
      </c>
      <c r="AM6" s="208">
        <v>3.5000000000000003E-2</v>
      </c>
      <c r="AN6" s="208">
        <v>3.5000000000000003E-2</v>
      </c>
      <c r="AO6" s="208">
        <v>3.5000000000000003E-2</v>
      </c>
      <c r="AP6" s="208">
        <v>3.5000000000000003E-2</v>
      </c>
      <c r="AQ6" s="208">
        <v>3.5000000000000003E-2</v>
      </c>
      <c r="AR6" s="208">
        <v>3.5000000000000003E-2</v>
      </c>
      <c r="AS6" s="208">
        <v>3.5000000000000003E-2</v>
      </c>
      <c r="AT6" s="208">
        <v>3.5000000000000003E-2</v>
      </c>
      <c r="AU6" s="208">
        <v>3.5000000000000003E-2</v>
      </c>
      <c r="AV6" s="208">
        <v>3.5000000000000003E-2</v>
      </c>
      <c r="AW6" s="208">
        <v>3.5000000000000003E-2</v>
      </c>
      <c r="AX6" s="208">
        <v>3.5000000000000003E-2</v>
      </c>
      <c r="AY6" s="208">
        <v>3.5000000000000003E-2</v>
      </c>
      <c r="AZ6" s="208">
        <v>3.5000000000000003E-2</v>
      </c>
      <c r="BA6" s="208">
        <v>3.5000000000000003E-2</v>
      </c>
      <c r="BB6" s="208">
        <v>3.5000000000000003E-2</v>
      </c>
      <c r="BC6" s="208">
        <v>3.5000000000000003E-2</v>
      </c>
      <c r="BD6" s="208">
        <v>3.5000000000000003E-2</v>
      </c>
      <c r="BE6" s="208">
        <v>3.5000000000000003E-2</v>
      </c>
      <c r="BF6" s="208">
        <v>3.5000000000000003E-2</v>
      </c>
      <c r="BG6" s="208">
        <v>3.5000000000000003E-2</v>
      </c>
      <c r="BH6" s="208">
        <v>3.5000000000000003E-2</v>
      </c>
      <c r="BI6" s="208">
        <v>3.5000000000000003E-2</v>
      </c>
      <c r="BJ6" s="208">
        <v>3.5000000000000003E-2</v>
      </c>
      <c r="BK6" s="208">
        <v>3.5000000000000003E-2</v>
      </c>
      <c r="BL6" s="208">
        <v>3.5000000000000003E-2</v>
      </c>
    </row>
    <row r="7" spans="1:64" ht="15.6" customHeight="1" thickBot="1">
      <c r="C7" s="258" t="s">
        <v>379</v>
      </c>
      <c r="E7" s="256">
        <f>M10</f>
        <v>0.43204926249462977</v>
      </c>
      <c r="H7" s="250" t="s">
        <v>373</v>
      </c>
      <c r="I7" s="252" t="s">
        <v>380</v>
      </c>
      <c r="J7" s="273" t="s">
        <v>376</v>
      </c>
      <c r="Y7" s="269">
        <v>45499</v>
      </c>
      <c r="Z7" s="270">
        <v>224</v>
      </c>
      <c r="AD7" s="208">
        <f t="shared" ref="AD7:AR7" si="0">(1+AD6)</f>
        <v>1.0391999999999999</v>
      </c>
      <c r="AE7" s="208">
        <f t="shared" si="0"/>
        <v>1.036</v>
      </c>
      <c r="AF7" s="208">
        <f t="shared" si="0"/>
        <v>1.0349999999999999</v>
      </c>
      <c r="AG7" s="208">
        <f t="shared" si="0"/>
        <v>1.0349999999999999</v>
      </c>
      <c r="AH7" s="208">
        <f t="shared" si="0"/>
        <v>1.0349999999999999</v>
      </c>
      <c r="AI7" s="208">
        <f t="shared" si="0"/>
        <v>1.0349999999999999</v>
      </c>
      <c r="AJ7" s="208">
        <f t="shared" si="0"/>
        <v>1.0349999999999999</v>
      </c>
      <c r="AK7" s="208">
        <f t="shared" si="0"/>
        <v>1.0349999999999999</v>
      </c>
      <c r="AL7" s="208">
        <f t="shared" si="0"/>
        <v>1.0349999999999999</v>
      </c>
      <c r="AM7" s="208">
        <f t="shared" si="0"/>
        <v>1.0349999999999999</v>
      </c>
      <c r="AN7" s="208">
        <f t="shared" si="0"/>
        <v>1.0349999999999999</v>
      </c>
      <c r="AO7" s="208">
        <f t="shared" si="0"/>
        <v>1.0349999999999999</v>
      </c>
      <c r="AP7" s="208">
        <f t="shared" si="0"/>
        <v>1.0349999999999999</v>
      </c>
      <c r="AQ7" s="208">
        <f t="shared" si="0"/>
        <v>1.0349999999999999</v>
      </c>
      <c r="AR7" s="208">
        <f t="shared" si="0"/>
        <v>1.0349999999999999</v>
      </c>
      <c r="AS7" s="208">
        <f>(1+AS6)</f>
        <v>1.0349999999999999</v>
      </c>
      <c r="AT7" s="208">
        <f>(1+AT6)</f>
        <v>1.0349999999999999</v>
      </c>
      <c r="AU7" s="208">
        <f t="shared" ref="AU7:BL7" si="1">(1+AU6)</f>
        <v>1.0349999999999999</v>
      </c>
      <c r="AV7" s="208">
        <f t="shared" si="1"/>
        <v>1.0349999999999999</v>
      </c>
      <c r="AW7" s="208">
        <f t="shared" si="1"/>
        <v>1.0349999999999999</v>
      </c>
      <c r="AX7" s="208">
        <f t="shared" si="1"/>
        <v>1.0349999999999999</v>
      </c>
      <c r="AY7" s="208">
        <f t="shared" si="1"/>
        <v>1.0349999999999999</v>
      </c>
      <c r="AZ7" s="208">
        <f t="shared" si="1"/>
        <v>1.0349999999999999</v>
      </c>
      <c r="BA7" s="208">
        <f t="shared" si="1"/>
        <v>1.0349999999999999</v>
      </c>
      <c r="BB7" s="208">
        <f t="shared" si="1"/>
        <v>1.0349999999999999</v>
      </c>
      <c r="BC7" s="208">
        <f t="shared" si="1"/>
        <v>1.0349999999999999</v>
      </c>
      <c r="BD7" s="208">
        <f t="shared" si="1"/>
        <v>1.0349999999999999</v>
      </c>
      <c r="BE7" s="208">
        <f t="shared" si="1"/>
        <v>1.0349999999999999</v>
      </c>
      <c r="BF7" s="208">
        <f t="shared" si="1"/>
        <v>1.0349999999999999</v>
      </c>
      <c r="BG7" s="208">
        <f t="shared" si="1"/>
        <v>1.0349999999999999</v>
      </c>
      <c r="BH7" s="208">
        <f t="shared" si="1"/>
        <v>1.0349999999999999</v>
      </c>
      <c r="BI7" s="208">
        <f t="shared" si="1"/>
        <v>1.0349999999999999</v>
      </c>
      <c r="BJ7" s="208">
        <f t="shared" si="1"/>
        <v>1.0349999999999999</v>
      </c>
      <c r="BK7" s="208">
        <f t="shared" si="1"/>
        <v>1.0349999999999999</v>
      </c>
      <c r="BL7" s="208">
        <f t="shared" si="1"/>
        <v>1.0349999999999999</v>
      </c>
    </row>
    <row r="8" spans="1:64" ht="15.6" customHeight="1" thickBot="1">
      <c r="C8" t="s">
        <v>381</v>
      </c>
      <c r="D8" t="s">
        <v>382</v>
      </c>
      <c r="E8" s="234">
        <f>E6*(1+E7*(1-E17))</f>
        <v>1.1566372619218102</v>
      </c>
      <c r="H8" s="414" t="s">
        <v>366</v>
      </c>
      <c r="I8" s="273" t="s">
        <v>383</v>
      </c>
      <c r="J8" s="273" t="s">
        <v>384</v>
      </c>
      <c r="L8" s="277" t="s">
        <v>385</v>
      </c>
      <c r="M8">
        <v>0.9</v>
      </c>
      <c r="N8" s="20" t="s">
        <v>386</v>
      </c>
      <c r="Y8" s="267">
        <v>45498</v>
      </c>
      <c r="Z8" s="268">
        <v>226</v>
      </c>
      <c r="AD8" s="16">
        <f>PRODUCT(AD7:BL7)</f>
        <v>3.3503519897466552</v>
      </c>
    </row>
    <row r="9" spans="1:64" ht="15.6" customHeight="1" thickBot="1">
      <c r="C9" t="s">
        <v>387</v>
      </c>
      <c r="D9" t="s">
        <v>388</v>
      </c>
      <c r="E9" s="256">
        <f>AVERAGE(M12:M14)</f>
        <v>4.7466666666666664E-2</v>
      </c>
      <c r="H9" s="250" t="s">
        <v>388</v>
      </c>
      <c r="I9" s="273" t="s">
        <v>383</v>
      </c>
      <c r="J9" s="273" t="s">
        <v>389</v>
      </c>
      <c r="L9" s="277" t="s">
        <v>390</v>
      </c>
      <c r="Y9" s="269">
        <v>45497</v>
      </c>
      <c r="Z9" s="270">
        <v>220</v>
      </c>
      <c r="AD9" s="16">
        <f>AD8^(1/35)</f>
        <v>1.0351483254404739</v>
      </c>
    </row>
    <row r="10" spans="1:64" ht="15.6" customHeight="1" thickBot="1">
      <c r="C10" t="s">
        <v>391</v>
      </c>
      <c r="D10" t="s">
        <v>392</v>
      </c>
      <c r="E10" s="256">
        <f>MAX(M16:M17)</f>
        <v>4.5999999999999999E-2</v>
      </c>
      <c r="H10" s="253" t="s">
        <v>393</v>
      </c>
      <c r="I10" s="252" t="s">
        <v>394</v>
      </c>
      <c r="J10" s="273" t="s">
        <v>395</v>
      </c>
      <c r="L10" s="278" t="s">
        <v>370</v>
      </c>
      <c r="M10" s="208">
        <f>E20/E19</f>
        <v>0.43204926249462977</v>
      </c>
      <c r="N10" s="20" t="s">
        <v>396</v>
      </c>
      <c r="Y10" s="267">
        <v>45496</v>
      </c>
      <c r="Z10" s="268">
        <v>224</v>
      </c>
    </row>
    <row r="11" spans="1:64" ht="15.6" customHeight="1" thickBot="1">
      <c r="C11" s="259" t="s">
        <v>397</v>
      </c>
      <c r="D11" s="260" t="s">
        <v>398</v>
      </c>
      <c r="E11" s="261">
        <f>E5+E10+E9*E8</f>
        <v>0.14260171536588859</v>
      </c>
      <c r="H11" s="253" t="s">
        <v>399</v>
      </c>
      <c r="I11" s="252" t="s">
        <v>400</v>
      </c>
      <c r="J11" s="274" t="s">
        <v>401</v>
      </c>
      <c r="L11" s="277" t="s">
        <v>402</v>
      </c>
      <c r="Y11" s="269">
        <v>45495</v>
      </c>
      <c r="Z11" s="270">
        <v>225</v>
      </c>
    </row>
    <row r="12" spans="1:64" ht="15.6" customHeight="1" thickBot="1">
      <c r="C12" t="s">
        <v>403</v>
      </c>
      <c r="D12" t="s">
        <v>404</v>
      </c>
      <c r="E12" s="256">
        <f>M23</f>
        <v>0.03</v>
      </c>
      <c r="H12" s="250" t="s">
        <v>405</v>
      </c>
      <c r="I12" s="252" t="s">
        <v>406</v>
      </c>
      <c r="J12" s="274" t="s">
        <v>401</v>
      </c>
      <c r="L12" s="278" t="s">
        <v>370</v>
      </c>
      <c r="M12" s="208">
        <v>4.41E-2</v>
      </c>
      <c r="N12" s="20" t="s">
        <v>407</v>
      </c>
      <c r="Y12" s="267">
        <v>45492</v>
      </c>
      <c r="Z12" s="268">
        <v>229</v>
      </c>
    </row>
    <row r="13" spans="1:64" ht="15.6" customHeight="1" thickBot="1">
      <c r="C13" t="s">
        <v>408</v>
      </c>
      <c r="D13" t="s">
        <v>409</v>
      </c>
      <c r="E13" s="256">
        <f>MIN(M20:M21)</f>
        <v>3.514832544047386E-2</v>
      </c>
      <c r="H13" s="253" t="s">
        <v>410</v>
      </c>
      <c r="I13" s="251" t="s">
        <v>411</v>
      </c>
      <c r="J13" s="276" t="s">
        <v>412</v>
      </c>
      <c r="L13" s="278" t="s">
        <v>377</v>
      </c>
      <c r="M13" s="208">
        <v>5.5E-2</v>
      </c>
      <c r="N13" s="20" t="s">
        <v>378</v>
      </c>
      <c r="Y13" s="269">
        <v>45491</v>
      </c>
      <c r="Z13" s="270">
        <v>232</v>
      </c>
    </row>
    <row r="14" spans="1:64" ht="15.6" customHeight="1" thickBot="1">
      <c r="C14" t="s">
        <v>413</v>
      </c>
      <c r="D14" s="262" t="s">
        <v>414</v>
      </c>
      <c r="E14" s="16">
        <f>(1+E13)/(1+E12)-1</f>
        <v>4.998374214052248E-3</v>
      </c>
      <c r="H14" s="424" t="s">
        <v>415</v>
      </c>
      <c r="I14" s="426" t="s">
        <v>416</v>
      </c>
      <c r="J14" s="428" t="s">
        <v>417</v>
      </c>
      <c r="L14" s="278" t="s">
        <v>370</v>
      </c>
      <c r="M14" s="208">
        <v>4.3299999999999998E-2</v>
      </c>
      <c r="N14" s="21" t="s">
        <v>418</v>
      </c>
      <c r="Y14" s="267">
        <v>45490</v>
      </c>
      <c r="Z14" s="268">
        <v>230</v>
      </c>
    </row>
    <row r="15" spans="1:64" ht="15.6" customHeight="1" thickBot="1">
      <c r="C15" s="259" t="s">
        <v>419</v>
      </c>
      <c r="D15" s="263" t="s">
        <v>420</v>
      </c>
      <c r="E15" s="263">
        <f>(1+E11)*(1+E14)-1</f>
        <v>0.14831286631690532</v>
      </c>
      <c r="H15" s="425"/>
      <c r="I15" s="427"/>
      <c r="J15" s="429"/>
      <c r="L15" s="277" t="s">
        <v>391</v>
      </c>
      <c r="Y15" s="269">
        <v>45489</v>
      </c>
      <c r="Z15" s="270">
        <v>226</v>
      </c>
    </row>
    <row r="16" spans="1:64" ht="15.6" customHeight="1" thickBot="1">
      <c r="C16" s="283" t="s">
        <v>421</v>
      </c>
      <c r="D16" s="259" t="s">
        <v>422</v>
      </c>
      <c r="E16" s="284">
        <f>Financiamento!D7</f>
        <v>7.5986000000000109E-2</v>
      </c>
      <c r="L16" s="278" t="s">
        <v>423</v>
      </c>
      <c r="M16" s="16">
        <f>AB4/10000</f>
        <v>2.0799999999999999E-2</v>
      </c>
      <c r="N16" s="20" t="s">
        <v>424</v>
      </c>
      <c r="Y16" s="267">
        <v>45488</v>
      </c>
      <c r="Z16" s="268">
        <v>223</v>
      </c>
    </row>
    <row r="17" spans="3:26" ht="15.75" thickBot="1">
      <c r="C17" t="s">
        <v>425</v>
      </c>
      <c r="D17" t="s">
        <v>426</v>
      </c>
      <c r="E17" s="264">
        <f>SUM(Tributação!D17,Tributação!D18,Tributação!D20)</f>
        <v>0.33999999999999997</v>
      </c>
      <c r="L17" s="278" t="s">
        <v>370</v>
      </c>
      <c r="M17" s="208">
        <v>4.5999999999999999E-2</v>
      </c>
      <c r="N17" s="20" t="s">
        <v>427</v>
      </c>
      <c r="Y17" s="269">
        <v>45485</v>
      </c>
      <c r="Z17" s="270">
        <v>224</v>
      </c>
    </row>
    <row r="18" spans="3:26" ht="15.75" thickBot="1">
      <c r="C18" s="259" t="s">
        <v>428</v>
      </c>
      <c r="D18" s="259" t="s">
        <v>429</v>
      </c>
      <c r="E18" s="263">
        <f>E16*(1-E17)</f>
        <v>5.0150760000000072E-2</v>
      </c>
      <c r="Y18" s="267">
        <v>45484</v>
      </c>
      <c r="Z18" s="268">
        <v>216</v>
      </c>
    </row>
    <row r="19" spans="3:26" ht="15.75" thickBot="1">
      <c r="C19" t="s">
        <v>430</v>
      </c>
      <c r="D19" t="s">
        <v>431</v>
      </c>
      <c r="E19" s="401">
        <v>0.69830000000000003</v>
      </c>
      <c r="L19" s="277" t="s">
        <v>432</v>
      </c>
      <c r="Y19" s="269">
        <v>45483</v>
      </c>
      <c r="Z19" s="270">
        <v>224</v>
      </c>
    </row>
    <row r="20" spans="3:26" ht="15.75" thickBot="1">
      <c r="C20" t="s">
        <v>433</v>
      </c>
      <c r="D20" t="s">
        <v>434</v>
      </c>
      <c r="E20" s="16">
        <f>1-E19</f>
        <v>0.30169999999999997</v>
      </c>
      <c r="L20" s="278" t="s">
        <v>435</v>
      </c>
      <c r="M20" s="16">
        <f>5.205%</f>
        <v>5.2049999999999999E-2</v>
      </c>
      <c r="N20" s="20" t="s">
        <v>436</v>
      </c>
      <c r="Y20" s="267">
        <v>45482</v>
      </c>
      <c r="Z20" s="268">
        <v>225</v>
      </c>
    </row>
    <row r="21" spans="3:26" ht="15.75" thickBot="1">
      <c r="C21" s="259" t="s">
        <v>437</v>
      </c>
      <c r="D21" s="259" t="s">
        <v>438</v>
      </c>
      <c r="E21" s="254">
        <f>(E15*E19)+(E18*E20)</f>
        <v>0.11869735884109502</v>
      </c>
      <c r="L21" s="278" t="s">
        <v>439</v>
      </c>
      <c r="M21" s="208">
        <f>AF4</f>
        <v>3.514832544047386E-2</v>
      </c>
      <c r="N21" t="s">
        <v>440</v>
      </c>
      <c r="Y21" s="269">
        <v>45481</v>
      </c>
      <c r="Z21" s="270">
        <v>226</v>
      </c>
    </row>
    <row r="22" spans="3:26" ht="15.75" thickBot="1">
      <c r="Y22" s="267">
        <v>45478</v>
      </c>
      <c r="Z22" s="268">
        <v>230</v>
      </c>
    </row>
    <row r="23" spans="3:26" ht="15.75" thickBot="1">
      <c r="L23" s="277" t="s">
        <v>441</v>
      </c>
      <c r="M23" s="148">
        <v>0.03</v>
      </c>
      <c r="N23" s="20" t="s">
        <v>442</v>
      </c>
      <c r="Y23" s="269">
        <v>45476</v>
      </c>
      <c r="Z23" s="270">
        <v>235</v>
      </c>
    </row>
    <row r="24" spans="3:26" ht="15.75" thickBot="1">
      <c r="E24" s="234"/>
      <c r="Y24" s="267">
        <v>45475</v>
      </c>
      <c r="Z24" s="268">
        <v>238</v>
      </c>
    </row>
    <row r="25" spans="3:26" ht="15.75" thickBot="1">
      <c r="Y25" s="269">
        <v>45474</v>
      </c>
      <c r="Z25" s="270">
        <v>235</v>
      </c>
    </row>
    <row r="26" spans="3:26" ht="15.75" thickBot="1">
      <c r="Y26" s="267">
        <v>45471</v>
      </c>
      <c r="Z26" s="268">
        <v>231</v>
      </c>
    </row>
    <row r="27" spans="3:26" ht="15.75" thickBot="1">
      <c r="Y27" s="269">
        <v>45470</v>
      </c>
      <c r="Z27" s="270">
        <v>235</v>
      </c>
    </row>
    <row r="28" spans="3:26" ht="15.75" thickBot="1">
      <c r="Y28" s="267">
        <v>45469</v>
      </c>
      <c r="Z28" s="268">
        <v>233</v>
      </c>
    </row>
    <row r="29" spans="3:26" ht="15.75" thickBot="1">
      <c r="Y29" s="269">
        <v>45468</v>
      </c>
      <c r="Z29" s="270">
        <v>235</v>
      </c>
    </row>
    <row r="30" spans="3:26" ht="15.75" thickBot="1">
      <c r="Y30" s="267">
        <v>45467</v>
      </c>
      <c r="Z30" s="268">
        <v>236</v>
      </c>
    </row>
    <row r="31" spans="3:26" ht="15.75" thickBot="1">
      <c r="Y31" s="269">
        <v>45464</v>
      </c>
      <c r="Z31" s="270">
        <v>235</v>
      </c>
    </row>
    <row r="32" spans="3:26" ht="15.75" thickBot="1">
      <c r="Y32" s="267">
        <v>45463</v>
      </c>
      <c r="Z32" s="268">
        <v>234</v>
      </c>
    </row>
    <row r="33" spans="10:45" ht="15.75" thickBot="1">
      <c r="Y33" s="269">
        <v>45461</v>
      </c>
      <c r="Z33" s="270">
        <v>235</v>
      </c>
    </row>
    <row r="34" spans="10:45" ht="15.75" thickBot="1">
      <c r="Y34" s="267">
        <v>45460</v>
      </c>
      <c r="Z34" s="268">
        <v>234</v>
      </c>
    </row>
    <row r="35" spans="10:45" ht="15.75" thickBot="1">
      <c r="Y35" s="269">
        <v>45457</v>
      </c>
      <c r="Z35" s="270">
        <v>234</v>
      </c>
      <c r="AS35" s="208"/>
    </row>
    <row r="36" spans="10:45" ht="15.75" thickBot="1">
      <c r="Y36" s="267">
        <v>45456</v>
      </c>
      <c r="Z36" s="268">
        <v>230</v>
      </c>
      <c r="AS36" s="208"/>
    </row>
    <row r="37" spans="10:45" ht="15.75" thickBot="1">
      <c r="Y37" s="269">
        <v>45455</v>
      </c>
      <c r="Z37" s="270">
        <v>223</v>
      </c>
    </row>
    <row r="38" spans="10:45" ht="15.75" thickBot="1">
      <c r="Y38" s="267">
        <v>45454</v>
      </c>
      <c r="Z38" s="268">
        <v>225</v>
      </c>
    </row>
    <row r="39" spans="10:45" ht="15.75" thickBot="1">
      <c r="J39" s="208"/>
      <c r="Y39" s="269">
        <v>45453</v>
      </c>
      <c r="Z39" s="270">
        <v>216</v>
      </c>
    </row>
    <row r="40" spans="10:45" ht="15.75" thickBot="1">
      <c r="Y40" s="267">
        <v>45450</v>
      </c>
      <c r="Z40" s="268">
        <v>221</v>
      </c>
    </row>
    <row r="41" spans="10:45" ht="15.75" thickBot="1">
      <c r="Y41" s="269">
        <v>45449</v>
      </c>
      <c r="Z41" s="270">
        <v>227</v>
      </c>
    </row>
    <row r="42" spans="10:45" ht="15.75" thickBot="1">
      <c r="Y42" s="267">
        <v>45448</v>
      </c>
      <c r="Z42" s="268">
        <v>224</v>
      </c>
    </row>
    <row r="43" spans="10:45" ht="15.75" thickBot="1">
      <c r="M43" t="s">
        <v>443</v>
      </c>
      <c r="Y43" s="269">
        <v>45447</v>
      </c>
      <c r="Z43" s="270">
        <v>220</v>
      </c>
    </row>
    <row r="44" spans="10:45" ht="15.75" thickBot="1">
      <c r="Y44" s="267">
        <v>45446</v>
      </c>
      <c r="Z44" s="268">
        <v>217</v>
      </c>
    </row>
    <row r="45" spans="10:45" ht="15.75" thickBot="1">
      <c r="Y45" s="269">
        <v>45443</v>
      </c>
      <c r="Z45" s="270">
        <v>213</v>
      </c>
    </row>
    <row r="46" spans="10:45" ht="15.75" thickBot="1">
      <c r="Y46" s="267">
        <v>45442</v>
      </c>
      <c r="Z46" s="268">
        <v>210</v>
      </c>
    </row>
    <row r="47" spans="10:45" ht="15.75" thickBot="1">
      <c r="Y47" s="269">
        <v>45441</v>
      </c>
      <c r="Z47" s="270">
        <v>210</v>
      </c>
    </row>
    <row r="48" spans="10:45" ht="15.75" thickBot="1">
      <c r="Y48" s="267">
        <v>45440</v>
      </c>
      <c r="Z48" s="268">
        <v>219</v>
      </c>
    </row>
    <row r="49" spans="25:26" ht="15.75" thickBot="1">
      <c r="Y49" s="269">
        <v>45436</v>
      </c>
      <c r="Z49" s="270">
        <v>212</v>
      </c>
    </row>
    <row r="50" spans="25:26" ht="15.75" thickBot="1">
      <c r="Y50" s="267">
        <v>45435</v>
      </c>
      <c r="Z50" s="268">
        <v>213</v>
      </c>
    </row>
    <row r="51" spans="25:26" ht="15.75" thickBot="1">
      <c r="Y51" s="269">
        <v>45434</v>
      </c>
      <c r="Z51" s="270">
        <v>214</v>
      </c>
    </row>
    <row r="52" spans="25:26" ht="15.75" thickBot="1">
      <c r="Y52" s="267">
        <v>45433</v>
      </c>
      <c r="Z52" s="268">
        <v>212</v>
      </c>
    </row>
    <row r="53" spans="25:26" ht="15.75" thickBot="1">
      <c r="Y53" s="269">
        <v>45432</v>
      </c>
      <c r="Z53" s="270">
        <v>212</v>
      </c>
    </row>
    <row r="54" spans="25:26" ht="15.75" thickBot="1">
      <c r="Y54" s="267">
        <v>45429</v>
      </c>
      <c r="Z54" s="268">
        <v>217</v>
      </c>
    </row>
    <row r="55" spans="25:26" ht="15.75" thickBot="1">
      <c r="Y55" s="269">
        <v>45428</v>
      </c>
      <c r="Z55" s="270">
        <v>217</v>
      </c>
    </row>
    <row r="56" spans="25:26" ht="15.75" thickBot="1">
      <c r="Y56" s="267">
        <v>45427</v>
      </c>
      <c r="Z56" s="268">
        <v>221</v>
      </c>
    </row>
    <row r="57" spans="25:26" ht="15.75" thickBot="1">
      <c r="Y57" s="269">
        <v>45426</v>
      </c>
      <c r="Z57" s="270">
        <v>216</v>
      </c>
    </row>
    <row r="58" spans="25:26" ht="15.75" thickBot="1">
      <c r="Y58" s="267">
        <v>45425</v>
      </c>
      <c r="Z58" s="268">
        <v>211</v>
      </c>
    </row>
    <row r="59" spans="25:26" ht="15.75" thickBot="1">
      <c r="Y59" s="269">
        <v>45422</v>
      </c>
      <c r="Z59" s="270">
        <v>210</v>
      </c>
    </row>
    <row r="60" spans="25:26" ht="15.75" thickBot="1">
      <c r="Y60" s="267">
        <v>45421</v>
      </c>
      <c r="Z60" s="268">
        <v>209</v>
      </c>
    </row>
    <row r="61" spans="25:26" ht="15.75" thickBot="1">
      <c r="Y61" s="269">
        <v>45420</v>
      </c>
      <c r="Z61" s="270">
        <v>206</v>
      </c>
    </row>
    <row r="62" spans="25:26" ht="15.75" thickBot="1">
      <c r="Y62" s="267">
        <v>45419</v>
      </c>
      <c r="Z62" s="268">
        <v>204</v>
      </c>
    </row>
    <row r="63" spans="25:26" ht="15.75" thickBot="1">
      <c r="Y63" s="269">
        <v>45418</v>
      </c>
      <c r="Z63" s="270">
        <v>201</v>
      </c>
    </row>
    <row r="64" spans="25:26" ht="15.75" thickBot="1">
      <c r="Y64" s="267">
        <v>45415</v>
      </c>
      <c r="Z64" s="268">
        <v>204</v>
      </c>
    </row>
    <row r="65" spans="25:26" ht="15.75" thickBot="1">
      <c r="Y65" s="269">
        <v>45414</v>
      </c>
      <c r="Z65" s="270">
        <v>208</v>
      </c>
    </row>
    <row r="66" spans="25:26" ht="15.75" thickBot="1">
      <c r="Y66" s="267">
        <v>45413</v>
      </c>
      <c r="Z66" s="268">
        <v>209</v>
      </c>
    </row>
    <row r="67" spans="25:26" ht="15.75" thickBot="1">
      <c r="Y67" s="269">
        <v>45412</v>
      </c>
      <c r="Z67" s="270">
        <v>210</v>
      </c>
    </row>
    <row r="68" spans="25:26" ht="15.75" thickBot="1">
      <c r="Y68" s="267">
        <v>45411</v>
      </c>
      <c r="Z68" s="268">
        <v>212</v>
      </c>
    </row>
    <row r="69" spans="25:26" ht="15.75" thickBot="1">
      <c r="Y69" s="269">
        <v>45408</v>
      </c>
      <c r="Z69" s="270">
        <v>212</v>
      </c>
    </row>
    <row r="70" spans="25:26" ht="15.75" thickBot="1">
      <c r="Y70" s="267">
        <v>45407</v>
      </c>
      <c r="Z70" s="268">
        <v>214</v>
      </c>
    </row>
    <row r="71" spans="25:26" ht="15.75" thickBot="1">
      <c r="Y71" s="269">
        <v>45406</v>
      </c>
      <c r="Z71" s="270">
        <v>214</v>
      </c>
    </row>
    <row r="72" spans="25:26" ht="15.75" thickBot="1">
      <c r="Y72" s="267">
        <v>45405</v>
      </c>
      <c r="Z72" s="268">
        <v>213</v>
      </c>
    </row>
    <row r="73" spans="25:26" ht="15.75" thickBot="1">
      <c r="Y73" s="269">
        <v>45404</v>
      </c>
      <c r="Z73" s="270">
        <v>215</v>
      </c>
    </row>
    <row r="74" spans="25:26" ht="15.75" thickBot="1">
      <c r="Y74" s="267">
        <v>45401</v>
      </c>
      <c r="Z74" s="268">
        <v>217</v>
      </c>
    </row>
    <row r="75" spans="25:26" ht="15.75" thickBot="1">
      <c r="Y75" s="269">
        <v>45400</v>
      </c>
      <c r="Z75" s="270">
        <v>218</v>
      </c>
    </row>
    <row r="76" spans="25:26" ht="15.75" thickBot="1">
      <c r="Y76" s="267">
        <v>45399</v>
      </c>
      <c r="Z76" s="268">
        <v>220</v>
      </c>
    </row>
    <row r="77" spans="25:26" ht="15.75" thickBot="1">
      <c r="Y77" s="269">
        <v>45398</v>
      </c>
      <c r="Z77" s="270">
        <v>221</v>
      </c>
    </row>
    <row r="78" spans="25:26" ht="15.75" thickBot="1">
      <c r="Y78" s="267">
        <v>45397</v>
      </c>
      <c r="Z78" s="268">
        <v>216</v>
      </c>
    </row>
    <row r="79" spans="25:26" ht="15.75" thickBot="1">
      <c r="Y79" s="269">
        <v>45394</v>
      </c>
      <c r="Z79" s="270">
        <v>211</v>
      </c>
    </row>
    <row r="80" spans="25:26" ht="15.75" thickBot="1">
      <c r="Y80" s="267">
        <v>45393</v>
      </c>
      <c r="Z80" s="268">
        <v>205</v>
      </c>
    </row>
    <row r="81" spans="25:26" ht="15.75" thickBot="1">
      <c r="Y81" s="269">
        <v>45392</v>
      </c>
      <c r="Z81" s="270">
        <v>206</v>
      </c>
    </row>
    <row r="82" spans="25:26" ht="15.75" thickBot="1">
      <c r="Y82" s="267">
        <v>45391</v>
      </c>
      <c r="Z82" s="268">
        <v>209</v>
      </c>
    </row>
    <row r="83" spans="25:26" ht="15.75" thickBot="1">
      <c r="Y83" s="269">
        <v>45390</v>
      </c>
      <c r="Z83" s="270">
        <v>208</v>
      </c>
    </row>
    <row r="84" spans="25:26" ht="15.75" thickBot="1">
      <c r="Y84" s="267">
        <v>45387</v>
      </c>
      <c r="Z84" s="268">
        <v>206</v>
      </c>
    </row>
    <row r="85" spans="25:26" ht="15.75" thickBot="1">
      <c r="Y85" s="269">
        <v>45386</v>
      </c>
      <c r="Z85" s="270">
        <v>210</v>
      </c>
    </row>
    <row r="86" spans="25:26" ht="15.75" thickBot="1">
      <c r="Y86" s="267">
        <v>45385</v>
      </c>
      <c r="Z86" s="268">
        <v>214</v>
      </c>
    </row>
    <row r="87" spans="25:26" ht="15.75" thickBot="1">
      <c r="Y87" s="269">
        <v>45384</v>
      </c>
      <c r="Z87" s="270">
        <v>210</v>
      </c>
    </row>
    <row r="88" spans="25:26" ht="15.75" thickBot="1">
      <c r="Y88" s="267">
        <v>45383</v>
      </c>
      <c r="Z88" s="268">
        <v>208</v>
      </c>
    </row>
    <row r="89" spans="25:26" ht="15.75" thickBot="1">
      <c r="Y89" s="269">
        <v>45379</v>
      </c>
      <c r="Z89" s="270">
        <v>210</v>
      </c>
    </row>
    <row r="90" spans="25:26" ht="15.75" thickBot="1">
      <c r="Y90" s="267">
        <v>45378</v>
      </c>
      <c r="Z90" s="268">
        <v>205</v>
      </c>
    </row>
    <row r="91" spans="25:26" ht="15.75" thickBot="1">
      <c r="Y91" s="269">
        <v>45377</v>
      </c>
      <c r="Z91" s="270">
        <v>202</v>
      </c>
    </row>
    <row r="92" spans="25:26" ht="15.75" thickBot="1">
      <c r="Y92" s="267">
        <v>45376</v>
      </c>
      <c r="Z92" s="268">
        <v>202</v>
      </c>
    </row>
    <row r="93" spans="25:26" ht="15.75" thickBot="1">
      <c r="Y93" s="269">
        <v>45373</v>
      </c>
      <c r="Z93" s="270">
        <v>201</v>
      </c>
    </row>
    <row r="94" spans="25:26" ht="15.75" thickBot="1">
      <c r="Y94" s="267">
        <v>45372</v>
      </c>
      <c r="Z94" s="268">
        <v>200</v>
      </c>
    </row>
    <row r="95" spans="25:26" ht="15.75" thickBot="1">
      <c r="Y95" s="269">
        <v>45371</v>
      </c>
      <c r="Z95" s="270">
        <v>205</v>
      </c>
    </row>
    <row r="96" spans="25:26" ht="15.75" thickBot="1">
      <c r="Y96" s="267">
        <v>45370</v>
      </c>
      <c r="Z96" s="268">
        <v>206</v>
      </c>
    </row>
    <row r="97" spans="25:26" ht="15.75" thickBot="1">
      <c r="Y97" s="269">
        <v>45369</v>
      </c>
      <c r="Z97" s="270">
        <v>204</v>
      </c>
    </row>
    <row r="98" spans="25:26" ht="15.75" thickBot="1">
      <c r="Y98" s="267">
        <v>45366</v>
      </c>
      <c r="Z98" s="268">
        <v>205</v>
      </c>
    </row>
    <row r="99" spans="25:26" ht="15.75" thickBot="1">
      <c r="Y99" s="269">
        <v>45365</v>
      </c>
      <c r="Z99" s="270">
        <v>205</v>
      </c>
    </row>
    <row r="100" spans="25:26" ht="15.75" thickBot="1">
      <c r="Y100" s="267">
        <v>45364</v>
      </c>
      <c r="Z100" s="268">
        <v>208</v>
      </c>
    </row>
    <row r="101" spans="25:26" ht="15.75" thickBot="1">
      <c r="Y101" s="269">
        <v>45363</v>
      </c>
      <c r="Z101" s="270">
        <v>210</v>
      </c>
    </row>
    <row r="102" spans="25:26" ht="15.75" thickBot="1">
      <c r="Y102" s="267">
        <v>45362</v>
      </c>
      <c r="Z102" s="268">
        <v>213</v>
      </c>
    </row>
    <row r="103" spans="25:26" ht="15.75" thickBot="1">
      <c r="Y103" s="269">
        <v>45359</v>
      </c>
      <c r="Z103" s="270">
        <v>214</v>
      </c>
    </row>
    <row r="104" spans="25:26" ht="15.75" thickBot="1">
      <c r="Y104" s="267">
        <v>45358</v>
      </c>
      <c r="Z104" s="268">
        <v>215</v>
      </c>
    </row>
    <row r="105" spans="25:26" ht="15.75" thickBot="1">
      <c r="Y105" s="269">
        <v>45357</v>
      </c>
      <c r="Z105" s="270">
        <v>213</v>
      </c>
    </row>
    <row r="106" spans="25:26" ht="15.75" thickBot="1">
      <c r="Y106" s="267">
        <v>45356</v>
      </c>
      <c r="Z106" s="268">
        <v>213</v>
      </c>
    </row>
    <row r="107" spans="25:26" ht="15.75" thickBot="1">
      <c r="Y107" s="269">
        <v>45355</v>
      </c>
      <c r="Z107" s="270">
        <v>208</v>
      </c>
    </row>
    <row r="108" spans="25:26" ht="15.75" thickBot="1">
      <c r="Y108" s="267">
        <v>45352</v>
      </c>
      <c r="Z108" s="268">
        <v>207</v>
      </c>
    </row>
    <row r="109" spans="25:26" ht="15.75" thickBot="1">
      <c r="Y109" s="269">
        <v>45351</v>
      </c>
      <c r="Z109" s="270">
        <v>208</v>
      </c>
    </row>
    <row r="110" spans="25:26" ht="15.75" thickBot="1">
      <c r="Y110" s="267">
        <v>45350</v>
      </c>
      <c r="Z110" s="268">
        <v>208</v>
      </c>
    </row>
    <row r="111" spans="25:26" ht="15.75" thickBot="1">
      <c r="Y111" s="269">
        <v>45349</v>
      </c>
      <c r="Z111" s="270">
        <v>202</v>
      </c>
    </row>
    <row r="112" spans="25:26" ht="15.75" thickBot="1">
      <c r="Y112" s="267">
        <v>45348</v>
      </c>
      <c r="Z112" s="268">
        <v>203</v>
      </c>
    </row>
    <row r="113" spans="25:26" ht="15.75" thickBot="1">
      <c r="Y113" s="269">
        <v>45345</v>
      </c>
      <c r="Z113" s="270">
        <v>205</v>
      </c>
    </row>
    <row r="114" spans="25:26" ht="15.75" thickBot="1">
      <c r="Y114" s="267">
        <v>45344</v>
      </c>
      <c r="Z114" s="268">
        <v>205</v>
      </c>
    </row>
    <row r="115" spans="25:26" ht="15.75" thickBot="1">
      <c r="Y115" s="269">
        <v>45343</v>
      </c>
      <c r="Z115" s="270">
        <v>205</v>
      </c>
    </row>
    <row r="116" spans="25:26" ht="15.75" thickBot="1">
      <c r="Y116" s="267">
        <v>45342</v>
      </c>
      <c r="Z116" s="268">
        <v>207</v>
      </c>
    </row>
    <row r="117" spans="25:26" ht="15.75" thickBot="1">
      <c r="Y117" s="269">
        <v>45338</v>
      </c>
      <c r="Z117" s="270">
        <v>208</v>
      </c>
    </row>
    <row r="118" spans="25:26" ht="15.75" thickBot="1">
      <c r="Y118" s="267">
        <v>45337</v>
      </c>
      <c r="Z118" s="268">
        <v>208</v>
      </c>
    </row>
    <row r="119" spans="25:26" ht="15.75" thickBot="1">
      <c r="Y119" s="269">
        <v>45336</v>
      </c>
      <c r="Z119" s="270">
        <v>209</v>
      </c>
    </row>
    <row r="120" spans="25:26" ht="15.75" thickBot="1">
      <c r="Y120" s="267">
        <v>45335</v>
      </c>
      <c r="Z120" s="268">
        <v>206</v>
      </c>
    </row>
    <row r="121" spans="25:26" ht="15.75" thickBot="1">
      <c r="Y121" s="269">
        <v>45334</v>
      </c>
      <c r="Z121" s="270">
        <v>210</v>
      </c>
    </row>
    <row r="122" spans="25:26" ht="15.75" thickBot="1">
      <c r="Y122" s="267">
        <v>45331</v>
      </c>
      <c r="Z122" s="268">
        <v>211</v>
      </c>
    </row>
    <row r="123" spans="25:26" ht="15.75" thickBot="1">
      <c r="Y123" s="269">
        <v>45330</v>
      </c>
      <c r="Z123" s="270">
        <v>211</v>
      </c>
    </row>
    <row r="124" spans="25:26" ht="15.75" thickBot="1">
      <c r="Y124" s="267">
        <v>45329</v>
      </c>
      <c r="Z124" s="268">
        <v>212</v>
      </c>
    </row>
    <row r="125" spans="25:26" ht="15.75" thickBot="1">
      <c r="Y125" s="269">
        <v>45328</v>
      </c>
      <c r="Z125" s="270">
        <v>215</v>
      </c>
    </row>
    <row r="126" spans="25:26" ht="15.75" thickBot="1">
      <c r="Y126" s="267">
        <v>45327</v>
      </c>
      <c r="Z126" s="268">
        <v>216</v>
      </c>
    </row>
    <row r="127" spans="25:26" ht="15.75" thickBot="1">
      <c r="Y127" s="269">
        <v>45324</v>
      </c>
      <c r="Z127" s="270">
        <v>220</v>
      </c>
    </row>
    <row r="128" spans="25:26" ht="15.75" thickBot="1">
      <c r="Y128" s="267">
        <v>45323</v>
      </c>
      <c r="Z128" s="268">
        <v>225</v>
      </c>
    </row>
    <row r="129" spans="25:26" ht="15.75" thickBot="1">
      <c r="Y129" s="269">
        <v>45322</v>
      </c>
      <c r="Z129" s="270">
        <v>230</v>
      </c>
    </row>
    <row r="130" spans="25:26" ht="15.75" thickBot="1">
      <c r="Y130" s="267">
        <v>45321</v>
      </c>
      <c r="Z130" s="268">
        <v>205</v>
      </c>
    </row>
    <row r="131" spans="25:26" ht="15.75" thickBot="1">
      <c r="Y131" s="269">
        <v>45320</v>
      </c>
      <c r="Z131" s="270">
        <v>202</v>
      </c>
    </row>
    <row r="132" spans="25:26" ht="15.75" thickBot="1">
      <c r="Y132" s="267">
        <v>45317</v>
      </c>
      <c r="Z132" s="268">
        <v>201</v>
      </c>
    </row>
    <row r="133" spans="25:26" ht="15.75" thickBot="1">
      <c r="Y133" s="269">
        <v>45316</v>
      </c>
      <c r="Z133" s="270">
        <v>202</v>
      </c>
    </row>
    <row r="134" spans="25:26" ht="15.75" thickBot="1">
      <c r="Y134" s="267">
        <v>45315</v>
      </c>
      <c r="Z134" s="268">
        <v>201</v>
      </c>
    </row>
    <row r="135" spans="25:26" ht="15.75" thickBot="1">
      <c r="Y135" s="269">
        <v>45314</v>
      </c>
      <c r="Z135" s="270">
        <v>205</v>
      </c>
    </row>
    <row r="136" spans="25:26" ht="15.75" thickBot="1">
      <c r="Y136" s="267">
        <v>45313</v>
      </c>
      <c r="Z136" s="268">
        <v>201</v>
      </c>
    </row>
    <row r="137" spans="25:26" ht="15.75" thickBot="1">
      <c r="Y137" s="269">
        <v>45310</v>
      </c>
      <c r="Z137" s="270">
        <v>190</v>
      </c>
    </row>
    <row r="138" spans="25:26" ht="15.75" thickBot="1">
      <c r="Y138" s="267">
        <v>45309</v>
      </c>
      <c r="Z138" s="268">
        <v>186</v>
      </c>
    </row>
    <row r="139" spans="25:26" ht="15.75" thickBot="1">
      <c r="Y139" s="269">
        <v>45308</v>
      </c>
      <c r="Z139" s="270">
        <v>187</v>
      </c>
    </row>
    <row r="140" spans="25:26" ht="15.75" thickBot="1">
      <c r="Y140" s="267">
        <v>45307</v>
      </c>
      <c r="Z140" s="268">
        <v>186</v>
      </c>
    </row>
    <row r="141" spans="25:26" ht="15.75" thickBot="1">
      <c r="Y141" s="269">
        <v>45303</v>
      </c>
      <c r="Z141" s="270">
        <v>191</v>
      </c>
    </row>
    <row r="142" spans="25:26" ht="15.75" thickBot="1">
      <c r="Y142" s="267">
        <v>45302</v>
      </c>
      <c r="Z142" s="268">
        <v>194</v>
      </c>
    </row>
    <row r="143" spans="25:26" ht="15.75" thickBot="1">
      <c r="Y143" s="269">
        <v>45301</v>
      </c>
      <c r="Z143" s="270">
        <v>197</v>
      </c>
    </row>
    <row r="144" spans="25:26" ht="15.75" thickBot="1">
      <c r="Y144" s="267">
        <v>45300</v>
      </c>
      <c r="Z144" s="268">
        <v>203</v>
      </c>
    </row>
    <row r="145" spans="25:26" ht="15.75" thickBot="1">
      <c r="Y145" s="269">
        <v>45299</v>
      </c>
      <c r="Z145" s="270">
        <v>205</v>
      </c>
    </row>
    <row r="146" spans="25:26" ht="15.75" thickBot="1">
      <c r="Y146" s="267">
        <v>45296</v>
      </c>
      <c r="Z146" s="268">
        <v>206</v>
      </c>
    </row>
    <row r="147" spans="25:26" ht="15.75" thickBot="1">
      <c r="Y147" s="269">
        <v>45295</v>
      </c>
      <c r="Z147" s="270">
        <v>209</v>
      </c>
    </row>
    <row r="148" spans="25:26" ht="15.75" thickBot="1">
      <c r="Y148" s="267">
        <v>45294</v>
      </c>
      <c r="Z148" s="268">
        <v>211</v>
      </c>
    </row>
    <row r="149" spans="25:26" ht="15.75" thickBot="1">
      <c r="Y149" s="269">
        <v>45293</v>
      </c>
      <c r="Z149" s="270">
        <v>202</v>
      </c>
    </row>
    <row r="150" spans="25:26" ht="15.75" thickBot="1">
      <c r="Y150" s="267">
        <v>45289</v>
      </c>
      <c r="Z150" s="268">
        <v>195</v>
      </c>
    </row>
    <row r="151" spans="25:26" ht="15.75" thickBot="1">
      <c r="Y151" s="269">
        <v>45288</v>
      </c>
      <c r="Z151" s="270">
        <v>197</v>
      </c>
    </row>
    <row r="152" spans="25:26" ht="15.75" thickBot="1">
      <c r="Y152" s="267">
        <v>45287</v>
      </c>
      <c r="Z152" s="268">
        <v>201</v>
      </c>
    </row>
    <row r="153" spans="25:26" ht="15.75" thickBot="1">
      <c r="Y153" s="269">
        <v>45286</v>
      </c>
      <c r="Z153" s="270">
        <v>195</v>
      </c>
    </row>
    <row r="154" spans="25:26" ht="15.75" thickBot="1">
      <c r="Y154" s="267">
        <v>45282</v>
      </c>
      <c r="Z154" s="268">
        <v>193</v>
      </c>
    </row>
    <row r="155" spans="25:26" ht="15.75" thickBot="1">
      <c r="Y155" s="269">
        <v>45281</v>
      </c>
      <c r="Z155" s="270">
        <v>194</v>
      </c>
    </row>
    <row r="156" spans="25:26" ht="15.75" thickBot="1">
      <c r="Y156" s="267">
        <v>45280</v>
      </c>
      <c r="Z156" s="268">
        <v>195</v>
      </c>
    </row>
    <row r="157" spans="25:26" ht="15.75" thickBot="1">
      <c r="Y157" s="269">
        <v>45279</v>
      </c>
      <c r="Z157" s="270">
        <v>192</v>
      </c>
    </row>
    <row r="158" spans="25:26" ht="15.75" thickBot="1">
      <c r="Y158" s="267">
        <v>45278</v>
      </c>
      <c r="Z158" s="268">
        <v>191</v>
      </c>
    </row>
    <row r="159" spans="25:26" ht="15.75" thickBot="1">
      <c r="Y159" s="269">
        <v>45275</v>
      </c>
      <c r="Z159" s="270">
        <v>192</v>
      </c>
    </row>
    <row r="160" spans="25:26" ht="15.75" thickBot="1">
      <c r="Y160" s="267">
        <v>45274</v>
      </c>
      <c r="Z160" s="268">
        <v>192</v>
      </c>
    </row>
    <row r="161" spans="25:26" ht="15.75" thickBot="1">
      <c r="Y161" s="269">
        <v>45273</v>
      </c>
      <c r="Z161" s="270">
        <v>197</v>
      </c>
    </row>
    <row r="162" spans="25:26" ht="15.75" thickBot="1">
      <c r="Y162" s="267">
        <v>45272</v>
      </c>
      <c r="Z162" s="268">
        <v>196</v>
      </c>
    </row>
    <row r="163" spans="25:26" ht="15.75" thickBot="1">
      <c r="Y163" s="269">
        <v>45271</v>
      </c>
      <c r="Z163" s="270">
        <v>195</v>
      </c>
    </row>
    <row r="164" spans="25:26" ht="15.75" thickBot="1">
      <c r="Y164" s="267">
        <v>45268</v>
      </c>
      <c r="Z164" s="268">
        <v>195</v>
      </c>
    </row>
    <row r="165" spans="25:26" ht="15.75" thickBot="1">
      <c r="Y165" s="269">
        <v>45267</v>
      </c>
      <c r="Z165" s="270">
        <v>196</v>
      </c>
    </row>
    <row r="166" spans="25:26" ht="15.75" thickBot="1">
      <c r="Y166" s="267">
        <v>45266</v>
      </c>
      <c r="Z166" s="268">
        <v>196</v>
      </c>
    </row>
    <row r="167" spans="25:26" ht="15.75" thickBot="1">
      <c r="Y167" s="269">
        <v>45265</v>
      </c>
      <c r="Z167" s="270">
        <v>193</v>
      </c>
    </row>
    <row r="168" spans="25:26" ht="15.75" thickBot="1">
      <c r="Y168" s="267">
        <v>45264</v>
      </c>
      <c r="Z168" s="268">
        <v>192</v>
      </c>
    </row>
    <row r="169" spans="25:26" ht="15.75" thickBot="1">
      <c r="Y169" s="269">
        <v>45261</v>
      </c>
      <c r="Z169" s="270">
        <v>193</v>
      </c>
    </row>
    <row r="170" spans="25:26" ht="15.75" thickBot="1">
      <c r="Y170" s="267">
        <v>45260</v>
      </c>
      <c r="Z170" s="268">
        <v>189</v>
      </c>
    </row>
    <row r="171" spans="25:26" ht="15.75" thickBot="1">
      <c r="Y171" s="269">
        <v>45259</v>
      </c>
      <c r="Z171" s="270">
        <v>196</v>
      </c>
    </row>
    <row r="172" spans="25:26" ht="15.75" thickBot="1">
      <c r="Y172" s="267">
        <v>45258</v>
      </c>
      <c r="Z172" s="268">
        <v>198</v>
      </c>
    </row>
    <row r="173" spans="25:26" ht="15.75" thickBot="1">
      <c r="Y173" s="269">
        <v>45257</v>
      </c>
      <c r="Z173" s="270">
        <v>199</v>
      </c>
    </row>
    <row r="174" spans="25:26" ht="15.75" thickBot="1">
      <c r="Y174" s="267">
        <v>45254</v>
      </c>
      <c r="Z174" s="268">
        <v>196</v>
      </c>
    </row>
    <row r="175" spans="25:26" ht="15.75" thickBot="1">
      <c r="Y175" s="269">
        <v>45252</v>
      </c>
      <c r="Z175" s="270">
        <v>197</v>
      </c>
    </row>
    <row r="176" spans="25:26" ht="15.75" thickBot="1">
      <c r="Y176" s="267">
        <v>45251</v>
      </c>
      <c r="Z176" s="268">
        <v>199</v>
      </c>
    </row>
    <row r="177" spans="25:26" ht="15.75" thickBot="1">
      <c r="Y177" s="269">
        <v>45250</v>
      </c>
      <c r="Z177" s="270">
        <v>200</v>
      </c>
    </row>
    <row r="178" spans="25:26" ht="15.75" thickBot="1">
      <c r="Y178" s="267">
        <v>45247</v>
      </c>
      <c r="Z178" s="268">
        <v>203</v>
      </c>
    </row>
    <row r="179" spans="25:26" ht="15.75" thickBot="1">
      <c r="Y179" s="269">
        <v>45246</v>
      </c>
      <c r="Z179" s="270">
        <v>203</v>
      </c>
    </row>
    <row r="180" spans="25:26" ht="15.75" thickBot="1">
      <c r="Y180" s="267">
        <v>45245</v>
      </c>
      <c r="Z180" s="268">
        <v>202</v>
      </c>
    </row>
    <row r="181" spans="25:26" ht="15.75" thickBot="1">
      <c r="Y181" s="269">
        <v>45244</v>
      </c>
      <c r="Z181" s="270">
        <v>207</v>
      </c>
    </row>
    <row r="182" spans="25:26" ht="15.75" thickBot="1">
      <c r="Y182" s="267">
        <v>45243</v>
      </c>
      <c r="Z182" s="268">
        <v>207</v>
      </c>
    </row>
    <row r="183" spans="25:26" ht="15.75" thickBot="1">
      <c r="Y183" s="269">
        <v>45240</v>
      </c>
      <c r="Z183" s="270">
        <v>203</v>
      </c>
    </row>
    <row r="184" spans="25:26" ht="15.75" thickBot="1">
      <c r="Y184" s="267">
        <v>45239</v>
      </c>
      <c r="Z184" s="268">
        <v>204</v>
      </c>
    </row>
    <row r="185" spans="25:26" ht="15.75" thickBot="1">
      <c r="Y185" s="269">
        <v>45238</v>
      </c>
      <c r="Z185" s="270">
        <v>207</v>
      </c>
    </row>
    <row r="186" spans="25:26" ht="15.75" thickBot="1">
      <c r="Y186" s="267">
        <v>45237</v>
      </c>
      <c r="Z186" s="268">
        <v>202</v>
      </c>
    </row>
    <row r="187" spans="25:26" ht="15.75" thickBot="1">
      <c r="Y187" s="269">
        <v>45236</v>
      </c>
      <c r="Z187" s="270">
        <v>196</v>
      </c>
    </row>
    <row r="188" spans="25:26" ht="15.75" thickBot="1">
      <c r="Y188" s="267">
        <v>45233</v>
      </c>
      <c r="Z188" s="268">
        <v>194</v>
      </c>
    </row>
    <row r="189" spans="25:26" ht="15.75" thickBot="1">
      <c r="Y189" s="269">
        <v>45232</v>
      </c>
      <c r="Z189" s="270">
        <v>195</v>
      </c>
    </row>
    <row r="190" spans="25:26" ht="15.75" thickBot="1">
      <c r="Y190" s="267">
        <v>45231</v>
      </c>
      <c r="Z190" s="268">
        <v>200</v>
      </c>
    </row>
    <row r="191" spans="25:26" ht="15.75" thickBot="1">
      <c r="Y191" s="269">
        <v>45229</v>
      </c>
      <c r="Z191" s="270">
        <v>201</v>
      </c>
    </row>
    <row r="192" spans="25:26" ht="15.75" thickBot="1">
      <c r="Y192" s="267">
        <v>45226</v>
      </c>
      <c r="Z192" s="268">
        <v>203</v>
      </c>
    </row>
    <row r="193" spans="25:26" ht="15.75" thickBot="1">
      <c r="Y193" s="269">
        <v>45225</v>
      </c>
      <c r="Z193" s="270">
        <v>201</v>
      </c>
    </row>
    <row r="194" spans="25:26" ht="15.75" thickBot="1">
      <c r="Y194" s="267">
        <v>45224</v>
      </c>
      <c r="Z194" s="268">
        <v>194</v>
      </c>
    </row>
    <row r="195" spans="25:26" ht="15.75" thickBot="1">
      <c r="Y195" s="269">
        <v>45223</v>
      </c>
      <c r="Z195" s="270">
        <v>198</v>
      </c>
    </row>
    <row r="196" spans="25:26" ht="15.75" thickBot="1">
      <c r="Y196" s="267">
        <v>45222</v>
      </c>
      <c r="Z196" s="268">
        <v>200</v>
      </c>
    </row>
    <row r="197" spans="25:26" ht="15.75" thickBot="1">
      <c r="Y197" s="269">
        <v>45219</v>
      </c>
      <c r="Z197" s="270">
        <v>200</v>
      </c>
    </row>
    <row r="198" spans="25:26" ht="15.75" thickBot="1">
      <c r="Y198" s="267">
        <v>45218</v>
      </c>
      <c r="Z198" s="268">
        <v>199</v>
      </c>
    </row>
    <row r="199" spans="25:26" ht="15.75" thickBot="1">
      <c r="Y199" s="269">
        <v>45217</v>
      </c>
      <c r="Z199" s="270">
        <v>198</v>
      </c>
    </row>
    <row r="200" spans="25:26" ht="15.75" thickBot="1">
      <c r="Y200" s="267">
        <v>45216</v>
      </c>
      <c r="Z200" s="268">
        <v>200</v>
      </c>
    </row>
    <row r="201" spans="25:26" ht="15.75" thickBot="1">
      <c r="Y201" s="269">
        <v>45215</v>
      </c>
      <c r="Z201" s="270">
        <v>200</v>
      </c>
    </row>
    <row r="202" spans="25:26" ht="15.75" thickBot="1">
      <c r="Y202" s="267">
        <v>45212</v>
      </c>
      <c r="Z202" s="268">
        <v>200</v>
      </c>
    </row>
    <row r="203" spans="25:26" ht="15.75" thickBot="1">
      <c r="Y203" s="269">
        <v>45211</v>
      </c>
      <c r="Z203" s="270">
        <v>198</v>
      </c>
    </row>
    <row r="204" spans="25:26" ht="15.75" thickBot="1">
      <c r="Y204" s="267">
        <v>45210</v>
      </c>
      <c r="Z204" s="268">
        <v>202</v>
      </c>
    </row>
    <row r="205" spans="25:26" ht="15.75" thickBot="1">
      <c r="Y205" s="269">
        <v>45209</v>
      </c>
      <c r="Z205" s="270">
        <v>204</v>
      </c>
    </row>
    <row r="206" spans="25:26" ht="15.75" thickBot="1">
      <c r="Y206" s="267">
        <v>45205</v>
      </c>
      <c r="Z206" s="268">
        <v>208</v>
      </c>
    </row>
    <row r="207" spans="25:26" ht="15.75" thickBot="1">
      <c r="Y207" s="269">
        <v>45204</v>
      </c>
      <c r="Z207" s="270">
        <v>211</v>
      </c>
    </row>
    <row r="208" spans="25:26" ht="15.75" thickBot="1">
      <c r="Y208" s="267">
        <v>45203</v>
      </c>
      <c r="Z208" s="268">
        <v>209</v>
      </c>
    </row>
    <row r="209" spans="25:26" ht="15.75" thickBot="1">
      <c r="Y209" s="269">
        <v>45202</v>
      </c>
      <c r="Z209" s="270">
        <v>205</v>
      </c>
    </row>
    <row r="210" spans="25:26" ht="15.75" thickBot="1">
      <c r="Y210" s="267">
        <v>45201</v>
      </c>
      <c r="Z210" s="268">
        <v>200</v>
      </c>
    </row>
    <row r="211" spans="25:26" ht="15.75" thickBot="1">
      <c r="Y211" s="269">
        <v>45198</v>
      </c>
      <c r="Z211" s="270">
        <v>201</v>
      </c>
    </row>
    <row r="212" spans="25:26" ht="15.75" thickBot="1">
      <c r="Y212" s="267">
        <v>45197</v>
      </c>
      <c r="Z212" s="268">
        <v>204</v>
      </c>
    </row>
    <row r="213" spans="25:26" ht="15.75" thickBot="1">
      <c r="Y213" s="269">
        <v>45196</v>
      </c>
      <c r="Z213" s="270">
        <v>202</v>
      </c>
    </row>
    <row r="214" spans="25:26" ht="15.75" thickBot="1">
      <c r="Y214" s="267">
        <v>45195</v>
      </c>
      <c r="Z214" s="268">
        <v>203</v>
      </c>
    </row>
    <row r="215" spans="25:26" ht="15.75" thickBot="1">
      <c r="Y215" s="269">
        <v>45194</v>
      </c>
      <c r="Z215" s="270">
        <v>201</v>
      </c>
    </row>
    <row r="216" spans="25:26" ht="15.75" thickBot="1">
      <c r="Y216" s="267">
        <v>45191</v>
      </c>
      <c r="Z216" s="268">
        <v>205</v>
      </c>
    </row>
    <row r="217" spans="25:26" ht="15.75" thickBot="1">
      <c r="Y217" s="269">
        <v>45190</v>
      </c>
      <c r="Z217" s="270">
        <v>205</v>
      </c>
    </row>
    <row r="218" spans="25:26" ht="15.75" thickBot="1">
      <c r="Y218" s="267">
        <v>45189</v>
      </c>
      <c r="Z218" s="268">
        <v>201</v>
      </c>
    </row>
    <row r="219" spans="25:26" ht="15.75" thickBot="1">
      <c r="Y219" s="269">
        <v>45188</v>
      </c>
      <c r="Z219" s="270">
        <v>204</v>
      </c>
    </row>
    <row r="220" spans="25:26" ht="15.75" thickBot="1">
      <c r="Y220" s="267">
        <v>45187</v>
      </c>
      <c r="Z220" s="268">
        <v>207</v>
      </c>
    </row>
    <row r="221" spans="25:26" ht="15.75" thickBot="1">
      <c r="Y221" s="269">
        <v>45184</v>
      </c>
      <c r="Z221" s="270">
        <v>205</v>
      </c>
    </row>
    <row r="222" spans="25:26" ht="15.75" thickBot="1">
      <c r="Y222" s="267">
        <v>45183</v>
      </c>
      <c r="Z222" s="268">
        <v>204</v>
      </c>
    </row>
    <row r="223" spans="25:26" ht="15.75" thickBot="1">
      <c r="Y223" s="269">
        <v>45182</v>
      </c>
      <c r="Z223" s="270">
        <v>208</v>
      </c>
    </row>
    <row r="224" spans="25:26" ht="15.75" thickBot="1">
      <c r="Y224" s="267">
        <v>45181</v>
      </c>
      <c r="Z224" s="268">
        <v>211</v>
      </c>
    </row>
    <row r="225" spans="25:26" ht="15.75" thickBot="1">
      <c r="Y225" s="269">
        <v>45180</v>
      </c>
      <c r="Z225" s="270">
        <v>208</v>
      </c>
    </row>
    <row r="226" spans="25:26" ht="15.75" thickBot="1">
      <c r="Y226" s="267">
        <v>45177</v>
      </c>
      <c r="Z226" s="268">
        <v>209</v>
      </c>
    </row>
    <row r="227" spans="25:26" ht="15.75" thickBot="1">
      <c r="Y227" s="269">
        <v>45176</v>
      </c>
      <c r="Z227" s="270">
        <v>213</v>
      </c>
    </row>
    <row r="228" spans="25:26" ht="15.75" thickBot="1">
      <c r="Y228" s="267">
        <v>45175</v>
      </c>
      <c r="Z228" s="268">
        <v>210</v>
      </c>
    </row>
    <row r="229" spans="25:26" ht="15.75" thickBot="1">
      <c r="Y229" s="269">
        <v>45174</v>
      </c>
      <c r="Z229" s="270">
        <v>208</v>
      </c>
    </row>
    <row r="230" spans="25:26" ht="15.75" thickBot="1">
      <c r="Y230" s="267">
        <v>45170</v>
      </c>
      <c r="Z230" s="268">
        <v>208</v>
      </c>
    </row>
    <row r="231" spans="25:26" ht="15.75" thickBot="1">
      <c r="Y231" s="269">
        <v>45169</v>
      </c>
      <c r="Z231" s="270">
        <v>209</v>
      </c>
    </row>
    <row r="232" spans="25:26" ht="15.75" thickBot="1">
      <c r="Y232" s="267">
        <v>45168</v>
      </c>
      <c r="Z232" s="268">
        <v>207</v>
      </c>
    </row>
    <row r="233" spans="25:26" ht="15.75" thickBot="1">
      <c r="Y233" s="269">
        <v>45167</v>
      </c>
      <c r="Z233" s="270">
        <v>209</v>
      </c>
    </row>
    <row r="234" spans="25:26" ht="15.75" thickBot="1">
      <c r="Y234" s="267">
        <v>45166</v>
      </c>
      <c r="Z234" s="268">
        <v>209</v>
      </c>
    </row>
    <row r="235" spans="25:26" ht="15.75" thickBot="1">
      <c r="Y235" s="269">
        <v>45163</v>
      </c>
      <c r="Z235" s="270">
        <v>210</v>
      </c>
    </row>
    <row r="236" spans="25:26" ht="15.75" thickBot="1">
      <c r="Y236" s="267">
        <v>45162</v>
      </c>
      <c r="Z236" s="268">
        <v>212</v>
      </c>
    </row>
    <row r="237" spans="25:26" ht="15.75" thickBot="1">
      <c r="Y237" s="269">
        <v>45161</v>
      </c>
      <c r="Z237" s="270">
        <v>217</v>
      </c>
    </row>
    <row r="238" spans="25:26" ht="15.75" thickBot="1">
      <c r="Y238" s="267">
        <v>45160</v>
      </c>
      <c r="Z238" s="268">
        <v>215</v>
      </c>
    </row>
    <row r="239" spans="25:26" ht="15.75" thickBot="1">
      <c r="Y239" s="269">
        <v>45159</v>
      </c>
      <c r="Z239" s="270">
        <v>218</v>
      </c>
    </row>
    <row r="240" spans="25:26" ht="15.75" thickBot="1">
      <c r="Y240" s="267">
        <v>45156</v>
      </c>
      <c r="Z240" s="268">
        <v>221</v>
      </c>
    </row>
    <row r="241" spans="25:26" ht="15.75" thickBot="1">
      <c r="Y241" s="269">
        <v>45155</v>
      </c>
      <c r="Z241" s="270">
        <v>219</v>
      </c>
    </row>
    <row r="242" spans="25:26" ht="15.75" thickBot="1">
      <c r="Y242" s="267">
        <v>45154</v>
      </c>
      <c r="Z242" s="268">
        <v>213</v>
      </c>
    </row>
    <row r="243" spans="25:26" ht="15.75" thickBot="1">
      <c r="Y243" s="269">
        <v>45153</v>
      </c>
      <c r="Z243" s="270">
        <v>216</v>
      </c>
    </row>
    <row r="244" spans="25:26" ht="15.75" thickBot="1">
      <c r="Y244" s="267">
        <v>45152</v>
      </c>
      <c r="Z244" s="268">
        <v>207</v>
      </c>
    </row>
    <row r="245" spans="25:26" ht="15.75" thickBot="1">
      <c r="Y245" s="269">
        <v>45149</v>
      </c>
      <c r="Z245" s="270">
        <v>204</v>
      </c>
    </row>
    <row r="246" spans="25:26" ht="15.75" thickBot="1">
      <c r="Y246" s="267">
        <v>45148</v>
      </c>
      <c r="Z246" s="268">
        <v>207</v>
      </c>
    </row>
    <row r="247" spans="25:26" ht="15.75" thickBot="1">
      <c r="Y247" s="269">
        <v>45147</v>
      </c>
      <c r="Z247" s="270">
        <v>216</v>
      </c>
    </row>
    <row r="248" spans="25:26" ht="15.75" thickBot="1">
      <c r="Y248" s="267">
        <v>45146</v>
      </c>
      <c r="Z248" s="268">
        <v>213</v>
      </c>
    </row>
    <row r="249" spans="25:26" ht="15.75" thickBot="1">
      <c r="Y249" s="269">
        <v>45145</v>
      </c>
      <c r="Z249" s="270">
        <v>211</v>
      </c>
    </row>
    <row r="250" spans="25:26" ht="15.75" thickBot="1">
      <c r="Y250" s="267">
        <v>45142</v>
      </c>
      <c r="Z250" s="268">
        <v>211</v>
      </c>
    </row>
    <row r="251" spans="25:26" ht="15.75" thickBot="1">
      <c r="Y251" s="269">
        <v>45141</v>
      </c>
      <c r="Z251" s="270">
        <v>204</v>
      </c>
    </row>
    <row r="252" spans="25:26" ht="15.75" thickBot="1">
      <c r="Y252" s="267">
        <v>45140</v>
      </c>
      <c r="Z252" s="268">
        <v>204</v>
      </c>
    </row>
    <row r="253" spans="25:26" ht="15.75" thickBot="1">
      <c r="Y253" s="269">
        <v>45139</v>
      </c>
      <c r="Z253" s="270">
        <v>198</v>
      </c>
    </row>
    <row r="254" spans="25:26" ht="15.75" thickBot="1">
      <c r="Y254" s="267">
        <v>45138</v>
      </c>
      <c r="Z254" s="268">
        <v>199</v>
      </c>
    </row>
  </sheetData>
  <sheetProtection password="C655" sheet="1" objects="1" scenarios="1"/>
  <customSheetViews>
    <customSheetView guid="{30D5658C-25B6-44C0-9599-95A19C107C6A}" scale="90">
      <selection activeCell="I22" sqref="I22"/>
      <pageMargins left="0" right="0" top="0" bottom="0" header="0" footer="0"/>
    </customSheetView>
  </customSheetViews>
  <mergeCells count="5">
    <mergeCell ref="Y4:Z4"/>
    <mergeCell ref="A1:I2"/>
    <mergeCell ref="H14:H15"/>
    <mergeCell ref="I14:I15"/>
    <mergeCell ref="J14:J15"/>
  </mergeCells>
  <hyperlinks>
    <hyperlink ref="N6" r:id="rId1" display="https://www.kroll.com/en/insights/publications/cost-of-capital/recommended-us-equity-risk-premium-and-corresponding-risk-free-rates"/>
    <hyperlink ref="N5" r:id="rId2" display="10 year US treasury - 01/09/2024 em &quot;ERP in 2024&quot; ou T bond. Rate (Coluna C)  em 01/09/2024"/>
    <hyperlink ref="N8" r:id="rId3" display="Unlevered Beta - Coluna F"/>
    <hyperlink ref="N10" r:id="rId4"/>
    <hyperlink ref="N13" r:id="rId5" display="https://www.kroll.com/en/insights/publications/cost-of-capital/recommended-us-equity-risk-premium-and-corresponding-risk-free-rates"/>
    <hyperlink ref="N12" r:id="rId6" display="10 year US treasury - 01/09/2024 em &quot;ERP in 2024&quot; ou T bond. Rate (Coluna C)  em 01/09/2024"/>
    <hyperlink ref="N16" r:id="rId7" display="http://www.ipeadata.gov.br/ExibeSerie.aspx?serid=40940&amp;module=M"/>
    <hyperlink ref="N14" r:id="rId8"/>
    <hyperlink ref="N17" r:id="rId9"/>
    <hyperlink ref="N23" r:id="rId10" location=":~:text=As%20expectativas%20dos%20consumidores%20nos%20Estados%20Unidos%20para,1%20ano%20e%20em%202%2C8%25%20em%205%20anos." display="https://www.suno.com.br/noticias/expectativas-inflacao-eua-fed-ny-evm/ - :~:text=As%20expectativas%20dos%20consumidores%20nos%20Estados%20Unidos%20para,1%20ano%20e%20em%202%2C8%25%20em%205%20anos."/>
    <hyperlink ref="N20" r:id="rId11"/>
    <hyperlink ref="I5" r:id="rId12" display="Base Dados Damodaran (Jan. 2024) "/>
    <hyperlink ref="I6" r:id="rId13" display="Base Dados Damodaran (Jan. 2024) "/>
    <hyperlink ref="I7" r:id="rId14"/>
    <hyperlink ref="I10" r:id="rId15" display="IPEA DATA - Risco País (2010 -2024)"/>
    <hyperlink ref="I13" r:id="rId16" display="IPCA - IBGE "/>
    <hyperlink ref="I14:I15" r:id="rId17" display="Site Arsesp - Consultas-Audiencias-Publicas"/>
    <hyperlink ref="I12" r:id="rId18"/>
    <hyperlink ref="I11" r:id="rId19" display="Base de Dados Damodan (Jan. 2024) - Corporate Tax Rate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50"/>
  <sheetViews>
    <sheetView topLeftCell="Z6" zoomScale="80" zoomScaleNormal="80" workbookViewId="0">
      <selection activeCell="AK18" sqref="AK18"/>
    </sheetView>
  </sheetViews>
  <sheetFormatPr defaultRowHeight="15" outlineLevelRow="2"/>
  <cols>
    <col min="1" max="1" width="9.140625" style="56"/>
    <col min="3" max="3" width="35.5703125" customWidth="1"/>
    <col min="4" max="4" width="32.5703125" customWidth="1"/>
    <col min="5" max="5" width="23.85546875" customWidth="1"/>
    <col min="6" max="6" width="17.42578125" customWidth="1"/>
    <col min="7" max="7" width="19.42578125" customWidth="1"/>
    <col min="8" max="8" width="21.5703125" customWidth="1"/>
    <col min="9" max="9" width="19.28515625" customWidth="1"/>
    <col min="10" max="39" width="15.5703125" customWidth="1"/>
    <col min="40" max="40" width="16.5703125" bestFit="1" customWidth="1"/>
    <col min="44" max="44" width="11" bestFit="1" customWidth="1"/>
    <col min="46" max="46" width="13.42578125" bestFit="1" customWidth="1"/>
    <col min="47" max="47" width="15.28515625" bestFit="1" customWidth="1"/>
  </cols>
  <sheetData>
    <row r="1" spans="1:48" s="56" customFormat="1">
      <c r="A1" s="416" t="s">
        <v>444</v>
      </c>
      <c r="B1" s="416"/>
      <c r="C1" s="416"/>
      <c r="D1" s="416"/>
      <c r="E1" s="416"/>
      <c r="F1" s="416"/>
      <c r="G1" s="416"/>
    </row>
    <row r="2" spans="1:48" s="56" customFormat="1">
      <c r="A2" s="416"/>
      <c r="B2" s="416"/>
      <c r="C2" s="416"/>
      <c r="D2" s="416"/>
      <c r="E2" s="416"/>
      <c r="F2" s="416"/>
      <c r="G2" s="416"/>
    </row>
    <row r="4" spans="1:48" ht="19.5" thickBot="1">
      <c r="C4" s="431" t="s">
        <v>445</v>
      </c>
      <c r="D4" s="431"/>
      <c r="AR4" s="336" t="s">
        <v>131</v>
      </c>
      <c r="AS4" s="336" t="s">
        <v>446</v>
      </c>
      <c r="AT4" s="336" t="s">
        <v>209</v>
      </c>
      <c r="AU4" s="336" t="s">
        <v>447</v>
      </c>
    </row>
    <row r="5" spans="1:48" ht="16.5">
      <c r="C5" s="128" t="s">
        <v>448</v>
      </c>
      <c r="D5" s="128"/>
      <c r="E5" s="128"/>
      <c r="G5" s="171" t="s">
        <v>449</v>
      </c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337" t="s">
        <v>450</v>
      </c>
      <c r="AS5" s="338">
        <v>131</v>
      </c>
      <c r="AT5" s="339">
        <v>465.23226956876005</v>
      </c>
      <c r="AU5" s="339">
        <v>60945.427313507564</v>
      </c>
      <c r="AV5" s="20" t="s">
        <v>451</v>
      </c>
    </row>
    <row r="6" spans="1:48" ht="16.5">
      <c r="C6" s="128"/>
      <c r="D6" s="128"/>
      <c r="E6" s="128"/>
      <c r="F6" s="165">
        <v>0</v>
      </c>
      <c r="G6" s="165">
        <v>1</v>
      </c>
      <c r="H6" s="165">
        <v>2</v>
      </c>
      <c r="I6" s="165">
        <v>3</v>
      </c>
      <c r="J6" s="165">
        <v>4</v>
      </c>
      <c r="K6" s="165">
        <v>5</v>
      </c>
      <c r="L6" s="165">
        <v>6</v>
      </c>
      <c r="M6" s="165">
        <v>7</v>
      </c>
      <c r="N6" s="165">
        <v>8</v>
      </c>
      <c r="O6" s="165">
        <v>9</v>
      </c>
      <c r="P6" s="165">
        <v>10</v>
      </c>
      <c r="Q6" s="165">
        <v>11</v>
      </c>
      <c r="R6" s="165">
        <v>12</v>
      </c>
      <c r="S6" s="165">
        <v>13</v>
      </c>
      <c r="T6" s="165">
        <v>14</v>
      </c>
      <c r="U6" s="165">
        <v>15</v>
      </c>
      <c r="V6" s="165">
        <v>16</v>
      </c>
      <c r="W6" s="165">
        <v>17</v>
      </c>
      <c r="X6" s="165">
        <v>18</v>
      </c>
      <c r="Y6" s="165">
        <v>19</v>
      </c>
      <c r="Z6" s="165">
        <v>20</v>
      </c>
      <c r="AA6" s="165">
        <v>21</v>
      </c>
      <c r="AB6" s="165">
        <v>22</v>
      </c>
      <c r="AC6" s="165">
        <v>23</v>
      </c>
      <c r="AD6" s="165">
        <v>24</v>
      </c>
      <c r="AE6" s="165">
        <v>25</v>
      </c>
      <c r="AF6" s="165">
        <v>26</v>
      </c>
      <c r="AG6" s="165">
        <v>27</v>
      </c>
      <c r="AH6" s="165">
        <v>28</v>
      </c>
      <c r="AI6" s="165">
        <v>29</v>
      </c>
      <c r="AJ6" s="165">
        <v>30</v>
      </c>
      <c r="AK6" s="165">
        <v>31</v>
      </c>
      <c r="AL6" s="165">
        <v>32</v>
      </c>
      <c r="AM6" s="165">
        <v>33</v>
      </c>
      <c r="AN6" s="165">
        <v>34</v>
      </c>
      <c r="AO6" s="165">
        <v>35</v>
      </c>
      <c r="AR6" s="337" t="s">
        <v>452</v>
      </c>
      <c r="AS6" s="338">
        <v>104</v>
      </c>
      <c r="AT6" s="339">
        <v>84.014616440400019</v>
      </c>
      <c r="AU6" s="339">
        <v>8737.5201098016005</v>
      </c>
      <c r="AV6" s="20" t="s">
        <v>453</v>
      </c>
    </row>
    <row r="7" spans="1:48" ht="16.5">
      <c r="C7" s="128" t="s">
        <v>4</v>
      </c>
      <c r="D7" s="128"/>
      <c r="E7" s="173">
        <f>SUM(G7:AO7)</f>
        <v>7461626.9400000013</v>
      </c>
      <c r="F7" s="4">
        <v>0</v>
      </c>
      <c r="G7" s="4">
        <f t="shared" ref="G7:AO7" si="0">G30</f>
        <v>3730813.4700000007</v>
      </c>
      <c r="H7" s="4">
        <f t="shared" si="0"/>
        <v>3730813.4700000007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4">
        <f t="shared" si="0"/>
        <v>0</v>
      </c>
      <c r="T7" s="4">
        <f t="shared" si="0"/>
        <v>0</v>
      </c>
      <c r="U7" s="4">
        <f t="shared" si="0"/>
        <v>0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">
        <f t="shared" si="0"/>
        <v>0</v>
      </c>
      <c r="AB7" s="4">
        <f t="shared" si="0"/>
        <v>0</v>
      </c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  <c r="AI7" s="4">
        <f t="shared" si="0"/>
        <v>0</v>
      </c>
      <c r="AJ7" s="4">
        <f t="shared" si="0"/>
        <v>0</v>
      </c>
      <c r="AK7" s="4">
        <f t="shared" si="0"/>
        <v>0</v>
      </c>
      <c r="AL7" s="4">
        <f t="shared" si="0"/>
        <v>0</v>
      </c>
      <c r="AM7" s="4">
        <f t="shared" si="0"/>
        <v>0</v>
      </c>
      <c r="AN7" s="4">
        <f t="shared" si="0"/>
        <v>0</v>
      </c>
      <c r="AO7" s="4">
        <f t="shared" si="0"/>
        <v>0</v>
      </c>
      <c r="AR7" s="337" t="s">
        <v>454</v>
      </c>
      <c r="AS7" s="338">
        <v>59</v>
      </c>
      <c r="AT7" s="339">
        <v>318.38238676400005</v>
      </c>
      <c r="AU7" s="339">
        <v>18784.560819076003</v>
      </c>
      <c r="AV7" s="20" t="s">
        <v>455</v>
      </c>
    </row>
    <row r="8" spans="1:48" ht="16.5">
      <c r="C8" s="128" t="s">
        <v>456</v>
      </c>
      <c r="D8" s="128"/>
      <c r="E8" s="173">
        <f ca="1">SUM(G8:AO8)</f>
        <v>0</v>
      </c>
      <c r="F8" s="4">
        <v>0</v>
      </c>
      <c r="G8" s="4">
        <f>SUM(G9:G10)</f>
        <v>0</v>
      </c>
      <c r="H8" s="4">
        <f t="shared" ref="H8:AN8" si="1">SUM(H9:H10)</f>
        <v>0</v>
      </c>
      <c r="I8" s="4">
        <f t="shared" si="1"/>
        <v>0</v>
      </c>
      <c r="J8" s="4">
        <f t="shared" si="1"/>
        <v>0</v>
      </c>
      <c r="K8" s="4">
        <f ca="1">SUM(K9:K10)</f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1"/>
        <v>0</v>
      </c>
      <c r="P8" s="4">
        <f ca="1">SUM(P9:P10)</f>
        <v>0</v>
      </c>
      <c r="Q8" s="4">
        <f t="shared" si="1"/>
        <v>0</v>
      </c>
      <c r="R8" s="4">
        <f t="shared" si="1"/>
        <v>0</v>
      </c>
      <c r="S8" s="4">
        <f t="shared" si="1"/>
        <v>0</v>
      </c>
      <c r="T8" s="4">
        <f t="shared" si="1"/>
        <v>0</v>
      </c>
      <c r="U8" s="4">
        <f ca="1">SUM(U9:U10)</f>
        <v>0</v>
      </c>
      <c r="V8" s="4">
        <f t="shared" si="1"/>
        <v>0</v>
      </c>
      <c r="W8" s="4">
        <f t="shared" si="1"/>
        <v>0</v>
      </c>
      <c r="X8" s="4">
        <f t="shared" si="1"/>
        <v>0</v>
      </c>
      <c r="Y8" s="4">
        <f t="shared" si="1"/>
        <v>0</v>
      </c>
      <c r="Z8" s="4">
        <f ca="1">SUM(Z9:Z10)</f>
        <v>0</v>
      </c>
      <c r="AA8" s="4">
        <f t="shared" si="1"/>
        <v>0</v>
      </c>
      <c r="AB8" s="4">
        <f t="shared" si="1"/>
        <v>0</v>
      </c>
      <c r="AC8" s="4">
        <f t="shared" si="1"/>
        <v>0</v>
      </c>
      <c r="AD8" s="4">
        <f t="shared" si="1"/>
        <v>0</v>
      </c>
      <c r="AE8" s="4">
        <f ca="1">SUM(AE9:AE10)</f>
        <v>0</v>
      </c>
      <c r="AF8" s="4">
        <f t="shared" si="1"/>
        <v>0</v>
      </c>
      <c r="AG8" s="4">
        <f t="shared" si="1"/>
        <v>0</v>
      </c>
      <c r="AH8" s="4">
        <f t="shared" si="1"/>
        <v>0</v>
      </c>
      <c r="AI8" s="4">
        <f t="shared" si="1"/>
        <v>0</v>
      </c>
      <c r="AJ8" s="4">
        <f ca="1">SUM(AJ9:AJ10)</f>
        <v>0</v>
      </c>
      <c r="AK8" s="4">
        <f t="shared" si="1"/>
        <v>0</v>
      </c>
      <c r="AL8" s="4">
        <f t="shared" si="1"/>
        <v>0</v>
      </c>
      <c r="AM8" s="4">
        <f t="shared" si="1"/>
        <v>0</v>
      </c>
      <c r="AN8" s="4">
        <f t="shared" si="1"/>
        <v>0</v>
      </c>
      <c r="AO8" s="4">
        <f>SUM(AO9:AO10)</f>
        <v>0</v>
      </c>
      <c r="AR8" s="337" t="s">
        <v>457</v>
      </c>
      <c r="AS8" s="338">
        <v>53</v>
      </c>
      <c r="AT8" s="339">
        <v>181.54184989764002</v>
      </c>
      <c r="AU8" s="339">
        <v>9621.71804457492</v>
      </c>
      <c r="AV8" s="20" t="s">
        <v>458</v>
      </c>
    </row>
    <row r="9" spans="1:48" ht="16.5">
      <c r="C9" s="174" t="s">
        <v>459</v>
      </c>
      <c r="D9" s="4"/>
      <c r="E9" s="175">
        <f ca="1">SUM(G9:AO9)</f>
        <v>0</v>
      </c>
      <c r="F9" s="3">
        <v>0</v>
      </c>
      <c r="G9" s="3">
        <f t="shared" ref="G9:AO9" si="2">F127</f>
        <v>0</v>
      </c>
      <c r="H9" s="3">
        <f t="shared" si="2"/>
        <v>0</v>
      </c>
      <c r="I9" s="3">
        <f t="shared" si="2"/>
        <v>0</v>
      </c>
      <c r="J9" s="3">
        <f t="shared" si="2"/>
        <v>0</v>
      </c>
      <c r="K9" s="3">
        <f t="shared" ca="1" si="2"/>
        <v>0</v>
      </c>
      <c r="L9" s="3">
        <f t="shared" si="2"/>
        <v>0</v>
      </c>
      <c r="M9" s="3">
        <f t="shared" si="2"/>
        <v>0</v>
      </c>
      <c r="N9" s="3">
        <f t="shared" si="2"/>
        <v>0</v>
      </c>
      <c r="O9" s="3">
        <f t="shared" si="2"/>
        <v>0</v>
      </c>
      <c r="P9" s="3">
        <f t="shared" ca="1" si="2"/>
        <v>0</v>
      </c>
      <c r="Q9" s="3">
        <f t="shared" si="2"/>
        <v>0</v>
      </c>
      <c r="R9" s="3">
        <f t="shared" si="2"/>
        <v>0</v>
      </c>
      <c r="S9" s="3">
        <f t="shared" si="2"/>
        <v>0</v>
      </c>
      <c r="T9" s="3">
        <f t="shared" si="2"/>
        <v>0</v>
      </c>
      <c r="U9" s="3">
        <f t="shared" ca="1" si="2"/>
        <v>0</v>
      </c>
      <c r="V9" s="3">
        <f t="shared" si="2"/>
        <v>0</v>
      </c>
      <c r="W9" s="3">
        <f t="shared" si="2"/>
        <v>0</v>
      </c>
      <c r="X9" s="3">
        <f t="shared" si="2"/>
        <v>0</v>
      </c>
      <c r="Y9" s="3">
        <f t="shared" si="2"/>
        <v>0</v>
      </c>
      <c r="Z9" s="3">
        <f t="shared" ca="1" si="2"/>
        <v>0</v>
      </c>
      <c r="AA9" s="3">
        <f t="shared" si="2"/>
        <v>0</v>
      </c>
      <c r="AB9" s="3">
        <f t="shared" si="2"/>
        <v>0</v>
      </c>
      <c r="AC9" s="3">
        <f t="shared" si="2"/>
        <v>0</v>
      </c>
      <c r="AD9" s="3">
        <f t="shared" si="2"/>
        <v>0</v>
      </c>
      <c r="AE9" s="3">
        <f t="shared" ca="1" si="2"/>
        <v>0</v>
      </c>
      <c r="AF9" s="3">
        <f t="shared" si="2"/>
        <v>0</v>
      </c>
      <c r="AG9" s="3">
        <f t="shared" si="2"/>
        <v>0</v>
      </c>
      <c r="AH9" s="3">
        <f t="shared" si="2"/>
        <v>0</v>
      </c>
      <c r="AI9" s="3">
        <f t="shared" si="2"/>
        <v>0</v>
      </c>
      <c r="AJ9" s="3">
        <f t="shared" ca="1" si="2"/>
        <v>0</v>
      </c>
      <c r="AK9" s="3">
        <f t="shared" si="2"/>
        <v>0</v>
      </c>
      <c r="AL9" s="3">
        <f t="shared" si="2"/>
        <v>0</v>
      </c>
      <c r="AM9" s="3">
        <f t="shared" si="2"/>
        <v>0</v>
      </c>
      <c r="AN9" s="3">
        <f t="shared" si="2"/>
        <v>0</v>
      </c>
      <c r="AO9" s="3">
        <f t="shared" si="2"/>
        <v>0</v>
      </c>
      <c r="AR9" s="337" t="s">
        <v>460</v>
      </c>
      <c r="AS9" s="338">
        <v>11</v>
      </c>
      <c r="AT9" s="339">
        <v>585.64257155964003</v>
      </c>
      <c r="AU9" s="339">
        <v>6442.0682871560412</v>
      </c>
      <c r="AV9" s="20" t="s">
        <v>461</v>
      </c>
    </row>
    <row r="10" spans="1:48" ht="16.5">
      <c r="C10" s="174" t="s">
        <v>462</v>
      </c>
      <c r="D10" s="4"/>
      <c r="E10" s="175">
        <f ca="1">SUM(G10:AO10)</f>
        <v>0</v>
      </c>
      <c r="F10" s="3">
        <v>0</v>
      </c>
      <c r="G10" s="3">
        <f t="shared" ref="G10:AO10" si="3">F128</f>
        <v>0</v>
      </c>
      <c r="H10" s="3">
        <f t="shared" si="3"/>
        <v>0</v>
      </c>
      <c r="I10" s="3">
        <f t="shared" si="3"/>
        <v>0</v>
      </c>
      <c r="J10" s="3">
        <f t="shared" si="3"/>
        <v>0</v>
      </c>
      <c r="K10" s="3">
        <f t="shared" si="3"/>
        <v>0</v>
      </c>
      <c r="L10" s="3">
        <f t="shared" si="3"/>
        <v>0</v>
      </c>
      <c r="M10" s="3">
        <f t="shared" si="3"/>
        <v>0</v>
      </c>
      <c r="N10" s="3">
        <f t="shared" si="3"/>
        <v>0</v>
      </c>
      <c r="O10" s="3">
        <f t="shared" si="3"/>
        <v>0</v>
      </c>
      <c r="P10" s="3">
        <f t="shared" ca="1" si="3"/>
        <v>0</v>
      </c>
      <c r="Q10" s="3">
        <f t="shared" si="3"/>
        <v>0</v>
      </c>
      <c r="R10" s="3">
        <f t="shared" si="3"/>
        <v>0</v>
      </c>
      <c r="S10" s="3">
        <f t="shared" si="3"/>
        <v>0</v>
      </c>
      <c r="T10" s="3">
        <f t="shared" si="3"/>
        <v>0</v>
      </c>
      <c r="U10" s="3">
        <f t="shared" si="3"/>
        <v>0</v>
      </c>
      <c r="V10" s="3">
        <f t="shared" si="3"/>
        <v>0</v>
      </c>
      <c r="W10" s="3">
        <f t="shared" si="3"/>
        <v>0</v>
      </c>
      <c r="X10" s="3">
        <f t="shared" si="3"/>
        <v>0</v>
      </c>
      <c r="Y10" s="3">
        <f t="shared" si="3"/>
        <v>0</v>
      </c>
      <c r="Z10" s="3">
        <f t="shared" ca="1" si="3"/>
        <v>0</v>
      </c>
      <c r="AA10" s="3">
        <f t="shared" si="3"/>
        <v>0</v>
      </c>
      <c r="AB10" s="3">
        <f t="shared" si="3"/>
        <v>0</v>
      </c>
      <c r="AC10" s="3">
        <f t="shared" si="3"/>
        <v>0</v>
      </c>
      <c r="AD10" s="3">
        <f t="shared" si="3"/>
        <v>0</v>
      </c>
      <c r="AE10" s="3">
        <f t="shared" si="3"/>
        <v>0</v>
      </c>
      <c r="AF10" s="3">
        <f t="shared" si="3"/>
        <v>0</v>
      </c>
      <c r="AG10" s="3">
        <f t="shared" si="3"/>
        <v>0</v>
      </c>
      <c r="AH10" s="3">
        <f t="shared" si="3"/>
        <v>0</v>
      </c>
      <c r="AI10" s="3">
        <f t="shared" si="3"/>
        <v>0</v>
      </c>
      <c r="AJ10" s="3">
        <f t="shared" ca="1" si="3"/>
        <v>0</v>
      </c>
      <c r="AK10" s="3">
        <f t="shared" si="3"/>
        <v>0</v>
      </c>
      <c r="AL10" s="3">
        <f t="shared" si="3"/>
        <v>0</v>
      </c>
      <c r="AM10" s="3">
        <f t="shared" si="3"/>
        <v>0</v>
      </c>
      <c r="AN10" s="3">
        <f t="shared" si="3"/>
        <v>0</v>
      </c>
      <c r="AO10" s="3">
        <f t="shared" si="3"/>
        <v>0</v>
      </c>
      <c r="AR10" s="337" t="s">
        <v>463</v>
      </c>
      <c r="AS10" s="338">
        <v>6</v>
      </c>
      <c r="AT10" s="339">
        <v>48.044860504319999</v>
      </c>
      <c r="AU10" s="339">
        <v>288.26916302592008</v>
      </c>
      <c r="AV10" s="20" t="s">
        <v>464</v>
      </c>
    </row>
    <row r="11" spans="1:48" ht="16.5">
      <c r="C11" s="173" t="s">
        <v>82</v>
      </c>
      <c r="D11" s="128"/>
      <c r="E11" s="173">
        <f ca="1">SUM(G11:AO11)</f>
        <v>7461626.9400000013</v>
      </c>
      <c r="F11" s="173">
        <f>SUM(F7:F8)</f>
        <v>0</v>
      </c>
      <c r="G11" s="173">
        <f>SUM(G7:G8)</f>
        <v>3730813.4700000007</v>
      </c>
      <c r="H11" s="173">
        <f t="shared" ref="H11:AN11" si="4">SUM(H7:H8)</f>
        <v>3730813.4700000007</v>
      </c>
      <c r="I11" s="173">
        <f t="shared" si="4"/>
        <v>0</v>
      </c>
      <c r="J11" s="173">
        <f t="shared" si="4"/>
        <v>0</v>
      </c>
      <c r="K11" s="173">
        <f ca="1">SUM(K7:K8)</f>
        <v>0</v>
      </c>
      <c r="L11" s="173">
        <f t="shared" si="4"/>
        <v>0</v>
      </c>
      <c r="M11" s="173">
        <f t="shared" si="4"/>
        <v>0</v>
      </c>
      <c r="N11" s="173">
        <f t="shared" si="4"/>
        <v>0</v>
      </c>
      <c r="O11" s="173">
        <f t="shared" si="4"/>
        <v>0</v>
      </c>
      <c r="P11" s="173">
        <f ca="1">SUM(P7:P8)</f>
        <v>0</v>
      </c>
      <c r="Q11" s="173">
        <f t="shared" si="4"/>
        <v>0</v>
      </c>
      <c r="R11" s="173">
        <f t="shared" si="4"/>
        <v>0</v>
      </c>
      <c r="S11" s="173">
        <f t="shared" si="4"/>
        <v>0</v>
      </c>
      <c r="T11" s="173">
        <f t="shared" si="4"/>
        <v>0</v>
      </c>
      <c r="U11" s="173">
        <f ca="1">SUM(U7:U8)</f>
        <v>0</v>
      </c>
      <c r="V11" s="173">
        <f t="shared" si="4"/>
        <v>0</v>
      </c>
      <c r="W11" s="173">
        <f t="shared" si="4"/>
        <v>0</v>
      </c>
      <c r="X11" s="173">
        <f t="shared" si="4"/>
        <v>0</v>
      </c>
      <c r="Y11" s="173">
        <f t="shared" si="4"/>
        <v>0</v>
      </c>
      <c r="Z11" s="173">
        <f ca="1">SUM(Z7:Z8)</f>
        <v>0</v>
      </c>
      <c r="AA11" s="173">
        <f t="shared" si="4"/>
        <v>0</v>
      </c>
      <c r="AB11" s="173">
        <f t="shared" si="4"/>
        <v>0</v>
      </c>
      <c r="AC11" s="173">
        <f t="shared" si="4"/>
        <v>0</v>
      </c>
      <c r="AD11" s="173">
        <f t="shared" si="4"/>
        <v>0</v>
      </c>
      <c r="AE11" s="173">
        <f ca="1">SUM(AE7:AE8)</f>
        <v>0</v>
      </c>
      <c r="AF11" s="173">
        <f t="shared" si="4"/>
        <v>0</v>
      </c>
      <c r="AG11" s="173">
        <f t="shared" si="4"/>
        <v>0</v>
      </c>
      <c r="AH11" s="173">
        <f t="shared" si="4"/>
        <v>0</v>
      </c>
      <c r="AI11" s="173">
        <f t="shared" si="4"/>
        <v>0</v>
      </c>
      <c r="AJ11" s="173">
        <f ca="1">SUM(AJ7:AJ8)</f>
        <v>0</v>
      </c>
      <c r="AK11" s="173">
        <f t="shared" si="4"/>
        <v>0</v>
      </c>
      <c r="AL11" s="173">
        <f t="shared" si="4"/>
        <v>0</v>
      </c>
      <c r="AM11" s="173">
        <f t="shared" si="4"/>
        <v>0</v>
      </c>
      <c r="AN11" s="173">
        <f t="shared" si="4"/>
        <v>0</v>
      </c>
      <c r="AO11" s="173">
        <f>SUM(AO7:AO8)</f>
        <v>0</v>
      </c>
      <c r="AR11" s="337" t="s">
        <v>465</v>
      </c>
      <c r="AS11" s="338">
        <v>7</v>
      </c>
      <c r="AT11" s="339">
        <v>199.28181833740001</v>
      </c>
      <c r="AU11" s="339">
        <v>1394.9727283618001</v>
      </c>
      <c r="AV11" s="20" t="s">
        <v>466</v>
      </c>
    </row>
    <row r="12" spans="1:48" ht="16.5">
      <c r="E12" s="334" t="s">
        <v>467</v>
      </c>
      <c r="F12" s="335">
        <f>PV('Premissas Gerais'!$D$10,G6-1,,-SUM(G9:G10))</f>
        <v>0</v>
      </c>
      <c r="G12" s="335">
        <f>PV('Premissas Gerais'!$D$10,H6-1,,-SUM(H9:H10))</f>
        <v>0</v>
      </c>
      <c r="H12" s="335">
        <f>PV('Premissas Gerais'!$D$10,I6-1,,-SUM(I9:I10))</f>
        <v>0</v>
      </c>
      <c r="I12" s="335">
        <f>PV('Premissas Gerais'!$D$10,J6-1,,-SUM(J9:J10))</f>
        <v>0</v>
      </c>
      <c r="J12" s="335">
        <f ca="1">PV('Premissas Gerais'!$D$10,K6-1,,-SUM(K9:K10))</f>
        <v>0</v>
      </c>
      <c r="K12" s="335">
        <f>PV('Premissas Gerais'!$D$10,L6-1,,-SUM(L9:L10))</f>
        <v>0</v>
      </c>
      <c r="L12" s="335">
        <f>PV('Premissas Gerais'!$D$10,M6-1,,-SUM(M9:M10))</f>
        <v>0</v>
      </c>
      <c r="M12" s="335">
        <f>PV('Premissas Gerais'!$D$10,N6-1,,-SUM(N9:N10))</f>
        <v>0</v>
      </c>
      <c r="N12" s="335">
        <f>PV('Premissas Gerais'!$D$10,O6-1,,-SUM(O9:O10))</f>
        <v>0</v>
      </c>
      <c r="O12" s="335">
        <f ca="1">PV('Premissas Gerais'!$D$10,P6-1,,-SUM(P9:P10))</f>
        <v>0</v>
      </c>
      <c r="P12" s="335">
        <f>PV('Premissas Gerais'!$D$10,Q6-1,,-SUM(Q9:Q10))</f>
        <v>0</v>
      </c>
      <c r="Q12" s="335">
        <f>PV('Premissas Gerais'!$D$10,R6-1,,-SUM(R9:R10))</f>
        <v>0</v>
      </c>
      <c r="R12" s="335">
        <f>PV('Premissas Gerais'!$D$10,S6-1,,-SUM(S9:S10))</f>
        <v>0</v>
      </c>
      <c r="S12" s="335">
        <f>PV('Premissas Gerais'!$D$10,T6-1,,-SUM(T9:T10))</f>
        <v>0</v>
      </c>
      <c r="T12" s="335">
        <f ca="1">PV('Premissas Gerais'!$D$10,U6-1,,-SUM(U9:U10))</f>
        <v>0</v>
      </c>
      <c r="U12" s="335">
        <f>PV('Premissas Gerais'!$D$10,V6-1,,-SUM(V9:V10))</f>
        <v>0</v>
      </c>
      <c r="V12" s="335">
        <f>PV('Premissas Gerais'!$D$10,W6-1,,-SUM(W9:W10))</f>
        <v>0</v>
      </c>
      <c r="W12" s="335">
        <f>PV('Premissas Gerais'!$D$10,X6-1,,-SUM(X9:X10))</f>
        <v>0</v>
      </c>
      <c r="X12" s="335">
        <f>PV('Premissas Gerais'!$D$10,Y6-1,,-SUM(Y9:Y10))</f>
        <v>0</v>
      </c>
      <c r="Y12" s="335">
        <f ca="1">PV('Premissas Gerais'!$D$10,Z6-1,,-SUM(Z9:Z10))</f>
        <v>0</v>
      </c>
      <c r="Z12" s="335">
        <f>PV('Premissas Gerais'!$D$10,AA6-1,,-SUM(AA9:AA10))</f>
        <v>0</v>
      </c>
      <c r="AA12" s="335">
        <f>PV('Premissas Gerais'!$D$10,AB6-1,,-SUM(AB9:AB10))</f>
        <v>0</v>
      </c>
      <c r="AB12" s="335">
        <f>PV('Premissas Gerais'!$D$10,AC6-1,,-SUM(AC9:AC10))</f>
        <v>0</v>
      </c>
      <c r="AC12" s="335">
        <f>PV('Premissas Gerais'!$D$10,AD6-1,,-SUM(AD9:AD10))</f>
        <v>0</v>
      </c>
      <c r="AD12" s="335">
        <f ca="1">PV('Premissas Gerais'!$D$10,AE6-1,,-SUM(AE9:AE10))</f>
        <v>0</v>
      </c>
      <c r="AE12" s="335">
        <f>PV('Premissas Gerais'!$D$10,AF6-1,,-SUM(AF9:AF10))</f>
        <v>0</v>
      </c>
      <c r="AF12" s="335">
        <f>PV('Premissas Gerais'!$D$10,AG6-1,,-SUM(AG9:AG10))</f>
        <v>0</v>
      </c>
      <c r="AG12" s="335">
        <f>PV('Premissas Gerais'!$D$10,AH6-1,,-SUM(AH9:AH10))</f>
        <v>0</v>
      </c>
      <c r="AH12" s="335">
        <f>PV('Premissas Gerais'!$D$10,AI6-1,,-SUM(AI9:AI10))</f>
        <v>0</v>
      </c>
      <c r="AI12" s="335">
        <f ca="1">PV('Premissas Gerais'!$D$10,AJ6-1,,-SUM(AJ9:AJ10))</f>
        <v>0</v>
      </c>
      <c r="AJ12" s="335">
        <f>PV('Premissas Gerais'!$D$10,AK6-1,,-SUM(AK9:AK10))</f>
        <v>0</v>
      </c>
      <c r="AK12" s="335">
        <f>PV('Premissas Gerais'!$D$10,AL6-1,,-SUM(AL9:AL10))</f>
        <v>0</v>
      </c>
      <c r="AL12" s="335">
        <f>PV('Premissas Gerais'!$D$10,AM6-1,,-SUM(AM9:AM10))</f>
        <v>0</v>
      </c>
      <c r="AM12" s="335">
        <f>PV('Premissas Gerais'!$D$10,AN6-1,,-SUM(AN9:AN10))</f>
        <v>0</v>
      </c>
      <c r="AN12" s="335">
        <f>PV('Premissas Gerais'!$D$10,AO6-1,,-SUM(AO9:AO10))</f>
        <v>0</v>
      </c>
      <c r="AR12" s="337" t="s">
        <v>468</v>
      </c>
      <c r="AS12" s="338">
        <v>78</v>
      </c>
      <c r="AT12" s="339">
        <v>211.89998316400002</v>
      </c>
      <c r="AU12" s="339">
        <v>16528.198686792002</v>
      </c>
      <c r="AV12" s="20" t="s">
        <v>469</v>
      </c>
    </row>
    <row r="13" spans="1:48" ht="16.5">
      <c r="E13" s="334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R13" s="337" t="s">
        <v>470</v>
      </c>
      <c r="AS13" s="338">
        <v>111</v>
      </c>
      <c r="AT13" s="339">
        <v>225.74269563200002</v>
      </c>
      <c r="AU13" s="339">
        <v>25057.439215152001</v>
      </c>
      <c r="AV13" s="20" t="s">
        <v>471</v>
      </c>
    </row>
    <row r="14" spans="1:48" ht="16.5">
      <c r="E14" s="334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R14" s="337" t="s">
        <v>472</v>
      </c>
      <c r="AS14" s="338">
        <v>3</v>
      </c>
      <c r="AT14" s="339">
        <v>1034.8492393866002</v>
      </c>
      <c r="AU14" s="339">
        <v>3104.5477181598003</v>
      </c>
      <c r="AV14" s="20" t="s">
        <v>473</v>
      </c>
    </row>
    <row r="15" spans="1:48" ht="27" customHeight="1">
      <c r="C15" s="431" t="s">
        <v>474</v>
      </c>
      <c r="D15" s="431"/>
      <c r="AR15" s="337" t="s">
        <v>475</v>
      </c>
      <c r="AS15" s="338">
        <v>24</v>
      </c>
      <c r="AT15" s="339">
        <v>1060.6286292981599</v>
      </c>
      <c r="AU15" s="339">
        <v>25455.087103155842</v>
      </c>
      <c r="AV15" s="20" t="s">
        <v>476</v>
      </c>
    </row>
    <row r="16" spans="1:48" ht="27" customHeight="1">
      <c r="AR16" s="337" t="s">
        <v>477</v>
      </c>
      <c r="AS16" s="338">
        <v>12</v>
      </c>
      <c r="AT16" s="339">
        <v>137.36230064400002</v>
      </c>
      <c r="AU16" s="339">
        <v>1648.3476077280002</v>
      </c>
      <c r="AV16" s="20" t="s">
        <v>478</v>
      </c>
    </row>
    <row r="17" spans="3:48" ht="16.5">
      <c r="C17" s="176" t="s">
        <v>479</v>
      </c>
      <c r="AR17" s="337" t="s">
        <v>480</v>
      </c>
      <c r="AS17" s="338">
        <v>5</v>
      </c>
      <c r="AT17" s="339">
        <v>783.97669650500006</v>
      </c>
      <c r="AU17" s="339">
        <v>3919.8834825250001</v>
      </c>
      <c r="AV17" s="20" t="s">
        <v>481</v>
      </c>
    </row>
    <row r="18" spans="3:48" ht="16.5">
      <c r="C18" s="122" t="s">
        <v>482</v>
      </c>
      <c r="D18" s="123" t="s">
        <v>483</v>
      </c>
      <c r="E18" s="123" t="s">
        <v>227</v>
      </c>
      <c r="F18" s="123" t="s">
        <v>484</v>
      </c>
      <c r="G18" s="123" t="s">
        <v>485</v>
      </c>
      <c r="AR18" s="337" t="s">
        <v>486</v>
      </c>
      <c r="AS18" s="338">
        <v>3</v>
      </c>
      <c r="AT18" s="339">
        <v>946.03226654384014</v>
      </c>
      <c r="AU18" s="339">
        <v>2838.0967996315203</v>
      </c>
      <c r="AV18" s="20" t="s">
        <v>487</v>
      </c>
    </row>
    <row r="19" spans="3:48" ht="16.5">
      <c r="C19" s="124" t="s">
        <v>82</v>
      </c>
      <c r="D19" s="312">
        <f>'Premissas Gerais'!D7</f>
        <v>7461626.9400000004</v>
      </c>
      <c r="E19" s="354">
        <v>1</v>
      </c>
      <c r="F19" s="127" t="s">
        <v>488</v>
      </c>
      <c r="G19" s="127" t="s">
        <v>489</v>
      </c>
      <c r="AR19" s="337" t="s">
        <v>490</v>
      </c>
      <c r="AS19" s="338">
        <v>1</v>
      </c>
      <c r="AT19" s="339">
        <v>2185.0189218720002</v>
      </c>
      <c r="AU19" s="339">
        <v>2185.0189218720002</v>
      </c>
      <c r="AV19" s="20" t="s">
        <v>491</v>
      </c>
    </row>
    <row r="20" spans="3:48" ht="16.5">
      <c r="C20" s="125" t="s">
        <v>492</v>
      </c>
      <c r="D20" s="313">
        <f>$D$19*E20</f>
        <v>890858.28858409834</v>
      </c>
      <c r="E20" s="305">
        <v>0.11939196313989109</v>
      </c>
      <c r="F20" s="9">
        <v>10</v>
      </c>
      <c r="G20" s="6">
        <f>100%/F20</f>
        <v>0.1</v>
      </c>
      <c r="I20" s="4"/>
      <c r="J20" s="3"/>
      <c r="AR20" s="337" t="s">
        <v>493</v>
      </c>
      <c r="AS20" s="338">
        <v>53</v>
      </c>
      <c r="AT20" s="339">
        <v>1516.3626684658</v>
      </c>
      <c r="AU20" s="339">
        <v>80367.221428687393</v>
      </c>
      <c r="AV20" s="20" t="s">
        <v>494</v>
      </c>
    </row>
    <row r="21" spans="3:48" ht="16.5">
      <c r="C21" s="126" t="s">
        <v>462</v>
      </c>
      <c r="D21" s="313">
        <f>$D$19*E21</f>
        <v>6088253.0369763458</v>
      </c>
      <c r="E21" s="305">
        <v>0.81594176255833362</v>
      </c>
      <c r="F21" s="9">
        <v>25</v>
      </c>
      <c r="G21" s="6">
        <f>100%/F21</f>
        <v>0.04</v>
      </c>
      <c r="H21" s="4"/>
      <c r="I21" s="4"/>
      <c r="AR21" s="337" t="s">
        <v>495</v>
      </c>
      <c r="AS21" s="338">
        <v>52</v>
      </c>
      <c r="AT21" s="339">
        <v>1021.7306072630801</v>
      </c>
      <c r="AU21" s="339">
        <v>53129.991577680164</v>
      </c>
      <c r="AV21" s="20" t="s">
        <v>496</v>
      </c>
    </row>
    <row r="22" spans="3:48" ht="16.5">
      <c r="C22" s="126" t="s">
        <v>497</v>
      </c>
      <c r="D22" s="313">
        <f>$D$19*E22</f>
        <v>482515.61443955655</v>
      </c>
      <c r="E22" s="305">
        <v>6.4666274301775337E-2</v>
      </c>
      <c r="F22" s="9">
        <v>10</v>
      </c>
      <c r="G22" s="6">
        <f>100%/F22</f>
        <v>0.1</v>
      </c>
      <c r="AR22" s="337" t="s">
        <v>498</v>
      </c>
      <c r="AS22" s="338">
        <v>6</v>
      </c>
      <c r="AT22" s="339">
        <v>1926.2666811240001</v>
      </c>
      <c r="AU22" s="339">
        <v>11557.600086744002</v>
      </c>
      <c r="AV22" s="20" t="s">
        <v>499</v>
      </c>
    </row>
    <row r="23" spans="3:48" ht="16.5">
      <c r="AR23" s="337" t="s">
        <v>500</v>
      </c>
      <c r="AS23" s="338">
        <v>5</v>
      </c>
      <c r="AT23" s="339">
        <v>3161.4625628840004</v>
      </c>
      <c r="AU23" s="339">
        <v>15807.312814420002</v>
      </c>
      <c r="AV23" s="20" t="s">
        <v>501</v>
      </c>
    </row>
    <row r="24" spans="3:48" ht="16.5">
      <c r="D24" s="4"/>
      <c r="F24" s="304">
        <f t="shared" ref="F24:AN24" si="5">IF(G27&gt;0,1,0)</f>
        <v>1</v>
      </c>
      <c r="G24" s="304">
        <f t="shared" si="5"/>
        <v>1</v>
      </c>
      <c r="H24" s="304">
        <f t="shared" si="5"/>
        <v>0</v>
      </c>
      <c r="I24" s="304">
        <f t="shared" si="5"/>
        <v>0</v>
      </c>
      <c r="J24" s="304">
        <f t="shared" si="5"/>
        <v>0</v>
      </c>
      <c r="K24" s="304">
        <f t="shared" si="5"/>
        <v>0</v>
      </c>
      <c r="L24" s="304">
        <f t="shared" si="5"/>
        <v>0</v>
      </c>
      <c r="M24" s="304">
        <f t="shared" si="5"/>
        <v>0</v>
      </c>
      <c r="N24" s="304">
        <f t="shared" si="5"/>
        <v>0</v>
      </c>
      <c r="O24" s="304">
        <f t="shared" si="5"/>
        <v>0</v>
      </c>
      <c r="P24" s="304">
        <f t="shared" si="5"/>
        <v>0</v>
      </c>
      <c r="Q24" s="304">
        <f t="shared" si="5"/>
        <v>0</v>
      </c>
      <c r="R24" s="304">
        <f t="shared" si="5"/>
        <v>0</v>
      </c>
      <c r="S24" s="304">
        <f t="shared" si="5"/>
        <v>0</v>
      </c>
      <c r="T24" s="304">
        <f t="shared" si="5"/>
        <v>0</v>
      </c>
      <c r="U24" s="304">
        <f t="shared" si="5"/>
        <v>0</v>
      </c>
      <c r="V24" s="304">
        <f t="shared" si="5"/>
        <v>0</v>
      </c>
      <c r="W24" s="304">
        <f t="shared" si="5"/>
        <v>0</v>
      </c>
      <c r="X24" s="304">
        <f t="shared" si="5"/>
        <v>0</v>
      </c>
      <c r="Y24" s="304">
        <f t="shared" si="5"/>
        <v>0</v>
      </c>
      <c r="Z24" s="304">
        <f t="shared" si="5"/>
        <v>0</v>
      </c>
      <c r="AA24" s="304">
        <f t="shared" si="5"/>
        <v>0</v>
      </c>
      <c r="AB24" s="304">
        <f t="shared" si="5"/>
        <v>0</v>
      </c>
      <c r="AC24" s="304">
        <f t="shared" si="5"/>
        <v>0</v>
      </c>
      <c r="AD24" s="304">
        <f t="shared" si="5"/>
        <v>0</v>
      </c>
      <c r="AE24" s="304">
        <f t="shared" si="5"/>
        <v>0</v>
      </c>
      <c r="AF24" s="304">
        <f t="shared" si="5"/>
        <v>0</v>
      </c>
      <c r="AG24" s="304">
        <f t="shared" si="5"/>
        <v>0</v>
      </c>
      <c r="AH24" s="304">
        <f t="shared" si="5"/>
        <v>0</v>
      </c>
      <c r="AI24" s="304">
        <f t="shared" si="5"/>
        <v>0</v>
      </c>
      <c r="AJ24" s="304">
        <f t="shared" si="5"/>
        <v>0</v>
      </c>
      <c r="AK24" s="304">
        <f t="shared" si="5"/>
        <v>0</v>
      </c>
      <c r="AL24" s="304">
        <f t="shared" si="5"/>
        <v>0</v>
      </c>
      <c r="AM24" s="304">
        <f t="shared" si="5"/>
        <v>0</v>
      </c>
      <c r="AN24" s="304">
        <f t="shared" si="5"/>
        <v>0</v>
      </c>
      <c r="AR24" s="337" t="s">
        <v>502</v>
      </c>
      <c r="AS24" s="338">
        <v>1</v>
      </c>
      <c r="AT24" s="339">
        <v>534.541666072</v>
      </c>
      <c r="AU24" s="339">
        <v>534.541666072</v>
      </c>
      <c r="AV24" s="20" t="s">
        <v>503</v>
      </c>
    </row>
    <row r="25" spans="3:48" ht="16.5">
      <c r="F25" s="128" t="s">
        <v>449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R25" s="337" t="s">
        <v>504</v>
      </c>
      <c r="AS25" s="338">
        <v>1</v>
      </c>
      <c r="AT25" s="339">
        <v>1324.8221208701202</v>
      </c>
      <c r="AU25" s="339">
        <v>1324.8221208701202</v>
      </c>
      <c r="AV25" s="20" t="s">
        <v>505</v>
      </c>
    </row>
    <row r="26" spans="3:48" ht="16.5">
      <c r="C26" s="176" t="s">
        <v>506</v>
      </c>
      <c r="E26" s="130" t="s">
        <v>82</v>
      </c>
      <c r="F26" s="140">
        <v>0</v>
      </c>
      <c r="G26" s="140">
        <v>1</v>
      </c>
      <c r="H26" s="140">
        <v>2</v>
      </c>
      <c r="I26" s="140">
        <v>3</v>
      </c>
      <c r="J26" s="140">
        <v>4</v>
      </c>
      <c r="K26" s="140">
        <v>5</v>
      </c>
      <c r="L26" s="140">
        <v>6</v>
      </c>
      <c r="M26" s="140">
        <v>7</v>
      </c>
      <c r="N26" s="140">
        <v>8</v>
      </c>
      <c r="O26" s="140">
        <v>9</v>
      </c>
      <c r="P26" s="140">
        <v>10</v>
      </c>
      <c r="Q26" s="140">
        <v>11</v>
      </c>
      <c r="R26" s="140">
        <v>12</v>
      </c>
      <c r="S26" s="140">
        <v>13</v>
      </c>
      <c r="T26" s="140">
        <v>14</v>
      </c>
      <c r="U26" s="140">
        <v>15</v>
      </c>
      <c r="V26" s="140">
        <v>16</v>
      </c>
      <c r="W26" s="140">
        <v>17</v>
      </c>
      <c r="X26" s="140">
        <v>18</v>
      </c>
      <c r="Y26" s="140">
        <v>19</v>
      </c>
      <c r="Z26" s="140">
        <v>20</v>
      </c>
      <c r="AA26" s="140">
        <v>21</v>
      </c>
      <c r="AB26" s="140">
        <v>22</v>
      </c>
      <c r="AC26" s="140">
        <v>23</v>
      </c>
      <c r="AD26" s="140">
        <v>24</v>
      </c>
      <c r="AE26" s="140">
        <v>25</v>
      </c>
      <c r="AF26" s="140">
        <v>26</v>
      </c>
      <c r="AG26" s="140">
        <v>27</v>
      </c>
      <c r="AH26" s="140">
        <v>28</v>
      </c>
      <c r="AI26" s="140">
        <v>29</v>
      </c>
      <c r="AJ26" s="140">
        <v>30</v>
      </c>
      <c r="AK26" s="140">
        <v>31</v>
      </c>
      <c r="AL26" s="140">
        <v>32</v>
      </c>
      <c r="AM26" s="140">
        <v>33</v>
      </c>
      <c r="AN26" s="140">
        <v>34</v>
      </c>
      <c r="AO26" s="140">
        <v>35</v>
      </c>
      <c r="AR26" s="337" t="s">
        <v>507</v>
      </c>
      <c r="AS26" s="338">
        <v>6</v>
      </c>
      <c r="AT26" s="339">
        <v>2978.86653719072</v>
      </c>
      <c r="AU26" s="339">
        <v>17873.199223144322</v>
      </c>
      <c r="AV26" s="20" t="s">
        <v>508</v>
      </c>
    </row>
    <row r="27" spans="3:48" ht="16.5">
      <c r="C27" t="s">
        <v>509</v>
      </c>
      <c r="E27" s="300" t="str">
        <f>IF(SUM(G27:AO27)=100%,"OK","ERRO")</f>
        <v>OK</v>
      </c>
      <c r="F27" s="360">
        <v>0</v>
      </c>
      <c r="G27" s="353">
        <v>0.5</v>
      </c>
      <c r="H27" s="353">
        <v>0.5</v>
      </c>
      <c r="I27" s="353">
        <v>0</v>
      </c>
      <c r="J27" s="353">
        <v>0</v>
      </c>
      <c r="K27" s="353">
        <v>0</v>
      </c>
      <c r="L27" s="353">
        <v>0</v>
      </c>
      <c r="M27" s="353">
        <v>0</v>
      </c>
      <c r="N27" s="353">
        <v>0</v>
      </c>
      <c r="O27" s="353">
        <v>0</v>
      </c>
      <c r="P27" s="353">
        <v>0</v>
      </c>
      <c r="Q27" s="353">
        <v>0</v>
      </c>
      <c r="R27" s="353">
        <v>0</v>
      </c>
      <c r="S27" s="353">
        <v>0</v>
      </c>
      <c r="T27" s="353">
        <v>0</v>
      </c>
      <c r="U27" s="353">
        <v>0</v>
      </c>
      <c r="V27" s="353">
        <v>0</v>
      </c>
      <c r="W27" s="353">
        <v>0</v>
      </c>
      <c r="X27" s="353">
        <v>0</v>
      </c>
      <c r="Y27" s="353">
        <v>0</v>
      </c>
      <c r="Z27" s="353">
        <v>0</v>
      </c>
      <c r="AA27" s="353">
        <v>0</v>
      </c>
      <c r="AB27" s="353">
        <v>0</v>
      </c>
      <c r="AC27" s="353">
        <v>0</v>
      </c>
      <c r="AD27" s="353">
        <v>0</v>
      </c>
      <c r="AE27" s="353">
        <v>0</v>
      </c>
      <c r="AF27" s="353">
        <v>0</v>
      </c>
      <c r="AG27" s="353">
        <v>0</v>
      </c>
      <c r="AH27" s="353">
        <v>0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0</v>
      </c>
      <c r="AR27" s="337" t="s">
        <v>510</v>
      </c>
      <c r="AS27" s="338">
        <v>1</v>
      </c>
      <c r="AT27" s="339">
        <v>511.0090548764</v>
      </c>
      <c r="AU27" s="339">
        <v>511.0090548764</v>
      </c>
      <c r="AV27" s="20" t="s">
        <v>511</v>
      </c>
    </row>
    <row r="28" spans="3:48" ht="16.5">
      <c r="C28" t="s">
        <v>512</v>
      </c>
      <c r="D28" s="137">
        <f>SUM(E20,E22)</f>
        <v>0.18405823744166644</v>
      </c>
      <c r="E28" s="132">
        <f>SUM(G28:AO28)</f>
        <v>1373373.9030236551</v>
      </c>
      <c r="F28" s="4">
        <v>0</v>
      </c>
      <c r="G28" s="4">
        <f t="shared" ref="G28:AO28" si="6">$D28*$D$19*G27</f>
        <v>686686.95151182753</v>
      </c>
      <c r="H28" s="4">
        <f t="shared" si="6"/>
        <v>686686.95151182753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4">
        <f t="shared" si="6"/>
        <v>0</v>
      </c>
      <c r="Q28" s="4">
        <f t="shared" si="6"/>
        <v>0</v>
      </c>
      <c r="R28" s="4">
        <f t="shared" si="6"/>
        <v>0</v>
      </c>
      <c r="S28" s="4">
        <f t="shared" si="6"/>
        <v>0</v>
      </c>
      <c r="T28" s="4">
        <f t="shared" si="6"/>
        <v>0</v>
      </c>
      <c r="U28" s="4">
        <f t="shared" si="6"/>
        <v>0</v>
      </c>
      <c r="V28" s="4">
        <f t="shared" si="6"/>
        <v>0</v>
      </c>
      <c r="W28" s="4">
        <f t="shared" si="6"/>
        <v>0</v>
      </c>
      <c r="X28" s="4">
        <f t="shared" si="6"/>
        <v>0</v>
      </c>
      <c r="Y28" s="4">
        <f t="shared" si="6"/>
        <v>0</v>
      </c>
      <c r="Z28" s="4">
        <f t="shared" si="6"/>
        <v>0</v>
      </c>
      <c r="AA28" s="4">
        <f t="shared" si="6"/>
        <v>0</v>
      </c>
      <c r="AB28" s="4">
        <f t="shared" si="6"/>
        <v>0</v>
      </c>
      <c r="AC28" s="4">
        <f t="shared" si="6"/>
        <v>0</v>
      </c>
      <c r="AD28" s="4">
        <f t="shared" si="6"/>
        <v>0</v>
      </c>
      <c r="AE28" s="4">
        <f t="shared" si="6"/>
        <v>0</v>
      </c>
      <c r="AF28" s="4">
        <f t="shared" si="6"/>
        <v>0</v>
      </c>
      <c r="AG28" s="4">
        <f t="shared" si="6"/>
        <v>0</v>
      </c>
      <c r="AH28" s="4">
        <f t="shared" si="6"/>
        <v>0</v>
      </c>
      <c r="AI28" s="4">
        <f t="shared" si="6"/>
        <v>0</v>
      </c>
      <c r="AJ28" s="4">
        <f t="shared" si="6"/>
        <v>0</v>
      </c>
      <c r="AK28" s="4">
        <f t="shared" si="6"/>
        <v>0</v>
      </c>
      <c r="AL28" s="4">
        <f t="shared" si="6"/>
        <v>0</v>
      </c>
      <c r="AM28" s="4">
        <f t="shared" si="6"/>
        <v>0</v>
      </c>
      <c r="AN28" s="4">
        <f t="shared" si="6"/>
        <v>0</v>
      </c>
      <c r="AO28" s="4">
        <f t="shared" si="6"/>
        <v>0</v>
      </c>
      <c r="AR28" s="337" t="s">
        <v>513</v>
      </c>
      <c r="AS28" s="338">
        <v>1</v>
      </c>
      <c r="AT28" s="339">
        <v>278.24916884716004</v>
      </c>
      <c r="AU28" s="339">
        <v>278.24916884716004</v>
      </c>
      <c r="AV28" s="20" t="s">
        <v>514</v>
      </c>
    </row>
    <row r="29" spans="3:48" ht="16.5">
      <c r="C29" t="s">
        <v>515</v>
      </c>
      <c r="D29" s="138">
        <f>E21</f>
        <v>0.81594176255833362</v>
      </c>
      <c r="E29" s="133">
        <f>SUM(G29:AO29)</f>
        <v>6088253.0369763458</v>
      </c>
      <c r="F29" s="4">
        <v>0</v>
      </c>
      <c r="G29" s="4">
        <f t="shared" ref="G29:AO29" si="7">$D29*$D$19*G27</f>
        <v>3044126.5184881729</v>
      </c>
      <c r="H29" s="4">
        <f t="shared" si="7"/>
        <v>3044126.5184881729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4">
        <f t="shared" si="7"/>
        <v>0</v>
      </c>
      <c r="Q29" s="4">
        <f t="shared" si="7"/>
        <v>0</v>
      </c>
      <c r="R29" s="4">
        <f t="shared" si="7"/>
        <v>0</v>
      </c>
      <c r="S29" s="4">
        <f t="shared" si="7"/>
        <v>0</v>
      </c>
      <c r="T29" s="4">
        <f t="shared" si="7"/>
        <v>0</v>
      </c>
      <c r="U29" s="4">
        <f t="shared" si="7"/>
        <v>0</v>
      </c>
      <c r="V29" s="4">
        <f t="shared" si="7"/>
        <v>0</v>
      </c>
      <c r="W29" s="4">
        <f t="shared" si="7"/>
        <v>0</v>
      </c>
      <c r="X29" s="4">
        <f t="shared" si="7"/>
        <v>0</v>
      </c>
      <c r="Y29" s="4">
        <f t="shared" si="7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  <c r="AF29" s="4">
        <f t="shared" si="7"/>
        <v>0</v>
      </c>
      <c r="AG29" s="4">
        <f t="shared" si="7"/>
        <v>0</v>
      </c>
      <c r="AH29" s="4">
        <f t="shared" si="7"/>
        <v>0</v>
      </c>
      <c r="AI29" s="4">
        <f t="shared" si="7"/>
        <v>0</v>
      </c>
      <c r="AJ29" s="4">
        <f t="shared" si="7"/>
        <v>0</v>
      </c>
      <c r="AK29" s="4">
        <f t="shared" si="7"/>
        <v>0</v>
      </c>
      <c r="AL29" s="4">
        <f t="shared" si="7"/>
        <v>0</v>
      </c>
      <c r="AM29" s="4">
        <f t="shared" si="7"/>
        <v>0</v>
      </c>
      <c r="AN29" s="4">
        <f t="shared" si="7"/>
        <v>0</v>
      </c>
      <c r="AO29" s="4">
        <f t="shared" si="7"/>
        <v>0</v>
      </c>
      <c r="AR29" s="337" t="s">
        <v>516</v>
      </c>
      <c r="AS29" s="338">
        <v>1</v>
      </c>
      <c r="AT29" s="339">
        <v>487.67876024764007</v>
      </c>
      <c r="AU29" s="339">
        <v>487.67876024764007</v>
      </c>
      <c r="AV29" s="20" t="s">
        <v>517</v>
      </c>
    </row>
    <row r="30" spans="3:48" ht="16.5">
      <c r="C30" t="s">
        <v>82</v>
      </c>
      <c r="D30" s="138">
        <f>SUM(D28:D29)</f>
        <v>1</v>
      </c>
      <c r="E30" s="133">
        <f>SUM(E28:E29)</f>
        <v>7461626.9400000013</v>
      </c>
      <c r="F30" s="133">
        <v>0</v>
      </c>
      <c r="G30" s="133">
        <f>SUM(G28:G29)</f>
        <v>3730813.4700000007</v>
      </c>
      <c r="H30" s="133">
        <f t="shared" ref="H30:AO30" si="8">SUM(H28:H29)</f>
        <v>3730813.4700000007</v>
      </c>
      <c r="I30" s="133">
        <f t="shared" si="8"/>
        <v>0</v>
      </c>
      <c r="J30" s="133">
        <f t="shared" si="8"/>
        <v>0</v>
      </c>
      <c r="K30" s="133">
        <f t="shared" si="8"/>
        <v>0</v>
      </c>
      <c r="L30" s="133">
        <f t="shared" si="8"/>
        <v>0</v>
      </c>
      <c r="M30" s="133">
        <f t="shared" si="8"/>
        <v>0</v>
      </c>
      <c r="N30" s="133">
        <f t="shared" si="8"/>
        <v>0</v>
      </c>
      <c r="O30" s="133">
        <f t="shared" si="8"/>
        <v>0</v>
      </c>
      <c r="P30" s="133">
        <f t="shared" si="8"/>
        <v>0</v>
      </c>
      <c r="Q30" s="133">
        <f t="shared" si="8"/>
        <v>0</v>
      </c>
      <c r="R30" s="133">
        <f t="shared" si="8"/>
        <v>0</v>
      </c>
      <c r="S30" s="133">
        <f t="shared" si="8"/>
        <v>0</v>
      </c>
      <c r="T30" s="133">
        <f t="shared" si="8"/>
        <v>0</v>
      </c>
      <c r="U30" s="133">
        <f t="shared" si="8"/>
        <v>0</v>
      </c>
      <c r="V30" s="133">
        <f t="shared" si="8"/>
        <v>0</v>
      </c>
      <c r="W30" s="133">
        <f t="shared" si="8"/>
        <v>0</v>
      </c>
      <c r="X30" s="133">
        <f t="shared" si="8"/>
        <v>0</v>
      </c>
      <c r="Y30" s="133">
        <f t="shared" si="8"/>
        <v>0</v>
      </c>
      <c r="Z30" s="133">
        <f t="shared" si="8"/>
        <v>0</v>
      </c>
      <c r="AA30" s="133">
        <f t="shared" si="8"/>
        <v>0</v>
      </c>
      <c r="AB30" s="133">
        <f t="shared" si="8"/>
        <v>0</v>
      </c>
      <c r="AC30" s="133">
        <f t="shared" si="8"/>
        <v>0</v>
      </c>
      <c r="AD30" s="133">
        <f t="shared" si="8"/>
        <v>0</v>
      </c>
      <c r="AE30" s="133">
        <f t="shared" si="8"/>
        <v>0</v>
      </c>
      <c r="AF30" s="133">
        <f t="shared" si="8"/>
        <v>0</v>
      </c>
      <c r="AG30" s="133">
        <f t="shared" si="8"/>
        <v>0</v>
      </c>
      <c r="AH30" s="133">
        <f t="shared" si="8"/>
        <v>0</v>
      </c>
      <c r="AI30" s="133">
        <f t="shared" si="8"/>
        <v>0</v>
      </c>
      <c r="AJ30" s="133">
        <f t="shared" si="8"/>
        <v>0</v>
      </c>
      <c r="AK30" s="133">
        <f t="shared" si="8"/>
        <v>0</v>
      </c>
      <c r="AL30" s="133">
        <f t="shared" si="8"/>
        <v>0</v>
      </c>
      <c r="AM30" s="133">
        <f t="shared" si="8"/>
        <v>0</v>
      </c>
      <c r="AN30" s="133">
        <f t="shared" si="8"/>
        <v>0</v>
      </c>
      <c r="AO30" s="133">
        <f t="shared" si="8"/>
        <v>0</v>
      </c>
      <c r="AR30" s="337" t="s">
        <v>518</v>
      </c>
      <c r="AS30" s="338">
        <v>3</v>
      </c>
      <c r="AT30" s="339">
        <v>1295.1774197078801</v>
      </c>
      <c r="AU30" s="339">
        <v>3885.53225912364</v>
      </c>
      <c r="AV30" s="20" t="s">
        <v>519</v>
      </c>
    </row>
    <row r="31" spans="3:48" ht="16.5">
      <c r="C31" s="134" t="s">
        <v>520</v>
      </c>
      <c r="D31" s="139">
        <f>E30/E31</f>
        <v>0.99999999999999989</v>
      </c>
      <c r="E31" s="135">
        <f>SUM(G31:AO31)</f>
        <v>7461626.9400000023</v>
      </c>
      <c r="F31" s="136">
        <v>0</v>
      </c>
      <c r="G31" s="136">
        <f t="shared" ref="G31:AO31" si="9">SUM(F41,F82)</f>
        <v>0</v>
      </c>
      <c r="H31" s="136">
        <f>SUM(G41,G82)</f>
        <v>190433.75589070967</v>
      </c>
      <c r="I31" s="136">
        <f t="shared" si="9"/>
        <v>380867.51178141934</v>
      </c>
      <c r="J31" s="136">
        <f t="shared" si="9"/>
        <v>380867.51178141934</v>
      </c>
      <c r="K31" s="136">
        <f t="shared" si="9"/>
        <v>380867.51178141934</v>
      </c>
      <c r="L31" s="136">
        <f t="shared" si="9"/>
        <v>380867.51178141934</v>
      </c>
      <c r="M31" s="136">
        <f t="shared" si="9"/>
        <v>380867.51178141934</v>
      </c>
      <c r="N31" s="136">
        <f t="shared" si="9"/>
        <v>380867.51178141934</v>
      </c>
      <c r="O31" s="136">
        <f t="shared" si="9"/>
        <v>380867.51178141934</v>
      </c>
      <c r="P31" s="136">
        <f t="shared" si="9"/>
        <v>380867.51178141934</v>
      </c>
      <c r="Q31" s="136">
        <f t="shared" si="9"/>
        <v>380867.51178141934</v>
      </c>
      <c r="R31" s="136">
        <f t="shared" si="9"/>
        <v>312198.81663023657</v>
      </c>
      <c r="S31" s="136">
        <f t="shared" si="9"/>
        <v>243530.12147905384</v>
      </c>
      <c r="T31" s="136">
        <f t="shared" si="9"/>
        <v>243530.12147905384</v>
      </c>
      <c r="U31" s="136">
        <f t="shared" si="9"/>
        <v>243530.12147905384</v>
      </c>
      <c r="V31" s="136">
        <f t="shared" si="9"/>
        <v>243530.12147905384</v>
      </c>
      <c r="W31" s="136">
        <f t="shared" si="9"/>
        <v>243530.12147905384</v>
      </c>
      <c r="X31" s="136">
        <f t="shared" si="9"/>
        <v>243530.12147905384</v>
      </c>
      <c r="Y31" s="136">
        <f t="shared" si="9"/>
        <v>243530.12147905384</v>
      </c>
      <c r="Z31" s="136">
        <f t="shared" si="9"/>
        <v>243530.12147905384</v>
      </c>
      <c r="AA31" s="136">
        <f t="shared" si="9"/>
        <v>243530.12147905384</v>
      </c>
      <c r="AB31" s="136">
        <f t="shared" si="9"/>
        <v>243530.12147905384</v>
      </c>
      <c r="AC31" s="136">
        <f t="shared" si="9"/>
        <v>243530.12147905384</v>
      </c>
      <c r="AD31" s="136">
        <f t="shared" si="9"/>
        <v>243530.12147905384</v>
      </c>
      <c r="AE31" s="136">
        <f t="shared" si="9"/>
        <v>243530.12147905384</v>
      </c>
      <c r="AF31" s="136">
        <f t="shared" si="9"/>
        <v>243530.12147905384</v>
      </c>
      <c r="AG31" s="136">
        <f t="shared" si="9"/>
        <v>121765.06073952692</v>
      </c>
      <c r="AH31" s="136">
        <f t="shared" si="9"/>
        <v>0</v>
      </c>
      <c r="AI31" s="136">
        <f t="shared" si="9"/>
        <v>0</v>
      </c>
      <c r="AJ31" s="136">
        <f t="shared" si="9"/>
        <v>0</v>
      </c>
      <c r="AK31" s="136">
        <f t="shared" si="9"/>
        <v>0</v>
      </c>
      <c r="AL31" s="136">
        <f t="shared" si="9"/>
        <v>0</v>
      </c>
      <c r="AM31" s="136">
        <f t="shared" si="9"/>
        <v>0</v>
      </c>
      <c r="AN31" s="136">
        <f t="shared" si="9"/>
        <v>0</v>
      </c>
      <c r="AO31" s="136">
        <f t="shared" si="9"/>
        <v>0</v>
      </c>
      <c r="AR31" s="337" t="s">
        <v>521</v>
      </c>
      <c r="AS31" s="338">
        <v>1</v>
      </c>
      <c r="AT31" s="339">
        <v>3077.3414640400001</v>
      </c>
      <c r="AU31" s="339">
        <v>3077.3414640400001</v>
      </c>
      <c r="AV31" s="20" t="s">
        <v>522</v>
      </c>
    </row>
    <row r="32" spans="3:48" ht="16.5">
      <c r="D32" s="5" t="s">
        <v>523</v>
      </c>
      <c r="E32" s="147" t="str">
        <f>IF(D19=E31,"OK")</f>
        <v>OK</v>
      </c>
      <c r="AR32" s="337" t="s">
        <v>524</v>
      </c>
      <c r="AS32" s="338">
        <v>2</v>
      </c>
      <c r="AT32" s="339">
        <v>2342.5063967964002</v>
      </c>
      <c r="AU32" s="339">
        <v>4685.0127935928003</v>
      </c>
      <c r="AV32" s="20" t="s">
        <v>525</v>
      </c>
    </row>
    <row r="33" spans="2:78" ht="16.5">
      <c r="AR33" s="337" t="s">
        <v>526</v>
      </c>
      <c r="AS33" s="338">
        <v>1</v>
      </c>
      <c r="AT33" s="339">
        <v>1384.2605985596401</v>
      </c>
      <c r="AU33" s="339">
        <v>1384.2605985596401</v>
      </c>
      <c r="AV33" s="20" t="s">
        <v>527</v>
      </c>
    </row>
    <row r="34" spans="2:78" ht="16.5">
      <c r="AR34" s="337" t="s">
        <v>528</v>
      </c>
      <c r="AS34" s="338">
        <v>1</v>
      </c>
      <c r="AT34" s="339">
        <v>306.66932236800005</v>
      </c>
      <c r="AU34" s="339">
        <v>306.66932236800005</v>
      </c>
      <c r="AV34" s="20" t="s">
        <v>529</v>
      </c>
    </row>
    <row r="35" spans="2:78" ht="16.5">
      <c r="AR35" s="337" t="s">
        <v>530</v>
      </c>
      <c r="AS35" s="338">
        <v>1</v>
      </c>
      <c r="AT35" s="339">
        <v>1766.5430757240001</v>
      </c>
      <c r="AU35" s="339">
        <v>1766.5430757240001</v>
      </c>
      <c r="AV35" s="20" t="s">
        <v>531</v>
      </c>
    </row>
    <row r="36" spans="2:78" ht="16.5">
      <c r="AR36" s="337" t="s">
        <v>532</v>
      </c>
      <c r="AS36" s="338">
        <v>1</v>
      </c>
      <c r="AT36" s="339">
        <v>2084.3504575085603</v>
      </c>
      <c r="AU36" s="339">
        <v>2084.3504575085603</v>
      </c>
      <c r="AV36" s="20" t="s">
        <v>533</v>
      </c>
    </row>
    <row r="37" spans="2:78" ht="18.75">
      <c r="B37" s="177" t="s">
        <v>534</v>
      </c>
      <c r="C37" s="176" t="s">
        <v>535</v>
      </c>
      <c r="AR37" s="340"/>
      <c r="AS37" s="340"/>
      <c r="AT37" s="340"/>
      <c r="AU37" s="341">
        <f>SUM(AU5:AU36)</f>
        <v>386012.49187302584</v>
      </c>
    </row>
    <row r="38" spans="2:78" outlineLevel="1">
      <c r="C38" s="141" t="s">
        <v>536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</row>
    <row r="39" spans="2:78" outlineLevel="1">
      <c r="AO39" s="146"/>
      <c r="AR39" t="s">
        <v>537</v>
      </c>
    </row>
    <row r="40" spans="2:78" ht="15.75" outlineLevel="1">
      <c r="C40" s="142" t="s">
        <v>538</v>
      </c>
      <c r="D40" s="143"/>
      <c r="F40" s="140">
        <v>1</v>
      </c>
      <c r="G40" s="140">
        <v>2</v>
      </c>
      <c r="H40" s="140">
        <v>3</v>
      </c>
      <c r="I40" s="140">
        <v>4</v>
      </c>
      <c r="J40" s="140">
        <v>5</v>
      </c>
      <c r="K40" s="140">
        <v>6</v>
      </c>
      <c r="L40" s="140">
        <v>7</v>
      </c>
      <c r="M40" s="140">
        <v>8</v>
      </c>
      <c r="N40" s="140">
        <v>9</v>
      </c>
      <c r="O40" s="140">
        <v>10</v>
      </c>
      <c r="P40" s="140">
        <v>11</v>
      </c>
      <c r="Q40" s="140">
        <v>12</v>
      </c>
      <c r="R40" s="140">
        <v>13</v>
      </c>
      <c r="S40" s="140">
        <v>14</v>
      </c>
      <c r="T40" s="140">
        <v>15</v>
      </c>
      <c r="U40" s="140">
        <v>16</v>
      </c>
      <c r="V40" s="140">
        <v>17</v>
      </c>
      <c r="W40" s="140">
        <v>18</v>
      </c>
      <c r="X40" s="140">
        <v>19</v>
      </c>
      <c r="Y40" s="140">
        <v>20</v>
      </c>
      <c r="Z40" s="140">
        <v>21</v>
      </c>
      <c r="AA40" s="140">
        <v>22</v>
      </c>
      <c r="AB40" s="140">
        <v>23</v>
      </c>
      <c r="AC40" s="140">
        <v>24</v>
      </c>
      <c r="AD40" s="140">
        <v>25</v>
      </c>
      <c r="AE40" s="140">
        <v>26</v>
      </c>
      <c r="AF40" s="140">
        <v>27</v>
      </c>
      <c r="AG40" s="140">
        <v>28</v>
      </c>
      <c r="AH40" s="140">
        <v>29</v>
      </c>
      <c r="AI40" s="140">
        <v>30</v>
      </c>
      <c r="AJ40" s="140">
        <v>31</v>
      </c>
      <c r="AK40" s="140">
        <v>32</v>
      </c>
      <c r="AL40" s="140">
        <v>33</v>
      </c>
      <c r="AM40" s="140">
        <v>34</v>
      </c>
      <c r="AN40" s="140">
        <v>35</v>
      </c>
      <c r="AO40" s="146"/>
      <c r="AR40" s="1">
        <v>1</v>
      </c>
      <c r="AS40" s="1">
        <v>2</v>
      </c>
      <c r="AT40" s="1">
        <v>3</v>
      </c>
      <c r="AU40" s="1">
        <v>4</v>
      </c>
      <c r="AV40" s="1">
        <v>5</v>
      </c>
      <c r="AW40" s="1">
        <v>6</v>
      </c>
      <c r="AX40" s="1">
        <v>7</v>
      </c>
      <c r="AY40" s="1">
        <v>8</v>
      </c>
      <c r="AZ40" s="1">
        <v>9</v>
      </c>
      <c r="BA40" s="1">
        <v>10</v>
      </c>
      <c r="BB40" s="1">
        <v>11</v>
      </c>
      <c r="BC40" s="1">
        <v>12</v>
      </c>
      <c r="BD40" s="1">
        <v>13</v>
      </c>
      <c r="BE40" s="1">
        <v>14</v>
      </c>
      <c r="BF40" s="1">
        <v>15</v>
      </c>
      <c r="BG40" s="1">
        <v>16</v>
      </c>
      <c r="BH40" s="1">
        <v>17</v>
      </c>
      <c r="BI40" s="1">
        <v>18</v>
      </c>
      <c r="BJ40" s="1">
        <v>19</v>
      </c>
      <c r="BK40" s="1">
        <v>20</v>
      </c>
      <c r="BL40" s="1">
        <v>21</v>
      </c>
      <c r="BM40" s="1">
        <v>22</v>
      </c>
      <c r="BN40" s="1">
        <v>23</v>
      </c>
      <c r="BO40" s="1">
        <v>24</v>
      </c>
      <c r="BP40" s="1">
        <v>25</v>
      </c>
      <c r="BQ40" s="1">
        <v>26</v>
      </c>
      <c r="BR40" s="1">
        <v>27</v>
      </c>
      <c r="BS40" s="1">
        <v>28</v>
      </c>
      <c r="BT40" s="1">
        <v>29</v>
      </c>
      <c r="BU40" s="1">
        <v>30</v>
      </c>
      <c r="BV40" s="1">
        <v>31</v>
      </c>
      <c r="BW40" s="1">
        <v>32</v>
      </c>
      <c r="BX40" s="1">
        <v>33</v>
      </c>
      <c r="BY40" s="1">
        <v>34</v>
      </c>
      <c r="BZ40" s="1">
        <v>35</v>
      </c>
    </row>
    <row r="41" spans="2:78" ht="15.75" outlineLevel="1">
      <c r="C41" s="142" t="s">
        <v>539</v>
      </c>
      <c r="F41" s="144">
        <f t="array" ref="F41:AN41">TRANSPOSE(E43:E77)</f>
        <v>0</v>
      </c>
      <c r="G41" s="144">
        <v>68668.69515118275</v>
      </c>
      <c r="H41" s="144">
        <v>137337.3903023655</v>
      </c>
      <c r="I41" s="144">
        <v>137337.3903023655</v>
      </c>
      <c r="J41" s="144">
        <v>137337.3903023655</v>
      </c>
      <c r="K41" s="144">
        <v>137337.3903023655</v>
      </c>
      <c r="L41" s="144">
        <v>137337.3903023655</v>
      </c>
      <c r="M41" s="144">
        <v>137337.3903023655</v>
      </c>
      <c r="N41" s="144">
        <v>137337.3903023655</v>
      </c>
      <c r="O41" s="144">
        <v>137337.3903023655</v>
      </c>
      <c r="P41" s="144">
        <v>137337.3903023655</v>
      </c>
      <c r="Q41" s="144">
        <v>68668.69515118275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4">
        <v>0</v>
      </c>
      <c r="AA41" s="144">
        <v>0</v>
      </c>
      <c r="AB41" s="144">
        <v>0</v>
      </c>
      <c r="AC41" s="144">
        <v>0</v>
      </c>
      <c r="AD41" s="144">
        <v>0</v>
      </c>
      <c r="AE41" s="144">
        <v>0</v>
      </c>
      <c r="AF41" s="144">
        <v>0</v>
      </c>
      <c r="AG41" s="144">
        <v>0</v>
      </c>
      <c r="AH41" s="144">
        <v>0</v>
      </c>
      <c r="AI41" s="144">
        <v>0</v>
      </c>
      <c r="AJ41" s="144">
        <v>0</v>
      </c>
      <c r="AK41" s="144">
        <v>0</v>
      </c>
      <c r="AL41" s="144">
        <v>0</v>
      </c>
      <c r="AM41" s="144">
        <v>0</v>
      </c>
      <c r="AN41" s="144">
        <v>0</v>
      </c>
      <c r="AO41" s="146"/>
    </row>
    <row r="42" spans="2:78" outlineLevel="1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AO42" s="146"/>
      <c r="AP42" t="s">
        <v>540</v>
      </c>
      <c r="AQ42" s="1">
        <v>1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</row>
    <row r="43" spans="2:78" outlineLevel="1">
      <c r="C43" t="s">
        <v>232</v>
      </c>
      <c r="E43" s="133">
        <f t="shared" ref="E43:E76" si="10">SUM(F43:AN43)</f>
        <v>0</v>
      </c>
      <c r="F43" s="4">
        <f t="shared" ref="F43:F77" si="11">G$28*AR42</f>
        <v>0</v>
      </c>
      <c r="G43" s="4">
        <f t="shared" ref="G43:G77" si="12">H$28*AS42</f>
        <v>0</v>
      </c>
      <c r="H43" s="4">
        <f t="shared" ref="H43:H77" si="13">I$28*AT42</f>
        <v>0</v>
      </c>
      <c r="I43" s="4">
        <f t="shared" ref="I43:I77" si="14">J$28*AU42</f>
        <v>0</v>
      </c>
      <c r="J43" s="4">
        <f t="shared" ref="J43:J77" si="15">K$28*AV42</f>
        <v>0</v>
      </c>
      <c r="K43" s="4">
        <f t="shared" ref="K43:K77" si="16">L$28*AW42</f>
        <v>0</v>
      </c>
      <c r="L43" s="4">
        <f t="shared" ref="L43:L77" si="17">M$28*AX42</f>
        <v>0</v>
      </c>
      <c r="M43" s="4">
        <f t="shared" ref="M43:M77" si="18">N$28*AY42</f>
        <v>0</v>
      </c>
      <c r="N43" s="4">
        <f t="shared" ref="N43:N77" si="19">O$28*AZ42</f>
        <v>0</v>
      </c>
      <c r="O43" s="4">
        <f t="shared" ref="O43:O77" si="20">P$28*BA42</f>
        <v>0</v>
      </c>
      <c r="P43" s="4">
        <f t="shared" ref="P43:P77" si="21">Q$28*BB42</f>
        <v>0</v>
      </c>
      <c r="Q43" s="4">
        <f t="shared" ref="Q43:Q77" si="22">R$28*BC42</f>
        <v>0</v>
      </c>
      <c r="R43" s="4">
        <f t="shared" ref="R43:R77" si="23">S$28*BD42</f>
        <v>0</v>
      </c>
      <c r="S43" s="4">
        <f t="shared" ref="S43:S77" si="24">T$28*BE42</f>
        <v>0</v>
      </c>
      <c r="T43" s="4">
        <f t="shared" ref="T43:T77" si="25">U$28*BF42</f>
        <v>0</v>
      </c>
      <c r="U43" s="4">
        <f t="shared" ref="U43:U77" si="26">V$28*BG42</f>
        <v>0</v>
      </c>
      <c r="V43" s="4">
        <f t="shared" ref="V43:V77" si="27">W$28*BH42</f>
        <v>0</v>
      </c>
      <c r="W43" s="4">
        <f t="shared" ref="W43:W77" si="28">X$28*BI42</f>
        <v>0</v>
      </c>
      <c r="X43" s="4">
        <f t="shared" ref="X43:X77" si="29">Y$28*BJ42</f>
        <v>0</v>
      </c>
      <c r="Y43" s="4">
        <f t="shared" ref="Y43:Y77" si="30">Z$28*BK42</f>
        <v>0</v>
      </c>
      <c r="Z43" s="4">
        <f t="shared" ref="Z43:Z77" si="31">AA$28*BL42</f>
        <v>0</v>
      </c>
      <c r="AA43" s="4">
        <f t="shared" ref="AA43:AA77" si="32">AB$28*BM42</f>
        <v>0</v>
      </c>
      <c r="AB43" s="4">
        <f t="shared" ref="AB43:AB77" si="33">AC$28*BN42</f>
        <v>0</v>
      </c>
      <c r="AC43" s="4">
        <f t="shared" ref="AC43:AC77" si="34">AD$28*BO42</f>
        <v>0</v>
      </c>
      <c r="AD43" s="4">
        <f t="shared" ref="AD43:AD77" si="35">AE$28*BP42</f>
        <v>0</v>
      </c>
      <c r="AE43" s="4">
        <f t="shared" ref="AE43:AE77" si="36">AF$28*BQ42</f>
        <v>0</v>
      </c>
      <c r="AF43" s="4">
        <f t="shared" ref="AF43:AF77" si="37">AG$28*BR42</f>
        <v>0</v>
      </c>
      <c r="AG43" s="4">
        <f t="shared" ref="AG43:AG77" si="38">AH$28*BS42</f>
        <v>0</v>
      </c>
      <c r="AH43" s="4">
        <f t="shared" ref="AH43:AH77" si="39">AI$28*BT42</f>
        <v>0</v>
      </c>
      <c r="AI43" s="4">
        <f t="shared" ref="AI43:AI77" si="40">AJ$28*BU42</f>
        <v>0</v>
      </c>
      <c r="AJ43" s="4">
        <f t="shared" ref="AJ43:AJ77" si="41">AK$28*BV42</f>
        <v>0</v>
      </c>
      <c r="AK43" s="4">
        <f t="shared" ref="AK43:AK77" si="42">AL$28*BW42</f>
        <v>0</v>
      </c>
      <c r="AL43" s="4">
        <f t="shared" ref="AL43:AL77" si="43">AM$28*BX42</f>
        <v>0</v>
      </c>
      <c r="AM43" s="4">
        <f t="shared" ref="AM43:AM77" si="44">AN$28*BY42</f>
        <v>0</v>
      </c>
      <c r="AN43" s="4">
        <f t="shared" ref="AN43:AN77" si="45">AO$28*BZ42</f>
        <v>0</v>
      </c>
      <c r="AO43" s="146"/>
      <c r="AP43" s="2"/>
      <c r="AQ43" s="1">
        <v>2</v>
      </c>
      <c r="AR43" s="2">
        <v>0.1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</row>
    <row r="44" spans="2:78" outlineLevel="1">
      <c r="C44" t="s">
        <v>541</v>
      </c>
      <c r="E44" s="133">
        <f t="shared" si="10"/>
        <v>68668.69515118275</v>
      </c>
      <c r="F44" s="4">
        <f t="shared" si="11"/>
        <v>68668.69515118275</v>
      </c>
      <c r="G44" s="4">
        <f t="shared" si="12"/>
        <v>0</v>
      </c>
      <c r="H44" s="4">
        <f t="shared" si="13"/>
        <v>0</v>
      </c>
      <c r="I44" s="4">
        <f t="shared" si="14"/>
        <v>0</v>
      </c>
      <c r="J44" s="4">
        <f t="shared" si="15"/>
        <v>0</v>
      </c>
      <c r="K44" s="4">
        <f t="shared" si="16"/>
        <v>0</v>
      </c>
      <c r="L44" s="4">
        <f t="shared" si="17"/>
        <v>0</v>
      </c>
      <c r="M44" s="4">
        <f t="shared" si="18"/>
        <v>0</v>
      </c>
      <c r="N44" s="4">
        <f t="shared" si="19"/>
        <v>0</v>
      </c>
      <c r="O44" s="4">
        <f t="shared" si="20"/>
        <v>0</v>
      </c>
      <c r="P44" s="4">
        <f t="shared" si="21"/>
        <v>0</v>
      </c>
      <c r="Q44" s="4">
        <f t="shared" si="22"/>
        <v>0</v>
      </c>
      <c r="R44" s="4">
        <f t="shared" si="23"/>
        <v>0</v>
      </c>
      <c r="S44" s="4">
        <f t="shared" si="24"/>
        <v>0</v>
      </c>
      <c r="T44" s="4">
        <f t="shared" si="25"/>
        <v>0</v>
      </c>
      <c r="U44" s="4">
        <f t="shared" si="26"/>
        <v>0</v>
      </c>
      <c r="V44" s="4">
        <f t="shared" si="27"/>
        <v>0</v>
      </c>
      <c r="W44" s="4">
        <f t="shared" si="28"/>
        <v>0</v>
      </c>
      <c r="X44" s="4">
        <f t="shared" si="29"/>
        <v>0</v>
      </c>
      <c r="Y44" s="4">
        <f t="shared" si="30"/>
        <v>0</v>
      </c>
      <c r="Z44" s="4">
        <f t="shared" si="31"/>
        <v>0</v>
      </c>
      <c r="AA44" s="4">
        <f t="shared" si="32"/>
        <v>0</v>
      </c>
      <c r="AB44" s="4">
        <f t="shared" si="33"/>
        <v>0</v>
      </c>
      <c r="AC44" s="4">
        <f t="shared" si="34"/>
        <v>0</v>
      </c>
      <c r="AD44" s="4">
        <f t="shared" si="35"/>
        <v>0</v>
      </c>
      <c r="AE44" s="4">
        <f t="shared" si="36"/>
        <v>0</v>
      </c>
      <c r="AF44" s="4">
        <f t="shared" si="37"/>
        <v>0</v>
      </c>
      <c r="AG44" s="4">
        <f t="shared" si="38"/>
        <v>0</v>
      </c>
      <c r="AH44" s="4">
        <f t="shared" si="39"/>
        <v>0</v>
      </c>
      <c r="AI44" s="4">
        <f t="shared" si="40"/>
        <v>0</v>
      </c>
      <c r="AJ44" s="4">
        <f t="shared" si="41"/>
        <v>0</v>
      </c>
      <c r="AK44" s="4">
        <f t="shared" si="42"/>
        <v>0</v>
      </c>
      <c r="AL44" s="4">
        <f t="shared" si="43"/>
        <v>0</v>
      </c>
      <c r="AM44" s="4">
        <f t="shared" si="44"/>
        <v>0</v>
      </c>
      <c r="AN44" s="4">
        <f t="shared" si="45"/>
        <v>0</v>
      </c>
      <c r="AO44" s="146"/>
      <c r="AP44" s="2"/>
      <c r="AQ44" s="1">
        <v>3</v>
      </c>
      <c r="AR44" s="2">
        <v>0.1</v>
      </c>
      <c r="AS44" s="2">
        <v>0.1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</row>
    <row r="45" spans="2:78" outlineLevel="1">
      <c r="C45" t="s">
        <v>542</v>
      </c>
      <c r="E45" s="133">
        <f t="shared" si="10"/>
        <v>137337.3903023655</v>
      </c>
      <c r="F45" s="4">
        <f t="shared" si="11"/>
        <v>68668.69515118275</v>
      </c>
      <c r="G45" s="4">
        <f t="shared" si="12"/>
        <v>68668.69515118275</v>
      </c>
      <c r="H45" s="4">
        <f t="shared" si="13"/>
        <v>0</v>
      </c>
      <c r="I45" s="4">
        <f t="shared" si="14"/>
        <v>0</v>
      </c>
      <c r="J45" s="4">
        <f t="shared" si="15"/>
        <v>0</v>
      </c>
      <c r="K45" s="4">
        <f t="shared" si="16"/>
        <v>0</v>
      </c>
      <c r="L45" s="4">
        <f t="shared" si="17"/>
        <v>0</v>
      </c>
      <c r="M45" s="4">
        <f t="shared" si="18"/>
        <v>0</v>
      </c>
      <c r="N45" s="4">
        <f t="shared" si="19"/>
        <v>0</v>
      </c>
      <c r="O45" s="4">
        <f t="shared" si="20"/>
        <v>0</v>
      </c>
      <c r="P45" s="4">
        <f t="shared" si="21"/>
        <v>0</v>
      </c>
      <c r="Q45" s="4">
        <f t="shared" si="22"/>
        <v>0</v>
      </c>
      <c r="R45" s="4">
        <f t="shared" si="23"/>
        <v>0</v>
      </c>
      <c r="S45" s="4">
        <f t="shared" si="24"/>
        <v>0</v>
      </c>
      <c r="T45" s="4">
        <f t="shared" si="25"/>
        <v>0</v>
      </c>
      <c r="U45" s="4">
        <f t="shared" si="26"/>
        <v>0</v>
      </c>
      <c r="V45" s="4">
        <f t="shared" si="27"/>
        <v>0</v>
      </c>
      <c r="W45" s="4">
        <f t="shared" si="28"/>
        <v>0</v>
      </c>
      <c r="X45" s="4">
        <f t="shared" si="29"/>
        <v>0</v>
      </c>
      <c r="Y45" s="4">
        <f t="shared" si="30"/>
        <v>0</v>
      </c>
      <c r="Z45" s="4">
        <f t="shared" si="31"/>
        <v>0</v>
      </c>
      <c r="AA45" s="4">
        <f t="shared" si="32"/>
        <v>0</v>
      </c>
      <c r="AB45" s="4">
        <f t="shared" si="33"/>
        <v>0</v>
      </c>
      <c r="AC45" s="4">
        <f t="shared" si="34"/>
        <v>0</v>
      </c>
      <c r="AD45" s="4">
        <f t="shared" si="35"/>
        <v>0</v>
      </c>
      <c r="AE45" s="4">
        <f t="shared" si="36"/>
        <v>0</v>
      </c>
      <c r="AF45" s="4">
        <f t="shared" si="37"/>
        <v>0</v>
      </c>
      <c r="AG45" s="4">
        <f t="shared" si="38"/>
        <v>0</v>
      </c>
      <c r="AH45" s="4">
        <f t="shared" si="39"/>
        <v>0</v>
      </c>
      <c r="AI45" s="4">
        <f t="shared" si="40"/>
        <v>0</v>
      </c>
      <c r="AJ45" s="4">
        <f t="shared" si="41"/>
        <v>0</v>
      </c>
      <c r="AK45" s="4">
        <f t="shared" si="42"/>
        <v>0</v>
      </c>
      <c r="AL45" s="4">
        <f t="shared" si="43"/>
        <v>0</v>
      </c>
      <c r="AM45" s="4">
        <f t="shared" si="44"/>
        <v>0</v>
      </c>
      <c r="AN45" s="4">
        <f t="shared" si="45"/>
        <v>0</v>
      </c>
      <c r="AO45" s="146"/>
      <c r="AP45" s="2"/>
      <c r="AQ45" s="1">
        <v>4</v>
      </c>
      <c r="AR45" s="2">
        <v>0.1</v>
      </c>
      <c r="AS45" s="2">
        <v>0.1</v>
      </c>
      <c r="AT45" s="2">
        <v>0.1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</row>
    <row r="46" spans="2:78" outlineLevel="1">
      <c r="C46" t="s">
        <v>543</v>
      </c>
      <c r="E46" s="133">
        <f t="shared" si="10"/>
        <v>137337.3903023655</v>
      </c>
      <c r="F46" s="4">
        <f t="shared" si="11"/>
        <v>68668.69515118275</v>
      </c>
      <c r="G46" s="4">
        <f t="shared" si="12"/>
        <v>68668.69515118275</v>
      </c>
      <c r="H46" s="4">
        <f t="shared" si="13"/>
        <v>0</v>
      </c>
      <c r="I46" s="4">
        <f t="shared" si="14"/>
        <v>0</v>
      </c>
      <c r="J46" s="4">
        <f t="shared" si="15"/>
        <v>0</v>
      </c>
      <c r="K46" s="4">
        <f t="shared" si="16"/>
        <v>0</v>
      </c>
      <c r="L46" s="4">
        <f t="shared" si="17"/>
        <v>0</v>
      </c>
      <c r="M46" s="4">
        <f t="shared" si="18"/>
        <v>0</v>
      </c>
      <c r="N46" s="4">
        <f t="shared" si="19"/>
        <v>0</v>
      </c>
      <c r="O46" s="4">
        <f t="shared" si="20"/>
        <v>0</v>
      </c>
      <c r="P46" s="4">
        <f t="shared" si="21"/>
        <v>0</v>
      </c>
      <c r="Q46" s="4">
        <f t="shared" si="22"/>
        <v>0</v>
      </c>
      <c r="R46" s="4">
        <f t="shared" si="23"/>
        <v>0</v>
      </c>
      <c r="S46" s="4">
        <f t="shared" si="24"/>
        <v>0</v>
      </c>
      <c r="T46" s="4">
        <f t="shared" si="25"/>
        <v>0</v>
      </c>
      <c r="U46" s="4">
        <f t="shared" si="26"/>
        <v>0</v>
      </c>
      <c r="V46" s="4">
        <f t="shared" si="27"/>
        <v>0</v>
      </c>
      <c r="W46" s="4">
        <f t="shared" si="28"/>
        <v>0</v>
      </c>
      <c r="X46" s="4">
        <f t="shared" si="29"/>
        <v>0</v>
      </c>
      <c r="Y46" s="4">
        <f t="shared" si="30"/>
        <v>0</v>
      </c>
      <c r="Z46" s="4">
        <f t="shared" si="31"/>
        <v>0</v>
      </c>
      <c r="AA46" s="4">
        <f t="shared" si="32"/>
        <v>0</v>
      </c>
      <c r="AB46" s="4">
        <f t="shared" si="33"/>
        <v>0</v>
      </c>
      <c r="AC46" s="4">
        <f t="shared" si="34"/>
        <v>0</v>
      </c>
      <c r="AD46" s="4">
        <f t="shared" si="35"/>
        <v>0</v>
      </c>
      <c r="AE46" s="4">
        <f t="shared" si="36"/>
        <v>0</v>
      </c>
      <c r="AF46" s="4">
        <f t="shared" si="37"/>
        <v>0</v>
      </c>
      <c r="AG46" s="4">
        <f t="shared" si="38"/>
        <v>0</v>
      </c>
      <c r="AH46" s="4">
        <f t="shared" si="39"/>
        <v>0</v>
      </c>
      <c r="AI46" s="4">
        <f t="shared" si="40"/>
        <v>0</v>
      </c>
      <c r="AJ46" s="4">
        <f t="shared" si="41"/>
        <v>0</v>
      </c>
      <c r="AK46" s="4">
        <f t="shared" si="42"/>
        <v>0</v>
      </c>
      <c r="AL46" s="4">
        <f t="shared" si="43"/>
        <v>0</v>
      </c>
      <c r="AM46" s="4">
        <f t="shared" si="44"/>
        <v>0</v>
      </c>
      <c r="AN46" s="4">
        <f t="shared" si="45"/>
        <v>0</v>
      </c>
      <c r="AO46" s="146">
        <v>0</v>
      </c>
      <c r="AP46" s="2"/>
      <c r="AQ46" s="1">
        <v>5</v>
      </c>
      <c r="AR46" s="2">
        <v>0.1</v>
      </c>
      <c r="AS46" s="2">
        <v>0.1</v>
      </c>
      <c r="AT46" s="2">
        <v>0.1</v>
      </c>
      <c r="AU46" s="2">
        <v>0.1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</row>
    <row r="47" spans="2:78" outlineLevel="1">
      <c r="C47" t="s">
        <v>544</v>
      </c>
      <c r="E47" s="133">
        <f t="shared" si="10"/>
        <v>137337.3903023655</v>
      </c>
      <c r="F47" s="4">
        <f t="shared" si="11"/>
        <v>68668.69515118275</v>
      </c>
      <c r="G47" s="4">
        <f t="shared" si="12"/>
        <v>68668.69515118275</v>
      </c>
      <c r="H47" s="4">
        <f t="shared" si="13"/>
        <v>0</v>
      </c>
      <c r="I47" s="4">
        <f t="shared" si="14"/>
        <v>0</v>
      </c>
      <c r="J47" s="4">
        <f t="shared" si="15"/>
        <v>0</v>
      </c>
      <c r="K47" s="4">
        <f t="shared" si="16"/>
        <v>0</v>
      </c>
      <c r="L47" s="4">
        <f t="shared" si="17"/>
        <v>0</v>
      </c>
      <c r="M47" s="4">
        <f t="shared" si="18"/>
        <v>0</v>
      </c>
      <c r="N47" s="4">
        <f t="shared" si="19"/>
        <v>0</v>
      </c>
      <c r="O47" s="4">
        <f t="shared" si="20"/>
        <v>0</v>
      </c>
      <c r="P47" s="4">
        <f t="shared" si="21"/>
        <v>0</v>
      </c>
      <c r="Q47" s="4">
        <f t="shared" si="22"/>
        <v>0</v>
      </c>
      <c r="R47" s="4">
        <f t="shared" si="23"/>
        <v>0</v>
      </c>
      <c r="S47" s="4">
        <f t="shared" si="24"/>
        <v>0</v>
      </c>
      <c r="T47" s="4">
        <f t="shared" si="25"/>
        <v>0</v>
      </c>
      <c r="U47" s="4">
        <f t="shared" si="26"/>
        <v>0</v>
      </c>
      <c r="V47" s="4">
        <f t="shared" si="27"/>
        <v>0</v>
      </c>
      <c r="W47" s="4">
        <f t="shared" si="28"/>
        <v>0</v>
      </c>
      <c r="X47" s="4">
        <f t="shared" si="29"/>
        <v>0</v>
      </c>
      <c r="Y47" s="4">
        <f t="shared" si="30"/>
        <v>0</v>
      </c>
      <c r="Z47" s="4">
        <f t="shared" si="31"/>
        <v>0</v>
      </c>
      <c r="AA47" s="4">
        <f t="shared" si="32"/>
        <v>0</v>
      </c>
      <c r="AB47" s="4">
        <f t="shared" si="33"/>
        <v>0</v>
      </c>
      <c r="AC47" s="4">
        <f t="shared" si="34"/>
        <v>0</v>
      </c>
      <c r="AD47" s="4">
        <f t="shared" si="35"/>
        <v>0</v>
      </c>
      <c r="AE47" s="4">
        <f t="shared" si="36"/>
        <v>0</v>
      </c>
      <c r="AF47" s="4">
        <f t="shared" si="37"/>
        <v>0</v>
      </c>
      <c r="AG47" s="4">
        <f t="shared" si="38"/>
        <v>0</v>
      </c>
      <c r="AH47" s="4">
        <f t="shared" si="39"/>
        <v>0</v>
      </c>
      <c r="AI47" s="4">
        <f t="shared" si="40"/>
        <v>0</v>
      </c>
      <c r="AJ47" s="4">
        <f t="shared" si="41"/>
        <v>0</v>
      </c>
      <c r="AK47" s="4">
        <f t="shared" si="42"/>
        <v>0</v>
      </c>
      <c r="AL47" s="4">
        <f t="shared" si="43"/>
        <v>0</v>
      </c>
      <c r="AM47" s="4">
        <f t="shared" si="44"/>
        <v>0</v>
      </c>
      <c r="AN47" s="4">
        <f t="shared" si="45"/>
        <v>0</v>
      </c>
      <c r="AO47" s="146"/>
      <c r="AP47" s="2"/>
      <c r="AQ47" s="1">
        <v>6</v>
      </c>
      <c r="AR47" s="2">
        <v>0.1</v>
      </c>
      <c r="AS47" s="2">
        <v>0.1</v>
      </c>
      <c r="AT47" s="2">
        <v>0.1</v>
      </c>
      <c r="AU47" s="2">
        <v>0.1</v>
      </c>
      <c r="AV47" s="2">
        <v>0.1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</row>
    <row r="48" spans="2:78" outlineLevel="1">
      <c r="C48" t="s">
        <v>545</v>
      </c>
      <c r="E48" s="133">
        <f t="shared" si="10"/>
        <v>137337.3903023655</v>
      </c>
      <c r="F48" s="4">
        <f t="shared" si="11"/>
        <v>68668.69515118275</v>
      </c>
      <c r="G48" s="4">
        <f t="shared" si="12"/>
        <v>68668.69515118275</v>
      </c>
      <c r="H48" s="4">
        <f t="shared" si="13"/>
        <v>0</v>
      </c>
      <c r="I48" s="4">
        <f t="shared" si="14"/>
        <v>0</v>
      </c>
      <c r="J48" s="4">
        <f t="shared" si="15"/>
        <v>0</v>
      </c>
      <c r="K48" s="4">
        <f t="shared" si="16"/>
        <v>0</v>
      </c>
      <c r="L48" s="4">
        <f t="shared" si="17"/>
        <v>0</v>
      </c>
      <c r="M48" s="4">
        <f t="shared" si="18"/>
        <v>0</v>
      </c>
      <c r="N48" s="4">
        <f t="shared" si="19"/>
        <v>0</v>
      </c>
      <c r="O48" s="4">
        <f t="shared" si="20"/>
        <v>0</v>
      </c>
      <c r="P48" s="4">
        <f t="shared" si="21"/>
        <v>0</v>
      </c>
      <c r="Q48" s="4">
        <f t="shared" si="22"/>
        <v>0</v>
      </c>
      <c r="R48" s="4">
        <f t="shared" si="23"/>
        <v>0</v>
      </c>
      <c r="S48" s="4">
        <f t="shared" si="24"/>
        <v>0</v>
      </c>
      <c r="T48" s="4">
        <f t="shared" si="25"/>
        <v>0</v>
      </c>
      <c r="U48" s="4">
        <f t="shared" si="26"/>
        <v>0</v>
      </c>
      <c r="V48" s="4">
        <f t="shared" si="27"/>
        <v>0</v>
      </c>
      <c r="W48" s="4">
        <f t="shared" si="28"/>
        <v>0</v>
      </c>
      <c r="X48" s="4">
        <f t="shared" si="29"/>
        <v>0</v>
      </c>
      <c r="Y48" s="4">
        <f t="shared" si="30"/>
        <v>0</v>
      </c>
      <c r="Z48" s="4">
        <f t="shared" si="31"/>
        <v>0</v>
      </c>
      <c r="AA48" s="4">
        <f t="shared" si="32"/>
        <v>0</v>
      </c>
      <c r="AB48" s="4">
        <f t="shared" si="33"/>
        <v>0</v>
      </c>
      <c r="AC48" s="4">
        <f t="shared" si="34"/>
        <v>0</v>
      </c>
      <c r="AD48" s="4">
        <f t="shared" si="35"/>
        <v>0</v>
      </c>
      <c r="AE48" s="4">
        <f t="shared" si="36"/>
        <v>0</v>
      </c>
      <c r="AF48" s="4">
        <f t="shared" si="37"/>
        <v>0</v>
      </c>
      <c r="AG48" s="4">
        <f t="shared" si="38"/>
        <v>0</v>
      </c>
      <c r="AH48" s="4">
        <f t="shared" si="39"/>
        <v>0</v>
      </c>
      <c r="AI48" s="4">
        <f t="shared" si="40"/>
        <v>0</v>
      </c>
      <c r="AJ48" s="4">
        <f t="shared" si="41"/>
        <v>0</v>
      </c>
      <c r="AK48" s="4">
        <f t="shared" si="42"/>
        <v>0</v>
      </c>
      <c r="AL48" s="4">
        <f t="shared" si="43"/>
        <v>0</v>
      </c>
      <c r="AM48" s="4">
        <f t="shared" si="44"/>
        <v>0</v>
      </c>
      <c r="AN48" s="4">
        <f t="shared" si="45"/>
        <v>0</v>
      </c>
      <c r="AO48" s="146"/>
      <c r="AP48" s="2"/>
      <c r="AQ48" s="1">
        <v>7</v>
      </c>
      <c r="AR48" s="2">
        <v>0.1</v>
      </c>
      <c r="AS48" s="2">
        <v>0.1</v>
      </c>
      <c r="AT48" s="2">
        <v>0.1</v>
      </c>
      <c r="AU48" s="2">
        <v>0.1</v>
      </c>
      <c r="AV48" s="2">
        <v>0.1</v>
      </c>
      <c r="AW48" s="2">
        <v>0.1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</row>
    <row r="49" spans="3:78" outlineLevel="1">
      <c r="C49" t="s">
        <v>546</v>
      </c>
      <c r="E49" s="133">
        <f t="shared" si="10"/>
        <v>137337.3903023655</v>
      </c>
      <c r="F49" s="4">
        <f t="shared" si="11"/>
        <v>68668.69515118275</v>
      </c>
      <c r="G49" s="4">
        <f t="shared" si="12"/>
        <v>68668.69515118275</v>
      </c>
      <c r="H49" s="4">
        <f t="shared" si="13"/>
        <v>0</v>
      </c>
      <c r="I49" s="4">
        <f t="shared" si="14"/>
        <v>0</v>
      </c>
      <c r="J49" s="4">
        <f t="shared" si="15"/>
        <v>0</v>
      </c>
      <c r="K49" s="4">
        <f t="shared" si="16"/>
        <v>0</v>
      </c>
      <c r="L49" s="4">
        <f t="shared" si="17"/>
        <v>0</v>
      </c>
      <c r="M49" s="4">
        <f t="shared" si="18"/>
        <v>0</v>
      </c>
      <c r="N49" s="4">
        <f t="shared" si="19"/>
        <v>0</v>
      </c>
      <c r="O49" s="4">
        <f t="shared" si="20"/>
        <v>0</v>
      </c>
      <c r="P49" s="4">
        <f t="shared" si="21"/>
        <v>0</v>
      </c>
      <c r="Q49" s="4">
        <f t="shared" si="22"/>
        <v>0</v>
      </c>
      <c r="R49" s="4">
        <f t="shared" si="23"/>
        <v>0</v>
      </c>
      <c r="S49" s="4">
        <f t="shared" si="24"/>
        <v>0</v>
      </c>
      <c r="T49" s="4">
        <f t="shared" si="25"/>
        <v>0</v>
      </c>
      <c r="U49" s="4">
        <f t="shared" si="26"/>
        <v>0</v>
      </c>
      <c r="V49" s="4">
        <f t="shared" si="27"/>
        <v>0</v>
      </c>
      <c r="W49" s="4">
        <f t="shared" si="28"/>
        <v>0</v>
      </c>
      <c r="X49" s="4">
        <f t="shared" si="29"/>
        <v>0</v>
      </c>
      <c r="Y49" s="4">
        <f t="shared" si="30"/>
        <v>0</v>
      </c>
      <c r="Z49" s="4">
        <f t="shared" si="31"/>
        <v>0</v>
      </c>
      <c r="AA49" s="4">
        <f t="shared" si="32"/>
        <v>0</v>
      </c>
      <c r="AB49" s="4">
        <f t="shared" si="33"/>
        <v>0</v>
      </c>
      <c r="AC49" s="4">
        <f t="shared" si="34"/>
        <v>0</v>
      </c>
      <c r="AD49" s="4">
        <f t="shared" si="35"/>
        <v>0</v>
      </c>
      <c r="AE49" s="4">
        <f t="shared" si="36"/>
        <v>0</v>
      </c>
      <c r="AF49" s="4">
        <f t="shared" si="37"/>
        <v>0</v>
      </c>
      <c r="AG49" s="4">
        <f t="shared" si="38"/>
        <v>0</v>
      </c>
      <c r="AH49" s="4">
        <f t="shared" si="39"/>
        <v>0</v>
      </c>
      <c r="AI49" s="4">
        <f t="shared" si="40"/>
        <v>0</v>
      </c>
      <c r="AJ49" s="4">
        <f t="shared" si="41"/>
        <v>0</v>
      </c>
      <c r="AK49" s="4">
        <f t="shared" si="42"/>
        <v>0</v>
      </c>
      <c r="AL49" s="4">
        <f t="shared" si="43"/>
        <v>0</v>
      </c>
      <c r="AM49" s="4">
        <f t="shared" si="44"/>
        <v>0</v>
      </c>
      <c r="AN49" s="4">
        <f t="shared" si="45"/>
        <v>0</v>
      </c>
      <c r="AO49" s="146"/>
      <c r="AP49" s="2"/>
      <c r="AQ49" s="1">
        <v>8</v>
      </c>
      <c r="AR49" s="2">
        <v>0.1</v>
      </c>
      <c r="AS49" s="2">
        <v>0.1</v>
      </c>
      <c r="AT49" s="2">
        <v>0.1</v>
      </c>
      <c r="AU49" s="2">
        <v>0.1</v>
      </c>
      <c r="AV49" s="2">
        <v>0.1</v>
      </c>
      <c r="AW49" s="2">
        <v>0.1</v>
      </c>
      <c r="AX49" s="2">
        <v>0.1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</row>
    <row r="50" spans="3:78" outlineLevel="1">
      <c r="C50" t="s">
        <v>547</v>
      </c>
      <c r="E50" s="133">
        <f t="shared" si="10"/>
        <v>137337.3903023655</v>
      </c>
      <c r="F50" s="4">
        <f t="shared" si="11"/>
        <v>68668.69515118275</v>
      </c>
      <c r="G50" s="4">
        <f t="shared" si="12"/>
        <v>68668.69515118275</v>
      </c>
      <c r="H50" s="4">
        <f t="shared" si="13"/>
        <v>0</v>
      </c>
      <c r="I50" s="4">
        <f t="shared" si="14"/>
        <v>0</v>
      </c>
      <c r="J50" s="4">
        <f t="shared" si="15"/>
        <v>0</v>
      </c>
      <c r="K50" s="4">
        <f t="shared" si="16"/>
        <v>0</v>
      </c>
      <c r="L50" s="4">
        <f t="shared" si="17"/>
        <v>0</v>
      </c>
      <c r="M50" s="4">
        <f t="shared" si="18"/>
        <v>0</v>
      </c>
      <c r="N50" s="4">
        <f t="shared" si="19"/>
        <v>0</v>
      </c>
      <c r="O50" s="4">
        <f t="shared" si="20"/>
        <v>0</v>
      </c>
      <c r="P50" s="4">
        <f t="shared" si="21"/>
        <v>0</v>
      </c>
      <c r="Q50" s="4">
        <f t="shared" si="22"/>
        <v>0</v>
      </c>
      <c r="R50" s="4">
        <f t="shared" si="23"/>
        <v>0</v>
      </c>
      <c r="S50" s="4">
        <f t="shared" si="24"/>
        <v>0</v>
      </c>
      <c r="T50" s="4">
        <f t="shared" si="25"/>
        <v>0</v>
      </c>
      <c r="U50" s="4">
        <f t="shared" si="26"/>
        <v>0</v>
      </c>
      <c r="V50" s="4">
        <f t="shared" si="27"/>
        <v>0</v>
      </c>
      <c r="W50" s="4">
        <f t="shared" si="28"/>
        <v>0</v>
      </c>
      <c r="X50" s="4">
        <f t="shared" si="29"/>
        <v>0</v>
      </c>
      <c r="Y50" s="4">
        <f t="shared" si="30"/>
        <v>0</v>
      </c>
      <c r="Z50" s="4">
        <f t="shared" si="31"/>
        <v>0</v>
      </c>
      <c r="AA50" s="4">
        <f t="shared" si="32"/>
        <v>0</v>
      </c>
      <c r="AB50" s="4">
        <f t="shared" si="33"/>
        <v>0</v>
      </c>
      <c r="AC50" s="4">
        <f t="shared" si="34"/>
        <v>0</v>
      </c>
      <c r="AD50" s="4">
        <f t="shared" si="35"/>
        <v>0</v>
      </c>
      <c r="AE50" s="4">
        <f t="shared" si="36"/>
        <v>0</v>
      </c>
      <c r="AF50" s="4">
        <f t="shared" si="37"/>
        <v>0</v>
      </c>
      <c r="AG50" s="4">
        <f t="shared" si="38"/>
        <v>0</v>
      </c>
      <c r="AH50" s="4">
        <f t="shared" si="39"/>
        <v>0</v>
      </c>
      <c r="AI50" s="4">
        <f t="shared" si="40"/>
        <v>0</v>
      </c>
      <c r="AJ50" s="4">
        <f t="shared" si="41"/>
        <v>0</v>
      </c>
      <c r="AK50" s="4">
        <f t="shared" si="42"/>
        <v>0</v>
      </c>
      <c r="AL50" s="4">
        <f t="shared" si="43"/>
        <v>0</v>
      </c>
      <c r="AM50" s="4">
        <f t="shared" si="44"/>
        <v>0</v>
      </c>
      <c r="AN50" s="4">
        <f t="shared" si="45"/>
        <v>0</v>
      </c>
      <c r="AO50" s="146"/>
      <c r="AP50" s="2"/>
      <c r="AQ50" s="1">
        <v>9</v>
      </c>
      <c r="AR50" s="2">
        <v>0.1</v>
      </c>
      <c r="AS50" s="2">
        <v>0.1</v>
      </c>
      <c r="AT50" s="2">
        <v>0.1</v>
      </c>
      <c r="AU50" s="2">
        <v>0.1</v>
      </c>
      <c r="AV50" s="2">
        <v>0.1</v>
      </c>
      <c r="AW50" s="2">
        <v>0.1</v>
      </c>
      <c r="AX50" s="2">
        <v>0.1</v>
      </c>
      <c r="AY50" s="2">
        <v>0.1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</row>
    <row r="51" spans="3:78" outlineLevel="1">
      <c r="C51" t="s">
        <v>548</v>
      </c>
      <c r="E51" s="133">
        <f t="shared" si="10"/>
        <v>137337.3903023655</v>
      </c>
      <c r="F51" s="4">
        <f t="shared" si="11"/>
        <v>68668.69515118275</v>
      </c>
      <c r="G51" s="4">
        <f t="shared" si="12"/>
        <v>68668.69515118275</v>
      </c>
      <c r="H51" s="4">
        <f t="shared" si="13"/>
        <v>0</v>
      </c>
      <c r="I51" s="4">
        <f t="shared" si="14"/>
        <v>0</v>
      </c>
      <c r="J51" s="4">
        <f t="shared" si="15"/>
        <v>0</v>
      </c>
      <c r="K51" s="4">
        <f t="shared" si="16"/>
        <v>0</v>
      </c>
      <c r="L51" s="4">
        <f t="shared" si="17"/>
        <v>0</v>
      </c>
      <c r="M51" s="4">
        <f t="shared" si="18"/>
        <v>0</v>
      </c>
      <c r="N51" s="4">
        <f t="shared" si="19"/>
        <v>0</v>
      </c>
      <c r="O51" s="4">
        <f t="shared" si="20"/>
        <v>0</v>
      </c>
      <c r="P51" s="4">
        <f t="shared" si="21"/>
        <v>0</v>
      </c>
      <c r="Q51" s="4">
        <f t="shared" si="22"/>
        <v>0</v>
      </c>
      <c r="R51" s="4">
        <f t="shared" si="23"/>
        <v>0</v>
      </c>
      <c r="S51" s="4">
        <f t="shared" si="24"/>
        <v>0</v>
      </c>
      <c r="T51" s="4">
        <f t="shared" si="25"/>
        <v>0</v>
      </c>
      <c r="U51" s="4">
        <f t="shared" si="26"/>
        <v>0</v>
      </c>
      <c r="V51" s="4">
        <f t="shared" si="27"/>
        <v>0</v>
      </c>
      <c r="W51" s="4">
        <f t="shared" si="28"/>
        <v>0</v>
      </c>
      <c r="X51" s="4">
        <f t="shared" si="29"/>
        <v>0</v>
      </c>
      <c r="Y51" s="4">
        <f t="shared" si="30"/>
        <v>0</v>
      </c>
      <c r="Z51" s="4">
        <f t="shared" si="31"/>
        <v>0</v>
      </c>
      <c r="AA51" s="4">
        <f t="shared" si="32"/>
        <v>0</v>
      </c>
      <c r="AB51" s="4">
        <f t="shared" si="33"/>
        <v>0</v>
      </c>
      <c r="AC51" s="4">
        <f t="shared" si="34"/>
        <v>0</v>
      </c>
      <c r="AD51" s="4">
        <f t="shared" si="35"/>
        <v>0</v>
      </c>
      <c r="AE51" s="4">
        <f t="shared" si="36"/>
        <v>0</v>
      </c>
      <c r="AF51" s="4">
        <f t="shared" si="37"/>
        <v>0</v>
      </c>
      <c r="AG51" s="4">
        <f t="shared" si="38"/>
        <v>0</v>
      </c>
      <c r="AH51" s="4">
        <f t="shared" si="39"/>
        <v>0</v>
      </c>
      <c r="AI51" s="4">
        <f t="shared" si="40"/>
        <v>0</v>
      </c>
      <c r="AJ51" s="4">
        <f t="shared" si="41"/>
        <v>0</v>
      </c>
      <c r="AK51" s="4">
        <f t="shared" si="42"/>
        <v>0</v>
      </c>
      <c r="AL51" s="4">
        <f t="shared" si="43"/>
        <v>0</v>
      </c>
      <c r="AM51" s="4">
        <f t="shared" si="44"/>
        <v>0</v>
      </c>
      <c r="AN51" s="4">
        <f t="shared" si="45"/>
        <v>0</v>
      </c>
      <c r="AO51" s="146"/>
      <c r="AP51" s="2"/>
      <c r="AQ51" s="1">
        <v>10</v>
      </c>
      <c r="AR51" s="2">
        <v>0.1</v>
      </c>
      <c r="AS51" s="2">
        <v>0.1</v>
      </c>
      <c r="AT51" s="2">
        <v>0.1</v>
      </c>
      <c r="AU51" s="2">
        <v>0.1</v>
      </c>
      <c r="AV51" s="2">
        <v>0.1</v>
      </c>
      <c r="AW51" s="2">
        <v>0.1</v>
      </c>
      <c r="AX51" s="2">
        <v>0.1</v>
      </c>
      <c r="AY51" s="2">
        <v>0.1</v>
      </c>
      <c r="AZ51" s="2">
        <v>0.1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</row>
    <row r="52" spans="3:78" outlineLevel="1">
      <c r="C52" t="s">
        <v>549</v>
      </c>
      <c r="E52" s="133">
        <f t="shared" si="10"/>
        <v>137337.3903023655</v>
      </c>
      <c r="F52" s="4">
        <f t="shared" si="11"/>
        <v>68668.69515118275</v>
      </c>
      <c r="G52" s="4">
        <f t="shared" si="12"/>
        <v>68668.69515118275</v>
      </c>
      <c r="H52" s="4">
        <f t="shared" si="13"/>
        <v>0</v>
      </c>
      <c r="I52" s="4">
        <f t="shared" si="14"/>
        <v>0</v>
      </c>
      <c r="J52" s="4">
        <f t="shared" si="15"/>
        <v>0</v>
      </c>
      <c r="K52" s="4">
        <f t="shared" si="16"/>
        <v>0</v>
      </c>
      <c r="L52" s="4">
        <f t="shared" si="17"/>
        <v>0</v>
      </c>
      <c r="M52" s="4">
        <f t="shared" si="18"/>
        <v>0</v>
      </c>
      <c r="N52" s="4">
        <f t="shared" si="19"/>
        <v>0</v>
      </c>
      <c r="O52" s="4">
        <f t="shared" si="20"/>
        <v>0</v>
      </c>
      <c r="P52" s="4">
        <f t="shared" si="21"/>
        <v>0</v>
      </c>
      <c r="Q52" s="4">
        <f t="shared" si="22"/>
        <v>0</v>
      </c>
      <c r="R52" s="4">
        <f t="shared" si="23"/>
        <v>0</v>
      </c>
      <c r="S52" s="4">
        <f t="shared" si="24"/>
        <v>0</v>
      </c>
      <c r="T52" s="4">
        <f t="shared" si="25"/>
        <v>0</v>
      </c>
      <c r="U52" s="4">
        <f t="shared" si="26"/>
        <v>0</v>
      </c>
      <c r="V52" s="4">
        <f t="shared" si="27"/>
        <v>0</v>
      </c>
      <c r="W52" s="4">
        <f t="shared" si="28"/>
        <v>0</v>
      </c>
      <c r="X52" s="4">
        <f t="shared" si="29"/>
        <v>0</v>
      </c>
      <c r="Y52" s="4">
        <f t="shared" si="30"/>
        <v>0</v>
      </c>
      <c r="Z52" s="4">
        <f t="shared" si="31"/>
        <v>0</v>
      </c>
      <c r="AA52" s="4">
        <f t="shared" si="32"/>
        <v>0</v>
      </c>
      <c r="AB52" s="4">
        <f t="shared" si="33"/>
        <v>0</v>
      </c>
      <c r="AC52" s="4">
        <f t="shared" si="34"/>
        <v>0</v>
      </c>
      <c r="AD52" s="4">
        <f t="shared" si="35"/>
        <v>0</v>
      </c>
      <c r="AE52" s="4">
        <f t="shared" si="36"/>
        <v>0</v>
      </c>
      <c r="AF52" s="4">
        <f t="shared" si="37"/>
        <v>0</v>
      </c>
      <c r="AG52" s="4">
        <f t="shared" si="38"/>
        <v>0</v>
      </c>
      <c r="AH52" s="4">
        <f t="shared" si="39"/>
        <v>0</v>
      </c>
      <c r="AI52" s="4">
        <f t="shared" si="40"/>
        <v>0</v>
      </c>
      <c r="AJ52" s="4">
        <f t="shared" si="41"/>
        <v>0</v>
      </c>
      <c r="AK52" s="4">
        <f t="shared" si="42"/>
        <v>0</v>
      </c>
      <c r="AL52" s="4">
        <f t="shared" si="43"/>
        <v>0</v>
      </c>
      <c r="AM52" s="4">
        <f t="shared" si="44"/>
        <v>0</v>
      </c>
      <c r="AN52" s="4">
        <f t="shared" si="45"/>
        <v>0</v>
      </c>
      <c r="AO52" s="146"/>
      <c r="AP52" s="2"/>
      <c r="AQ52" s="1">
        <v>11</v>
      </c>
      <c r="AR52" s="2">
        <v>0.1</v>
      </c>
      <c r="AS52" s="2">
        <v>0.1</v>
      </c>
      <c r="AT52" s="2">
        <v>0.1</v>
      </c>
      <c r="AU52" s="2">
        <v>0.1</v>
      </c>
      <c r="AV52" s="2">
        <v>0.1</v>
      </c>
      <c r="AW52" s="2">
        <v>0.1</v>
      </c>
      <c r="AX52" s="2">
        <v>0.1</v>
      </c>
      <c r="AY52" s="2">
        <v>0.1</v>
      </c>
      <c r="AZ52" s="2">
        <v>0.1</v>
      </c>
      <c r="BA52" s="2">
        <v>0.1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</row>
    <row r="53" spans="3:78" outlineLevel="1">
      <c r="C53" t="s">
        <v>550</v>
      </c>
      <c r="E53" s="133">
        <f t="shared" si="10"/>
        <v>137337.3903023655</v>
      </c>
      <c r="F53" s="4">
        <f t="shared" si="11"/>
        <v>68668.69515118275</v>
      </c>
      <c r="G53" s="4">
        <f t="shared" si="12"/>
        <v>68668.69515118275</v>
      </c>
      <c r="H53" s="4">
        <f t="shared" si="13"/>
        <v>0</v>
      </c>
      <c r="I53" s="4">
        <f t="shared" si="14"/>
        <v>0</v>
      </c>
      <c r="J53" s="4">
        <f t="shared" si="15"/>
        <v>0</v>
      </c>
      <c r="K53" s="4">
        <f t="shared" si="16"/>
        <v>0</v>
      </c>
      <c r="L53" s="4">
        <f t="shared" si="17"/>
        <v>0</v>
      </c>
      <c r="M53" s="4">
        <f t="shared" si="18"/>
        <v>0</v>
      </c>
      <c r="N53" s="4">
        <f t="shared" si="19"/>
        <v>0</v>
      </c>
      <c r="O53" s="4">
        <f t="shared" si="20"/>
        <v>0</v>
      </c>
      <c r="P53" s="4">
        <f t="shared" si="21"/>
        <v>0</v>
      </c>
      <c r="Q53" s="4">
        <f t="shared" si="22"/>
        <v>0</v>
      </c>
      <c r="R53" s="4">
        <f t="shared" si="23"/>
        <v>0</v>
      </c>
      <c r="S53" s="4">
        <f t="shared" si="24"/>
        <v>0</v>
      </c>
      <c r="T53" s="4">
        <f t="shared" si="25"/>
        <v>0</v>
      </c>
      <c r="U53" s="4">
        <f t="shared" si="26"/>
        <v>0</v>
      </c>
      <c r="V53" s="4">
        <f t="shared" si="27"/>
        <v>0</v>
      </c>
      <c r="W53" s="4">
        <f t="shared" si="28"/>
        <v>0</v>
      </c>
      <c r="X53" s="4">
        <f t="shared" si="29"/>
        <v>0</v>
      </c>
      <c r="Y53" s="4">
        <f t="shared" si="30"/>
        <v>0</v>
      </c>
      <c r="Z53" s="4">
        <f t="shared" si="31"/>
        <v>0</v>
      </c>
      <c r="AA53" s="4">
        <f t="shared" si="32"/>
        <v>0</v>
      </c>
      <c r="AB53" s="4">
        <f t="shared" si="33"/>
        <v>0</v>
      </c>
      <c r="AC53" s="4">
        <f t="shared" si="34"/>
        <v>0</v>
      </c>
      <c r="AD53" s="4">
        <f t="shared" si="35"/>
        <v>0</v>
      </c>
      <c r="AE53" s="4">
        <f t="shared" si="36"/>
        <v>0</v>
      </c>
      <c r="AF53" s="4">
        <f t="shared" si="37"/>
        <v>0</v>
      </c>
      <c r="AG53" s="4">
        <f t="shared" si="38"/>
        <v>0</v>
      </c>
      <c r="AH53" s="4">
        <f t="shared" si="39"/>
        <v>0</v>
      </c>
      <c r="AI53" s="4">
        <f t="shared" si="40"/>
        <v>0</v>
      </c>
      <c r="AJ53" s="4">
        <f t="shared" si="41"/>
        <v>0</v>
      </c>
      <c r="AK53" s="4">
        <f t="shared" si="42"/>
        <v>0</v>
      </c>
      <c r="AL53" s="4">
        <f t="shared" si="43"/>
        <v>0</v>
      </c>
      <c r="AM53" s="4">
        <f t="shared" si="44"/>
        <v>0</v>
      </c>
      <c r="AN53" s="4">
        <f t="shared" si="45"/>
        <v>0</v>
      </c>
      <c r="AO53" s="146"/>
      <c r="AQ53" s="1">
        <v>12</v>
      </c>
      <c r="AR53" s="2">
        <v>0</v>
      </c>
      <c r="AS53" s="2">
        <v>0.1</v>
      </c>
      <c r="AT53" s="2">
        <v>0.1</v>
      </c>
      <c r="AU53" s="2">
        <v>0.1</v>
      </c>
      <c r="AV53" s="2">
        <v>0.1</v>
      </c>
      <c r="AW53" s="2">
        <v>0.1</v>
      </c>
      <c r="AX53" s="2">
        <v>0.1</v>
      </c>
      <c r="AY53" s="2">
        <v>0.1</v>
      </c>
      <c r="AZ53" s="2">
        <v>0.1</v>
      </c>
      <c r="BA53" s="2">
        <v>0.1</v>
      </c>
      <c r="BB53" s="2">
        <v>0.1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</row>
    <row r="54" spans="3:78" outlineLevel="1">
      <c r="C54" t="s">
        <v>551</v>
      </c>
      <c r="E54" s="133">
        <f>SUM(F54:AN54)</f>
        <v>68668.69515118275</v>
      </c>
      <c r="F54" s="4">
        <f t="shared" si="11"/>
        <v>0</v>
      </c>
      <c r="G54" s="4">
        <f t="shared" si="12"/>
        <v>68668.69515118275</v>
      </c>
      <c r="H54" s="4">
        <f t="shared" si="13"/>
        <v>0</v>
      </c>
      <c r="I54" s="4">
        <f t="shared" si="14"/>
        <v>0</v>
      </c>
      <c r="J54" s="4">
        <f t="shared" si="15"/>
        <v>0</v>
      </c>
      <c r="K54" s="4">
        <f t="shared" si="16"/>
        <v>0</v>
      </c>
      <c r="L54" s="4">
        <f t="shared" si="17"/>
        <v>0</v>
      </c>
      <c r="M54" s="4">
        <f t="shared" si="18"/>
        <v>0</v>
      </c>
      <c r="N54" s="4">
        <f t="shared" si="19"/>
        <v>0</v>
      </c>
      <c r="O54" s="4">
        <f t="shared" si="20"/>
        <v>0</v>
      </c>
      <c r="P54" s="4">
        <f t="shared" si="21"/>
        <v>0</v>
      </c>
      <c r="Q54" s="4">
        <f t="shared" si="22"/>
        <v>0</v>
      </c>
      <c r="R54" s="4">
        <f t="shared" si="23"/>
        <v>0</v>
      </c>
      <c r="S54" s="4">
        <f t="shared" si="24"/>
        <v>0</v>
      </c>
      <c r="T54" s="4">
        <f t="shared" si="25"/>
        <v>0</v>
      </c>
      <c r="U54" s="4">
        <f t="shared" si="26"/>
        <v>0</v>
      </c>
      <c r="V54" s="4">
        <f t="shared" si="27"/>
        <v>0</v>
      </c>
      <c r="W54" s="4">
        <f t="shared" si="28"/>
        <v>0</v>
      </c>
      <c r="X54" s="4">
        <f t="shared" si="29"/>
        <v>0</v>
      </c>
      <c r="Y54" s="4">
        <f t="shared" si="30"/>
        <v>0</v>
      </c>
      <c r="Z54" s="4">
        <f t="shared" si="31"/>
        <v>0</v>
      </c>
      <c r="AA54" s="4">
        <f t="shared" si="32"/>
        <v>0</v>
      </c>
      <c r="AB54" s="4">
        <f t="shared" si="33"/>
        <v>0</v>
      </c>
      <c r="AC54" s="4">
        <f t="shared" si="34"/>
        <v>0</v>
      </c>
      <c r="AD54" s="4">
        <f t="shared" si="35"/>
        <v>0</v>
      </c>
      <c r="AE54" s="4">
        <f t="shared" si="36"/>
        <v>0</v>
      </c>
      <c r="AF54" s="4">
        <f t="shared" si="37"/>
        <v>0</v>
      </c>
      <c r="AG54" s="4">
        <f t="shared" si="38"/>
        <v>0</v>
      </c>
      <c r="AH54" s="4">
        <f t="shared" si="39"/>
        <v>0</v>
      </c>
      <c r="AI54" s="4">
        <f t="shared" si="40"/>
        <v>0</v>
      </c>
      <c r="AJ54" s="4">
        <f t="shared" si="41"/>
        <v>0</v>
      </c>
      <c r="AK54" s="4">
        <f t="shared" si="42"/>
        <v>0</v>
      </c>
      <c r="AL54" s="4">
        <f t="shared" si="43"/>
        <v>0</v>
      </c>
      <c r="AM54" s="4">
        <f t="shared" si="44"/>
        <v>0</v>
      </c>
      <c r="AN54" s="4">
        <f t="shared" si="45"/>
        <v>0</v>
      </c>
      <c r="AO54" s="146"/>
      <c r="AQ54" s="1">
        <v>13</v>
      </c>
      <c r="AR54" s="2">
        <v>0</v>
      </c>
      <c r="AS54" s="2">
        <v>0</v>
      </c>
      <c r="AT54" s="2">
        <v>0.1</v>
      </c>
      <c r="AU54" s="2">
        <v>0.1</v>
      </c>
      <c r="AV54" s="2">
        <v>0.1</v>
      </c>
      <c r="AW54" s="2">
        <v>0.1</v>
      </c>
      <c r="AX54" s="2">
        <v>0.1</v>
      </c>
      <c r="AY54" s="2">
        <v>0.1</v>
      </c>
      <c r="AZ54" s="2">
        <v>0.1</v>
      </c>
      <c r="BA54" s="2">
        <v>0.1</v>
      </c>
      <c r="BB54" s="2">
        <v>0.1</v>
      </c>
      <c r="BC54" s="2">
        <v>0.1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</row>
    <row r="55" spans="3:78" outlineLevel="1">
      <c r="C55" t="s">
        <v>552</v>
      </c>
      <c r="E55" s="133">
        <f t="shared" si="10"/>
        <v>0</v>
      </c>
      <c r="F55" s="4">
        <f t="shared" si="11"/>
        <v>0</v>
      </c>
      <c r="G55" s="4">
        <f t="shared" si="12"/>
        <v>0</v>
      </c>
      <c r="H55" s="4">
        <f t="shared" si="13"/>
        <v>0</v>
      </c>
      <c r="I55" s="4">
        <f t="shared" si="14"/>
        <v>0</v>
      </c>
      <c r="J55" s="4">
        <f t="shared" si="15"/>
        <v>0</v>
      </c>
      <c r="K55" s="4">
        <f t="shared" si="16"/>
        <v>0</v>
      </c>
      <c r="L55" s="4">
        <f t="shared" si="17"/>
        <v>0</v>
      </c>
      <c r="M55" s="4">
        <f t="shared" si="18"/>
        <v>0</v>
      </c>
      <c r="N55" s="4">
        <f t="shared" si="19"/>
        <v>0</v>
      </c>
      <c r="O55" s="4">
        <f t="shared" si="20"/>
        <v>0</v>
      </c>
      <c r="P55" s="4">
        <f t="shared" si="21"/>
        <v>0</v>
      </c>
      <c r="Q55" s="4">
        <f t="shared" si="22"/>
        <v>0</v>
      </c>
      <c r="R55" s="4">
        <f t="shared" si="23"/>
        <v>0</v>
      </c>
      <c r="S55" s="4">
        <f t="shared" si="24"/>
        <v>0</v>
      </c>
      <c r="T55" s="4">
        <f t="shared" si="25"/>
        <v>0</v>
      </c>
      <c r="U55" s="4">
        <f t="shared" si="26"/>
        <v>0</v>
      </c>
      <c r="V55" s="4">
        <f t="shared" si="27"/>
        <v>0</v>
      </c>
      <c r="W55" s="4">
        <f t="shared" si="28"/>
        <v>0</v>
      </c>
      <c r="X55" s="4">
        <f t="shared" si="29"/>
        <v>0</v>
      </c>
      <c r="Y55" s="4">
        <f t="shared" si="30"/>
        <v>0</v>
      </c>
      <c r="Z55" s="4">
        <f t="shared" si="31"/>
        <v>0</v>
      </c>
      <c r="AA55" s="4">
        <f t="shared" si="32"/>
        <v>0</v>
      </c>
      <c r="AB55" s="4">
        <f t="shared" si="33"/>
        <v>0</v>
      </c>
      <c r="AC55" s="4">
        <f t="shared" si="34"/>
        <v>0</v>
      </c>
      <c r="AD55" s="4">
        <f t="shared" si="35"/>
        <v>0</v>
      </c>
      <c r="AE55" s="4">
        <f t="shared" si="36"/>
        <v>0</v>
      </c>
      <c r="AF55" s="4">
        <f t="shared" si="37"/>
        <v>0</v>
      </c>
      <c r="AG55" s="4">
        <f t="shared" si="38"/>
        <v>0</v>
      </c>
      <c r="AH55" s="4">
        <f t="shared" si="39"/>
        <v>0</v>
      </c>
      <c r="AI55" s="4">
        <f t="shared" si="40"/>
        <v>0</v>
      </c>
      <c r="AJ55" s="4">
        <f t="shared" si="41"/>
        <v>0</v>
      </c>
      <c r="AK55" s="4">
        <f t="shared" si="42"/>
        <v>0</v>
      </c>
      <c r="AL55" s="4">
        <f t="shared" si="43"/>
        <v>0</v>
      </c>
      <c r="AM55" s="4">
        <f t="shared" si="44"/>
        <v>0</v>
      </c>
      <c r="AN55" s="4">
        <f t="shared" si="45"/>
        <v>0</v>
      </c>
      <c r="AO55" s="146"/>
      <c r="AQ55" s="1">
        <v>14</v>
      </c>
      <c r="AR55" s="2">
        <v>0</v>
      </c>
      <c r="AS55" s="2">
        <v>0</v>
      </c>
      <c r="AT55" s="2">
        <v>0</v>
      </c>
      <c r="AU55" s="2">
        <v>0.1</v>
      </c>
      <c r="AV55" s="2">
        <v>0.1</v>
      </c>
      <c r="AW55" s="2">
        <v>0.1</v>
      </c>
      <c r="AX55" s="2">
        <v>0.1</v>
      </c>
      <c r="AY55" s="2">
        <v>0.1</v>
      </c>
      <c r="AZ55" s="2">
        <v>0.1</v>
      </c>
      <c r="BA55" s="2">
        <v>0.1</v>
      </c>
      <c r="BB55" s="2">
        <v>0.1</v>
      </c>
      <c r="BC55" s="2">
        <v>0.1</v>
      </c>
      <c r="BD55" s="2">
        <v>0.1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</row>
    <row r="56" spans="3:78" outlineLevel="1">
      <c r="C56" t="s">
        <v>553</v>
      </c>
      <c r="E56" s="133">
        <f t="shared" si="10"/>
        <v>0</v>
      </c>
      <c r="F56" s="4">
        <f t="shared" si="11"/>
        <v>0</v>
      </c>
      <c r="G56" s="4">
        <f t="shared" si="12"/>
        <v>0</v>
      </c>
      <c r="H56" s="4">
        <f t="shared" si="13"/>
        <v>0</v>
      </c>
      <c r="I56" s="4">
        <f t="shared" si="14"/>
        <v>0</v>
      </c>
      <c r="J56" s="4">
        <f t="shared" si="15"/>
        <v>0</v>
      </c>
      <c r="K56" s="4">
        <f t="shared" si="16"/>
        <v>0</v>
      </c>
      <c r="L56" s="4">
        <f t="shared" si="17"/>
        <v>0</v>
      </c>
      <c r="M56" s="4">
        <f t="shared" si="18"/>
        <v>0</v>
      </c>
      <c r="N56" s="4">
        <f t="shared" si="19"/>
        <v>0</v>
      </c>
      <c r="O56" s="4">
        <f t="shared" si="20"/>
        <v>0</v>
      </c>
      <c r="P56" s="4">
        <f t="shared" si="21"/>
        <v>0</v>
      </c>
      <c r="Q56" s="4">
        <f t="shared" si="22"/>
        <v>0</v>
      </c>
      <c r="R56" s="4">
        <f t="shared" si="23"/>
        <v>0</v>
      </c>
      <c r="S56" s="4">
        <f t="shared" si="24"/>
        <v>0</v>
      </c>
      <c r="T56" s="4">
        <f t="shared" si="25"/>
        <v>0</v>
      </c>
      <c r="U56" s="4">
        <f t="shared" si="26"/>
        <v>0</v>
      </c>
      <c r="V56" s="4">
        <f t="shared" si="27"/>
        <v>0</v>
      </c>
      <c r="W56" s="4">
        <f t="shared" si="28"/>
        <v>0</v>
      </c>
      <c r="X56" s="4">
        <f t="shared" si="29"/>
        <v>0</v>
      </c>
      <c r="Y56" s="4">
        <f t="shared" si="30"/>
        <v>0</v>
      </c>
      <c r="Z56" s="4">
        <f t="shared" si="31"/>
        <v>0</v>
      </c>
      <c r="AA56" s="4">
        <f t="shared" si="32"/>
        <v>0</v>
      </c>
      <c r="AB56" s="4">
        <f t="shared" si="33"/>
        <v>0</v>
      </c>
      <c r="AC56" s="4">
        <f t="shared" si="34"/>
        <v>0</v>
      </c>
      <c r="AD56" s="4">
        <f t="shared" si="35"/>
        <v>0</v>
      </c>
      <c r="AE56" s="4">
        <f t="shared" si="36"/>
        <v>0</v>
      </c>
      <c r="AF56" s="4">
        <f t="shared" si="37"/>
        <v>0</v>
      </c>
      <c r="AG56" s="4">
        <f t="shared" si="38"/>
        <v>0</v>
      </c>
      <c r="AH56" s="4">
        <f t="shared" si="39"/>
        <v>0</v>
      </c>
      <c r="AI56" s="4">
        <f t="shared" si="40"/>
        <v>0</v>
      </c>
      <c r="AJ56" s="4">
        <f t="shared" si="41"/>
        <v>0</v>
      </c>
      <c r="AK56" s="4">
        <f t="shared" si="42"/>
        <v>0</v>
      </c>
      <c r="AL56" s="4">
        <f t="shared" si="43"/>
        <v>0</v>
      </c>
      <c r="AM56" s="4">
        <f t="shared" si="44"/>
        <v>0</v>
      </c>
      <c r="AN56" s="4">
        <f t="shared" si="45"/>
        <v>0</v>
      </c>
      <c r="AO56" s="146"/>
      <c r="AQ56" s="1">
        <v>15</v>
      </c>
      <c r="AR56" s="2">
        <v>0</v>
      </c>
      <c r="AS56" s="2">
        <v>0</v>
      </c>
      <c r="AT56" s="2">
        <v>0</v>
      </c>
      <c r="AU56" s="2">
        <v>0</v>
      </c>
      <c r="AV56" s="2">
        <v>0.1</v>
      </c>
      <c r="AW56" s="2">
        <v>0.1</v>
      </c>
      <c r="AX56" s="2">
        <v>0.1</v>
      </c>
      <c r="AY56" s="2">
        <v>0.1</v>
      </c>
      <c r="AZ56" s="2">
        <v>0.1</v>
      </c>
      <c r="BA56" s="2">
        <v>0.1</v>
      </c>
      <c r="BB56" s="2">
        <v>0.1</v>
      </c>
      <c r="BC56" s="2">
        <v>0.1</v>
      </c>
      <c r="BD56" s="2">
        <v>0.1</v>
      </c>
      <c r="BE56" s="2">
        <v>0.1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</row>
    <row r="57" spans="3:78" outlineLevel="1">
      <c r="C57" t="s">
        <v>554</v>
      </c>
      <c r="E57" s="133">
        <f t="shared" si="10"/>
        <v>0</v>
      </c>
      <c r="F57" s="4">
        <f t="shared" si="11"/>
        <v>0</v>
      </c>
      <c r="G57" s="4">
        <f t="shared" si="12"/>
        <v>0</v>
      </c>
      <c r="H57" s="4">
        <f t="shared" si="13"/>
        <v>0</v>
      </c>
      <c r="I57" s="4">
        <f t="shared" si="14"/>
        <v>0</v>
      </c>
      <c r="J57" s="4">
        <f t="shared" si="15"/>
        <v>0</v>
      </c>
      <c r="K57" s="4">
        <f t="shared" si="16"/>
        <v>0</v>
      </c>
      <c r="L57" s="4">
        <f t="shared" si="17"/>
        <v>0</v>
      </c>
      <c r="M57" s="4">
        <f t="shared" si="18"/>
        <v>0</v>
      </c>
      <c r="N57" s="4">
        <f t="shared" si="19"/>
        <v>0</v>
      </c>
      <c r="O57" s="4">
        <f t="shared" si="20"/>
        <v>0</v>
      </c>
      <c r="P57" s="4">
        <f t="shared" si="21"/>
        <v>0</v>
      </c>
      <c r="Q57" s="4">
        <f t="shared" si="22"/>
        <v>0</v>
      </c>
      <c r="R57" s="4">
        <f t="shared" si="23"/>
        <v>0</v>
      </c>
      <c r="S57" s="4">
        <f t="shared" si="24"/>
        <v>0</v>
      </c>
      <c r="T57" s="4">
        <f t="shared" si="25"/>
        <v>0</v>
      </c>
      <c r="U57" s="4">
        <f t="shared" si="26"/>
        <v>0</v>
      </c>
      <c r="V57" s="4">
        <f t="shared" si="27"/>
        <v>0</v>
      </c>
      <c r="W57" s="4">
        <f t="shared" si="28"/>
        <v>0</v>
      </c>
      <c r="X57" s="4">
        <f t="shared" si="29"/>
        <v>0</v>
      </c>
      <c r="Y57" s="4">
        <f t="shared" si="30"/>
        <v>0</v>
      </c>
      <c r="Z57" s="4">
        <f t="shared" si="31"/>
        <v>0</v>
      </c>
      <c r="AA57" s="4">
        <f t="shared" si="32"/>
        <v>0</v>
      </c>
      <c r="AB57" s="4">
        <f t="shared" si="33"/>
        <v>0</v>
      </c>
      <c r="AC57" s="4">
        <f t="shared" si="34"/>
        <v>0</v>
      </c>
      <c r="AD57" s="4">
        <f t="shared" si="35"/>
        <v>0</v>
      </c>
      <c r="AE57" s="4">
        <f t="shared" si="36"/>
        <v>0</v>
      </c>
      <c r="AF57" s="4">
        <f t="shared" si="37"/>
        <v>0</v>
      </c>
      <c r="AG57" s="4">
        <f t="shared" si="38"/>
        <v>0</v>
      </c>
      <c r="AH57" s="4">
        <f t="shared" si="39"/>
        <v>0</v>
      </c>
      <c r="AI57" s="4">
        <f t="shared" si="40"/>
        <v>0</v>
      </c>
      <c r="AJ57" s="4">
        <f t="shared" si="41"/>
        <v>0</v>
      </c>
      <c r="AK57" s="4">
        <f t="shared" si="42"/>
        <v>0</v>
      </c>
      <c r="AL57" s="4">
        <f t="shared" si="43"/>
        <v>0</v>
      </c>
      <c r="AM57" s="4">
        <f t="shared" si="44"/>
        <v>0</v>
      </c>
      <c r="AN57" s="4">
        <f t="shared" si="45"/>
        <v>0</v>
      </c>
      <c r="AO57" s="146"/>
      <c r="AQ57" s="1">
        <v>16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0.1</v>
      </c>
      <c r="AX57" s="2">
        <v>0.1</v>
      </c>
      <c r="AY57" s="2">
        <v>0.1</v>
      </c>
      <c r="AZ57" s="2">
        <v>0.1</v>
      </c>
      <c r="BA57" s="2">
        <v>0.1</v>
      </c>
      <c r="BB57" s="2">
        <v>0.1</v>
      </c>
      <c r="BC57" s="2">
        <v>0.1</v>
      </c>
      <c r="BD57" s="2">
        <v>0.1</v>
      </c>
      <c r="BE57" s="2">
        <v>0.1</v>
      </c>
      <c r="BF57" s="2">
        <v>0.1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</row>
    <row r="58" spans="3:78" outlineLevel="1">
      <c r="C58" t="s">
        <v>555</v>
      </c>
      <c r="E58" s="133">
        <f t="shared" si="10"/>
        <v>0</v>
      </c>
      <c r="F58" s="4">
        <f t="shared" si="11"/>
        <v>0</v>
      </c>
      <c r="G58" s="4">
        <f t="shared" si="12"/>
        <v>0</v>
      </c>
      <c r="H58" s="4">
        <f t="shared" si="13"/>
        <v>0</v>
      </c>
      <c r="I58" s="4">
        <f t="shared" si="14"/>
        <v>0</v>
      </c>
      <c r="J58" s="4">
        <f t="shared" si="15"/>
        <v>0</v>
      </c>
      <c r="K58" s="4">
        <f t="shared" si="16"/>
        <v>0</v>
      </c>
      <c r="L58" s="4">
        <f t="shared" si="17"/>
        <v>0</v>
      </c>
      <c r="M58" s="4">
        <f t="shared" si="18"/>
        <v>0</v>
      </c>
      <c r="N58" s="4">
        <f t="shared" si="19"/>
        <v>0</v>
      </c>
      <c r="O58" s="4">
        <f t="shared" si="20"/>
        <v>0</v>
      </c>
      <c r="P58" s="4">
        <f t="shared" si="21"/>
        <v>0</v>
      </c>
      <c r="Q58" s="4">
        <f t="shared" si="22"/>
        <v>0</v>
      </c>
      <c r="R58" s="4">
        <f t="shared" si="23"/>
        <v>0</v>
      </c>
      <c r="S58" s="4">
        <f t="shared" si="24"/>
        <v>0</v>
      </c>
      <c r="T58" s="4">
        <f t="shared" si="25"/>
        <v>0</v>
      </c>
      <c r="U58" s="4">
        <f t="shared" si="26"/>
        <v>0</v>
      </c>
      <c r="V58" s="4">
        <f t="shared" si="27"/>
        <v>0</v>
      </c>
      <c r="W58" s="4">
        <f t="shared" si="28"/>
        <v>0</v>
      </c>
      <c r="X58" s="4">
        <f t="shared" si="29"/>
        <v>0</v>
      </c>
      <c r="Y58" s="4">
        <f t="shared" si="30"/>
        <v>0</v>
      </c>
      <c r="Z58" s="4">
        <f t="shared" si="31"/>
        <v>0</v>
      </c>
      <c r="AA58" s="4">
        <f t="shared" si="32"/>
        <v>0</v>
      </c>
      <c r="AB58" s="4">
        <f t="shared" si="33"/>
        <v>0</v>
      </c>
      <c r="AC58" s="4">
        <f t="shared" si="34"/>
        <v>0</v>
      </c>
      <c r="AD58" s="4">
        <f t="shared" si="35"/>
        <v>0</v>
      </c>
      <c r="AE58" s="4">
        <f t="shared" si="36"/>
        <v>0</v>
      </c>
      <c r="AF58" s="4">
        <f t="shared" si="37"/>
        <v>0</v>
      </c>
      <c r="AG58" s="4">
        <f t="shared" si="38"/>
        <v>0</v>
      </c>
      <c r="AH58" s="4">
        <f t="shared" si="39"/>
        <v>0</v>
      </c>
      <c r="AI58" s="4">
        <f t="shared" si="40"/>
        <v>0</v>
      </c>
      <c r="AJ58" s="4">
        <f t="shared" si="41"/>
        <v>0</v>
      </c>
      <c r="AK58" s="4">
        <f t="shared" si="42"/>
        <v>0</v>
      </c>
      <c r="AL58" s="4">
        <f t="shared" si="43"/>
        <v>0</v>
      </c>
      <c r="AM58" s="4">
        <f t="shared" si="44"/>
        <v>0</v>
      </c>
      <c r="AN58" s="4">
        <f t="shared" si="45"/>
        <v>0</v>
      </c>
      <c r="AO58" s="146"/>
      <c r="AQ58" s="1">
        <v>17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0.1</v>
      </c>
      <c r="AY58" s="2">
        <v>0.1</v>
      </c>
      <c r="AZ58" s="2">
        <v>0.1</v>
      </c>
      <c r="BA58" s="2">
        <v>0.1</v>
      </c>
      <c r="BB58" s="2">
        <v>0.1</v>
      </c>
      <c r="BC58" s="2">
        <v>0.1</v>
      </c>
      <c r="BD58" s="2">
        <v>0.1</v>
      </c>
      <c r="BE58" s="2">
        <v>0.1</v>
      </c>
      <c r="BF58" s="2">
        <v>0.1</v>
      </c>
      <c r="BG58" s="2">
        <v>0.1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</row>
    <row r="59" spans="3:78" outlineLevel="1">
      <c r="C59" t="s">
        <v>556</v>
      </c>
      <c r="E59" s="133">
        <f t="shared" si="10"/>
        <v>0</v>
      </c>
      <c r="F59" s="4">
        <f t="shared" si="11"/>
        <v>0</v>
      </c>
      <c r="G59" s="4">
        <f t="shared" si="12"/>
        <v>0</v>
      </c>
      <c r="H59" s="4">
        <f t="shared" si="13"/>
        <v>0</v>
      </c>
      <c r="I59" s="4">
        <f t="shared" si="14"/>
        <v>0</v>
      </c>
      <c r="J59" s="4">
        <f t="shared" si="15"/>
        <v>0</v>
      </c>
      <c r="K59" s="4">
        <f t="shared" si="16"/>
        <v>0</v>
      </c>
      <c r="L59" s="4">
        <f t="shared" si="17"/>
        <v>0</v>
      </c>
      <c r="M59" s="4">
        <f t="shared" si="18"/>
        <v>0</v>
      </c>
      <c r="N59" s="4">
        <f t="shared" si="19"/>
        <v>0</v>
      </c>
      <c r="O59" s="4">
        <f t="shared" si="20"/>
        <v>0</v>
      </c>
      <c r="P59" s="4">
        <f t="shared" si="21"/>
        <v>0</v>
      </c>
      <c r="Q59" s="4">
        <f t="shared" si="22"/>
        <v>0</v>
      </c>
      <c r="R59" s="4">
        <f t="shared" si="23"/>
        <v>0</v>
      </c>
      <c r="S59" s="4">
        <f t="shared" si="24"/>
        <v>0</v>
      </c>
      <c r="T59" s="4">
        <f t="shared" si="25"/>
        <v>0</v>
      </c>
      <c r="U59" s="4">
        <f t="shared" si="26"/>
        <v>0</v>
      </c>
      <c r="V59" s="4">
        <f t="shared" si="27"/>
        <v>0</v>
      </c>
      <c r="W59" s="4">
        <f t="shared" si="28"/>
        <v>0</v>
      </c>
      <c r="X59" s="4">
        <f t="shared" si="29"/>
        <v>0</v>
      </c>
      <c r="Y59" s="4">
        <f t="shared" si="30"/>
        <v>0</v>
      </c>
      <c r="Z59" s="4">
        <f t="shared" si="31"/>
        <v>0</v>
      </c>
      <c r="AA59" s="4">
        <f t="shared" si="32"/>
        <v>0</v>
      </c>
      <c r="AB59" s="4">
        <f t="shared" si="33"/>
        <v>0</v>
      </c>
      <c r="AC59" s="4">
        <f t="shared" si="34"/>
        <v>0</v>
      </c>
      <c r="AD59" s="4">
        <f t="shared" si="35"/>
        <v>0</v>
      </c>
      <c r="AE59" s="4">
        <f t="shared" si="36"/>
        <v>0</v>
      </c>
      <c r="AF59" s="4">
        <f t="shared" si="37"/>
        <v>0</v>
      </c>
      <c r="AG59" s="4">
        <f t="shared" si="38"/>
        <v>0</v>
      </c>
      <c r="AH59" s="4">
        <f t="shared" si="39"/>
        <v>0</v>
      </c>
      <c r="AI59" s="4">
        <f t="shared" si="40"/>
        <v>0</v>
      </c>
      <c r="AJ59" s="4">
        <f t="shared" si="41"/>
        <v>0</v>
      </c>
      <c r="AK59" s="4">
        <f t="shared" si="42"/>
        <v>0</v>
      </c>
      <c r="AL59" s="4">
        <f t="shared" si="43"/>
        <v>0</v>
      </c>
      <c r="AM59" s="4">
        <f t="shared" si="44"/>
        <v>0</v>
      </c>
      <c r="AN59" s="4">
        <f t="shared" si="45"/>
        <v>0</v>
      </c>
      <c r="AO59" s="146"/>
      <c r="AQ59" s="1">
        <v>18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0.1</v>
      </c>
      <c r="AZ59" s="2">
        <v>0.1</v>
      </c>
      <c r="BA59" s="2">
        <v>0.1</v>
      </c>
      <c r="BB59" s="2">
        <v>0.1</v>
      </c>
      <c r="BC59" s="2">
        <v>0.1</v>
      </c>
      <c r="BD59" s="2">
        <v>0.1</v>
      </c>
      <c r="BE59" s="2">
        <v>0.1</v>
      </c>
      <c r="BF59" s="2">
        <v>0.1</v>
      </c>
      <c r="BG59" s="2">
        <v>0.1</v>
      </c>
      <c r="BH59" s="2">
        <v>0.1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</row>
    <row r="60" spans="3:78" outlineLevel="1">
      <c r="C60" t="s">
        <v>557</v>
      </c>
      <c r="E60" s="133">
        <f t="shared" si="10"/>
        <v>0</v>
      </c>
      <c r="F60" s="4">
        <f t="shared" si="11"/>
        <v>0</v>
      </c>
      <c r="G60" s="4">
        <f t="shared" si="12"/>
        <v>0</v>
      </c>
      <c r="H60" s="4">
        <f t="shared" si="13"/>
        <v>0</v>
      </c>
      <c r="I60" s="4">
        <f t="shared" si="14"/>
        <v>0</v>
      </c>
      <c r="J60" s="4">
        <f t="shared" si="15"/>
        <v>0</v>
      </c>
      <c r="K60" s="4">
        <f t="shared" si="16"/>
        <v>0</v>
      </c>
      <c r="L60" s="4">
        <f t="shared" si="17"/>
        <v>0</v>
      </c>
      <c r="M60" s="4">
        <f t="shared" si="18"/>
        <v>0</v>
      </c>
      <c r="N60" s="4">
        <f t="shared" si="19"/>
        <v>0</v>
      </c>
      <c r="O60" s="4">
        <f t="shared" si="20"/>
        <v>0</v>
      </c>
      <c r="P60" s="4">
        <f t="shared" si="21"/>
        <v>0</v>
      </c>
      <c r="Q60" s="4">
        <f t="shared" si="22"/>
        <v>0</v>
      </c>
      <c r="R60" s="4">
        <f t="shared" si="23"/>
        <v>0</v>
      </c>
      <c r="S60" s="4">
        <f t="shared" si="24"/>
        <v>0</v>
      </c>
      <c r="T60" s="4">
        <f t="shared" si="25"/>
        <v>0</v>
      </c>
      <c r="U60" s="4">
        <f t="shared" si="26"/>
        <v>0</v>
      </c>
      <c r="V60" s="4">
        <f t="shared" si="27"/>
        <v>0</v>
      </c>
      <c r="W60" s="4">
        <f t="shared" si="28"/>
        <v>0</v>
      </c>
      <c r="X60" s="4">
        <f t="shared" si="29"/>
        <v>0</v>
      </c>
      <c r="Y60" s="4">
        <f t="shared" si="30"/>
        <v>0</v>
      </c>
      <c r="Z60" s="4">
        <f t="shared" si="31"/>
        <v>0</v>
      </c>
      <c r="AA60" s="4">
        <f t="shared" si="32"/>
        <v>0</v>
      </c>
      <c r="AB60" s="4">
        <f t="shared" si="33"/>
        <v>0</v>
      </c>
      <c r="AC60" s="4">
        <f t="shared" si="34"/>
        <v>0</v>
      </c>
      <c r="AD60" s="4">
        <f t="shared" si="35"/>
        <v>0</v>
      </c>
      <c r="AE60" s="4">
        <f t="shared" si="36"/>
        <v>0</v>
      </c>
      <c r="AF60" s="4">
        <f t="shared" si="37"/>
        <v>0</v>
      </c>
      <c r="AG60" s="4">
        <f t="shared" si="38"/>
        <v>0</v>
      </c>
      <c r="AH60" s="4">
        <f t="shared" si="39"/>
        <v>0</v>
      </c>
      <c r="AI60" s="4">
        <f t="shared" si="40"/>
        <v>0</v>
      </c>
      <c r="AJ60" s="4">
        <f t="shared" si="41"/>
        <v>0</v>
      </c>
      <c r="AK60" s="4">
        <f t="shared" si="42"/>
        <v>0</v>
      </c>
      <c r="AL60" s="4">
        <f t="shared" si="43"/>
        <v>0</v>
      </c>
      <c r="AM60" s="4">
        <f t="shared" si="44"/>
        <v>0</v>
      </c>
      <c r="AN60" s="4">
        <f t="shared" si="45"/>
        <v>0</v>
      </c>
      <c r="AO60" s="146"/>
      <c r="AQ60" s="1">
        <v>19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0.1</v>
      </c>
      <c r="BA60" s="2">
        <v>0.1</v>
      </c>
      <c r="BB60" s="2">
        <v>0.1</v>
      </c>
      <c r="BC60" s="2">
        <v>0.1</v>
      </c>
      <c r="BD60" s="2">
        <v>0.1</v>
      </c>
      <c r="BE60" s="2">
        <v>0.1</v>
      </c>
      <c r="BF60" s="2">
        <v>0.1</v>
      </c>
      <c r="BG60" s="2">
        <v>0.1</v>
      </c>
      <c r="BH60" s="2">
        <v>0.1</v>
      </c>
      <c r="BI60" s="2">
        <v>0.1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</row>
    <row r="61" spans="3:78" outlineLevel="1">
      <c r="C61" t="s">
        <v>558</v>
      </c>
      <c r="E61" s="133">
        <f t="shared" si="10"/>
        <v>0</v>
      </c>
      <c r="F61" s="4">
        <f t="shared" si="11"/>
        <v>0</v>
      </c>
      <c r="G61" s="4">
        <f t="shared" si="12"/>
        <v>0</v>
      </c>
      <c r="H61" s="4">
        <f t="shared" si="13"/>
        <v>0</v>
      </c>
      <c r="I61" s="4">
        <f t="shared" si="14"/>
        <v>0</v>
      </c>
      <c r="J61" s="4">
        <f t="shared" si="15"/>
        <v>0</v>
      </c>
      <c r="K61" s="4">
        <f t="shared" si="16"/>
        <v>0</v>
      </c>
      <c r="L61" s="4">
        <f t="shared" si="17"/>
        <v>0</v>
      </c>
      <c r="M61" s="4">
        <f t="shared" si="18"/>
        <v>0</v>
      </c>
      <c r="N61" s="4">
        <f t="shared" si="19"/>
        <v>0</v>
      </c>
      <c r="O61" s="4">
        <f t="shared" si="20"/>
        <v>0</v>
      </c>
      <c r="P61" s="4">
        <f t="shared" si="21"/>
        <v>0</v>
      </c>
      <c r="Q61" s="4">
        <f t="shared" si="22"/>
        <v>0</v>
      </c>
      <c r="R61" s="4">
        <f t="shared" si="23"/>
        <v>0</v>
      </c>
      <c r="S61" s="4">
        <f t="shared" si="24"/>
        <v>0</v>
      </c>
      <c r="T61" s="4">
        <f t="shared" si="25"/>
        <v>0</v>
      </c>
      <c r="U61" s="4">
        <f t="shared" si="26"/>
        <v>0</v>
      </c>
      <c r="V61" s="4">
        <f t="shared" si="27"/>
        <v>0</v>
      </c>
      <c r="W61" s="4">
        <f t="shared" si="28"/>
        <v>0</v>
      </c>
      <c r="X61" s="4">
        <f t="shared" si="29"/>
        <v>0</v>
      </c>
      <c r="Y61" s="4">
        <f t="shared" si="30"/>
        <v>0</v>
      </c>
      <c r="Z61" s="4">
        <f t="shared" si="31"/>
        <v>0</v>
      </c>
      <c r="AA61" s="4">
        <f t="shared" si="32"/>
        <v>0</v>
      </c>
      <c r="AB61" s="4">
        <f t="shared" si="33"/>
        <v>0</v>
      </c>
      <c r="AC61" s="4">
        <f t="shared" si="34"/>
        <v>0</v>
      </c>
      <c r="AD61" s="4">
        <f t="shared" si="35"/>
        <v>0</v>
      </c>
      <c r="AE61" s="4">
        <f t="shared" si="36"/>
        <v>0</v>
      </c>
      <c r="AF61" s="4">
        <f t="shared" si="37"/>
        <v>0</v>
      </c>
      <c r="AG61" s="4">
        <f t="shared" si="38"/>
        <v>0</v>
      </c>
      <c r="AH61" s="4">
        <f t="shared" si="39"/>
        <v>0</v>
      </c>
      <c r="AI61" s="4">
        <f t="shared" si="40"/>
        <v>0</v>
      </c>
      <c r="AJ61" s="4">
        <f t="shared" si="41"/>
        <v>0</v>
      </c>
      <c r="AK61" s="4">
        <f t="shared" si="42"/>
        <v>0</v>
      </c>
      <c r="AL61" s="4">
        <f t="shared" si="43"/>
        <v>0</v>
      </c>
      <c r="AM61" s="4">
        <f t="shared" si="44"/>
        <v>0</v>
      </c>
      <c r="AN61" s="4">
        <f t="shared" si="45"/>
        <v>0</v>
      </c>
      <c r="AO61" s="146"/>
      <c r="AQ61" s="1">
        <v>20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0.1</v>
      </c>
      <c r="BB61" s="2">
        <v>0.1</v>
      </c>
      <c r="BC61" s="2">
        <v>0.1</v>
      </c>
      <c r="BD61" s="2">
        <v>0.1</v>
      </c>
      <c r="BE61" s="2">
        <v>0.1</v>
      </c>
      <c r="BF61" s="2">
        <v>0.1</v>
      </c>
      <c r="BG61" s="2">
        <v>0.1</v>
      </c>
      <c r="BH61" s="2">
        <v>0.1</v>
      </c>
      <c r="BI61" s="2">
        <v>0.1</v>
      </c>
      <c r="BJ61" s="2">
        <v>0.1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</row>
    <row r="62" spans="3:78" outlineLevel="1">
      <c r="C62" t="s">
        <v>559</v>
      </c>
      <c r="E62" s="133">
        <f t="shared" si="10"/>
        <v>0</v>
      </c>
      <c r="F62" s="4">
        <f t="shared" si="11"/>
        <v>0</v>
      </c>
      <c r="G62" s="4">
        <f t="shared" si="12"/>
        <v>0</v>
      </c>
      <c r="H62" s="4">
        <f t="shared" si="13"/>
        <v>0</v>
      </c>
      <c r="I62" s="4">
        <f t="shared" si="14"/>
        <v>0</v>
      </c>
      <c r="J62" s="4">
        <f t="shared" si="15"/>
        <v>0</v>
      </c>
      <c r="K62" s="4">
        <f t="shared" si="16"/>
        <v>0</v>
      </c>
      <c r="L62" s="4">
        <f t="shared" si="17"/>
        <v>0</v>
      </c>
      <c r="M62" s="4">
        <f t="shared" si="18"/>
        <v>0</v>
      </c>
      <c r="N62" s="4">
        <f t="shared" si="19"/>
        <v>0</v>
      </c>
      <c r="O62" s="4">
        <f t="shared" si="20"/>
        <v>0</v>
      </c>
      <c r="P62" s="4">
        <f t="shared" si="21"/>
        <v>0</v>
      </c>
      <c r="Q62" s="4">
        <f t="shared" si="22"/>
        <v>0</v>
      </c>
      <c r="R62" s="4">
        <f t="shared" si="23"/>
        <v>0</v>
      </c>
      <c r="S62" s="4">
        <f t="shared" si="24"/>
        <v>0</v>
      </c>
      <c r="T62" s="4">
        <f t="shared" si="25"/>
        <v>0</v>
      </c>
      <c r="U62" s="4">
        <f t="shared" si="26"/>
        <v>0</v>
      </c>
      <c r="V62" s="4">
        <f t="shared" si="27"/>
        <v>0</v>
      </c>
      <c r="W62" s="4">
        <f t="shared" si="28"/>
        <v>0</v>
      </c>
      <c r="X62" s="4">
        <f t="shared" si="29"/>
        <v>0</v>
      </c>
      <c r="Y62" s="4">
        <f t="shared" si="30"/>
        <v>0</v>
      </c>
      <c r="Z62" s="4">
        <f t="shared" si="31"/>
        <v>0</v>
      </c>
      <c r="AA62" s="4">
        <f t="shared" si="32"/>
        <v>0</v>
      </c>
      <c r="AB62" s="4">
        <f t="shared" si="33"/>
        <v>0</v>
      </c>
      <c r="AC62" s="4">
        <f t="shared" si="34"/>
        <v>0</v>
      </c>
      <c r="AD62" s="4">
        <f t="shared" si="35"/>
        <v>0</v>
      </c>
      <c r="AE62" s="4">
        <f t="shared" si="36"/>
        <v>0</v>
      </c>
      <c r="AF62" s="4">
        <f t="shared" si="37"/>
        <v>0</v>
      </c>
      <c r="AG62" s="4">
        <f t="shared" si="38"/>
        <v>0</v>
      </c>
      <c r="AH62" s="4">
        <f t="shared" si="39"/>
        <v>0</v>
      </c>
      <c r="AI62" s="4">
        <f t="shared" si="40"/>
        <v>0</v>
      </c>
      <c r="AJ62" s="4">
        <f t="shared" si="41"/>
        <v>0</v>
      </c>
      <c r="AK62" s="4">
        <f t="shared" si="42"/>
        <v>0</v>
      </c>
      <c r="AL62" s="4">
        <f t="shared" si="43"/>
        <v>0</v>
      </c>
      <c r="AM62" s="4">
        <f t="shared" si="44"/>
        <v>0</v>
      </c>
      <c r="AN62" s="4">
        <f t="shared" si="45"/>
        <v>0</v>
      </c>
      <c r="AO62" s="146"/>
      <c r="AQ62" s="1">
        <v>21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0.1</v>
      </c>
      <c r="BC62" s="2">
        <v>0.1</v>
      </c>
      <c r="BD62" s="2">
        <v>0.1</v>
      </c>
      <c r="BE62" s="2">
        <v>0.1</v>
      </c>
      <c r="BF62" s="2">
        <v>0.1</v>
      </c>
      <c r="BG62" s="2">
        <v>0.1</v>
      </c>
      <c r="BH62" s="2">
        <v>0.1</v>
      </c>
      <c r="BI62" s="2">
        <v>0.1</v>
      </c>
      <c r="BJ62" s="2">
        <v>0.1</v>
      </c>
      <c r="BK62" s="2">
        <v>0.1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</row>
    <row r="63" spans="3:78" outlineLevel="1">
      <c r="C63" t="s">
        <v>560</v>
      </c>
      <c r="E63" s="133">
        <f t="shared" si="10"/>
        <v>0</v>
      </c>
      <c r="F63" s="4">
        <f t="shared" si="11"/>
        <v>0</v>
      </c>
      <c r="G63" s="4">
        <f t="shared" si="12"/>
        <v>0</v>
      </c>
      <c r="H63" s="4">
        <f t="shared" si="13"/>
        <v>0</v>
      </c>
      <c r="I63" s="4">
        <f t="shared" si="14"/>
        <v>0</v>
      </c>
      <c r="J63" s="4">
        <f t="shared" si="15"/>
        <v>0</v>
      </c>
      <c r="K63" s="4">
        <f t="shared" si="16"/>
        <v>0</v>
      </c>
      <c r="L63" s="4">
        <f t="shared" si="17"/>
        <v>0</v>
      </c>
      <c r="M63" s="4">
        <f t="shared" si="18"/>
        <v>0</v>
      </c>
      <c r="N63" s="4">
        <f t="shared" si="19"/>
        <v>0</v>
      </c>
      <c r="O63" s="4">
        <f t="shared" si="20"/>
        <v>0</v>
      </c>
      <c r="P63" s="4">
        <f t="shared" si="21"/>
        <v>0</v>
      </c>
      <c r="Q63" s="4">
        <f t="shared" si="22"/>
        <v>0</v>
      </c>
      <c r="R63" s="4">
        <f t="shared" si="23"/>
        <v>0</v>
      </c>
      <c r="S63" s="4">
        <f t="shared" si="24"/>
        <v>0</v>
      </c>
      <c r="T63" s="4">
        <f t="shared" si="25"/>
        <v>0</v>
      </c>
      <c r="U63" s="4">
        <f t="shared" si="26"/>
        <v>0</v>
      </c>
      <c r="V63" s="4">
        <f t="shared" si="27"/>
        <v>0</v>
      </c>
      <c r="W63" s="4">
        <f t="shared" si="28"/>
        <v>0</v>
      </c>
      <c r="X63" s="4">
        <f t="shared" si="29"/>
        <v>0</v>
      </c>
      <c r="Y63" s="4">
        <f t="shared" si="30"/>
        <v>0</v>
      </c>
      <c r="Z63" s="4">
        <f t="shared" si="31"/>
        <v>0</v>
      </c>
      <c r="AA63" s="4">
        <f t="shared" si="32"/>
        <v>0</v>
      </c>
      <c r="AB63" s="4">
        <f t="shared" si="33"/>
        <v>0</v>
      </c>
      <c r="AC63" s="4">
        <f t="shared" si="34"/>
        <v>0</v>
      </c>
      <c r="AD63" s="4">
        <f t="shared" si="35"/>
        <v>0</v>
      </c>
      <c r="AE63" s="4">
        <f t="shared" si="36"/>
        <v>0</v>
      </c>
      <c r="AF63" s="4">
        <f t="shared" si="37"/>
        <v>0</v>
      </c>
      <c r="AG63" s="4">
        <f t="shared" si="38"/>
        <v>0</v>
      </c>
      <c r="AH63" s="4">
        <f t="shared" si="39"/>
        <v>0</v>
      </c>
      <c r="AI63" s="4">
        <f t="shared" si="40"/>
        <v>0</v>
      </c>
      <c r="AJ63" s="4">
        <f t="shared" si="41"/>
        <v>0</v>
      </c>
      <c r="AK63" s="4">
        <f t="shared" si="42"/>
        <v>0</v>
      </c>
      <c r="AL63" s="4">
        <f t="shared" si="43"/>
        <v>0</v>
      </c>
      <c r="AM63" s="4">
        <f t="shared" si="44"/>
        <v>0</v>
      </c>
      <c r="AN63" s="4">
        <f t="shared" si="45"/>
        <v>0</v>
      </c>
      <c r="AO63" s="146"/>
      <c r="AQ63" s="1">
        <v>22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0.1</v>
      </c>
      <c r="BD63" s="2">
        <v>0.1</v>
      </c>
      <c r="BE63" s="2">
        <v>0.1</v>
      </c>
      <c r="BF63" s="2">
        <v>0.1</v>
      </c>
      <c r="BG63" s="2">
        <v>0.1</v>
      </c>
      <c r="BH63" s="2">
        <v>0.1</v>
      </c>
      <c r="BI63" s="2">
        <v>0.1</v>
      </c>
      <c r="BJ63" s="2">
        <v>0.1</v>
      </c>
      <c r="BK63" s="2">
        <v>0.1</v>
      </c>
      <c r="BL63" s="2">
        <v>0.1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</row>
    <row r="64" spans="3:78" outlineLevel="1">
      <c r="C64" t="s">
        <v>561</v>
      </c>
      <c r="E64" s="133">
        <f t="shared" si="10"/>
        <v>0</v>
      </c>
      <c r="F64" s="4">
        <f t="shared" si="11"/>
        <v>0</v>
      </c>
      <c r="G64" s="4">
        <f t="shared" si="12"/>
        <v>0</v>
      </c>
      <c r="H64" s="4">
        <f t="shared" si="13"/>
        <v>0</v>
      </c>
      <c r="I64" s="4">
        <f t="shared" si="14"/>
        <v>0</v>
      </c>
      <c r="J64" s="4">
        <f t="shared" si="15"/>
        <v>0</v>
      </c>
      <c r="K64" s="4">
        <f t="shared" si="16"/>
        <v>0</v>
      </c>
      <c r="L64" s="4">
        <f t="shared" si="17"/>
        <v>0</v>
      </c>
      <c r="M64" s="4">
        <f t="shared" si="18"/>
        <v>0</v>
      </c>
      <c r="N64" s="4">
        <f t="shared" si="19"/>
        <v>0</v>
      </c>
      <c r="O64" s="4">
        <f t="shared" si="20"/>
        <v>0</v>
      </c>
      <c r="P64" s="4">
        <f t="shared" si="21"/>
        <v>0</v>
      </c>
      <c r="Q64" s="4">
        <f t="shared" si="22"/>
        <v>0</v>
      </c>
      <c r="R64" s="4">
        <f t="shared" si="23"/>
        <v>0</v>
      </c>
      <c r="S64" s="4">
        <f t="shared" si="24"/>
        <v>0</v>
      </c>
      <c r="T64" s="4">
        <f t="shared" si="25"/>
        <v>0</v>
      </c>
      <c r="U64" s="4">
        <f t="shared" si="26"/>
        <v>0</v>
      </c>
      <c r="V64" s="4">
        <f t="shared" si="27"/>
        <v>0</v>
      </c>
      <c r="W64" s="4">
        <f t="shared" si="28"/>
        <v>0</v>
      </c>
      <c r="X64" s="4">
        <f t="shared" si="29"/>
        <v>0</v>
      </c>
      <c r="Y64" s="4">
        <f t="shared" si="30"/>
        <v>0</v>
      </c>
      <c r="Z64" s="4">
        <f t="shared" si="31"/>
        <v>0</v>
      </c>
      <c r="AA64" s="4">
        <f t="shared" si="32"/>
        <v>0</v>
      </c>
      <c r="AB64" s="4">
        <f t="shared" si="33"/>
        <v>0</v>
      </c>
      <c r="AC64" s="4">
        <f t="shared" si="34"/>
        <v>0</v>
      </c>
      <c r="AD64" s="4">
        <f t="shared" si="35"/>
        <v>0</v>
      </c>
      <c r="AE64" s="4">
        <f t="shared" si="36"/>
        <v>0</v>
      </c>
      <c r="AF64" s="4">
        <f t="shared" si="37"/>
        <v>0</v>
      </c>
      <c r="AG64" s="4">
        <f t="shared" si="38"/>
        <v>0</v>
      </c>
      <c r="AH64" s="4">
        <f t="shared" si="39"/>
        <v>0</v>
      </c>
      <c r="AI64" s="4">
        <f t="shared" si="40"/>
        <v>0</v>
      </c>
      <c r="AJ64" s="4">
        <f t="shared" si="41"/>
        <v>0</v>
      </c>
      <c r="AK64" s="4">
        <f t="shared" si="42"/>
        <v>0</v>
      </c>
      <c r="AL64" s="4">
        <f t="shared" si="43"/>
        <v>0</v>
      </c>
      <c r="AM64" s="4">
        <f t="shared" si="44"/>
        <v>0</v>
      </c>
      <c r="AN64" s="4">
        <f t="shared" si="45"/>
        <v>0</v>
      </c>
      <c r="AO64" s="146"/>
      <c r="AQ64" s="1">
        <v>23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0.1</v>
      </c>
      <c r="BE64" s="2">
        <v>0.1</v>
      </c>
      <c r="BF64" s="2">
        <v>0.1</v>
      </c>
      <c r="BG64" s="2">
        <v>0.1</v>
      </c>
      <c r="BH64" s="2">
        <v>0.1</v>
      </c>
      <c r="BI64" s="2">
        <v>0.1</v>
      </c>
      <c r="BJ64" s="2">
        <v>0.1</v>
      </c>
      <c r="BK64" s="2">
        <v>0.1</v>
      </c>
      <c r="BL64" s="2">
        <v>0.1</v>
      </c>
      <c r="BM64" s="2">
        <v>0.1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</row>
    <row r="65" spans="3:78" outlineLevel="1">
      <c r="C65" t="s">
        <v>562</v>
      </c>
      <c r="E65" s="133">
        <f t="shared" si="10"/>
        <v>0</v>
      </c>
      <c r="F65" s="4">
        <f t="shared" si="11"/>
        <v>0</v>
      </c>
      <c r="G65" s="4">
        <f t="shared" si="12"/>
        <v>0</v>
      </c>
      <c r="H65" s="4">
        <f t="shared" si="13"/>
        <v>0</v>
      </c>
      <c r="I65" s="4">
        <f t="shared" si="14"/>
        <v>0</v>
      </c>
      <c r="J65" s="4">
        <f t="shared" si="15"/>
        <v>0</v>
      </c>
      <c r="K65" s="4">
        <f t="shared" si="16"/>
        <v>0</v>
      </c>
      <c r="L65" s="4">
        <f t="shared" si="17"/>
        <v>0</v>
      </c>
      <c r="M65" s="4">
        <f t="shared" si="18"/>
        <v>0</v>
      </c>
      <c r="N65" s="4">
        <f t="shared" si="19"/>
        <v>0</v>
      </c>
      <c r="O65" s="4">
        <f t="shared" si="20"/>
        <v>0</v>
      </c>
      <c r="P65" s="4">
        <f t="shared" si="21"/>
        <v>0</v>
      </c>
      <c r="Q65" s="4">
        <f t="shared" si="22"/>
        <v>0</v>
      </c>
      <c r="R65" s="4">
        <f t="shared" si="23"/>
        <v>0</v>
      </c>
      <c r="S65" s="4">
        <f t="shared" si="24"/>
        <v>0</v>
      </c>
      <c r="T65" s="4">
        <f t="shared" si="25"/>
        <v>0</v>
      </c>
      <c r="U65" s="4">
        <f t="shared" si="26"/>
        <v>0</v>
      </c>
      <c r="V65" s="4">
        <f t="shared" si="27"/>
        <v>0</v>
      </c>
      <c r="W65" s="4">
        <f t="shared" si="28"/>
        <v>0</v>
      </c>
      <c r="X65" s="4">
        <f t="shared" si="29"/>
        <v>0</v>
      </c>
      <c r="Y65" s="4">
        <f t="shared" si="30"/>
        <v>0</v>
      </c>
      <c r="Z65" s="4">
        <f t="shared" si="31"/>
        <v>0</v>
      </c>
      <c r="AA65" s="4">
        <f t="shared" si="32"/>
        <v>0</v>
      </c>
      <c r="AB65" s="4">
        <f t="shared" si="33"/>
        <v>0</v>
      </c>
      <c r="AC65" s="4">
        <f t="shared" si="34"/>
        <v>0</v>
      </c>
      <c r="AD65" s="4">
        <f t="shared" si="35"/>
        <v>0</v>
      </c>
      <c r="AE65" s="4">
        <f t="shared" si="36"/>
        <v>0</v>
      </c>
      <c r="AF65" s="4">
        <f t="shared" si="37"/>
        <v>0</v>
      </c>
      <c r="AG65" s="4">
        <f t="shared" si="38"/>
        <v>0</v>
      </c>
      <c r="AH65" s="4">
        <f t="shared" si="39"/>
        <v>0</v>
      </c>
      <c r="AI65" s="4">
        <f t="shared" si="40"/>
        <v>0</v>
      </c>
      <c r="AJ65" s="4">
        <f t="shared" si="41"/>
        <v>0</v>
      </c>
      <c r="AK65" s="4">
        <f t="shared" si="42"/>
        <v>0</v>
      </c>
      <c r="AL65" s="4">
        <f t="shared" si="43"/>
        <v>0</v>
      </c>
      <c r="AM65" s="4">
        <f t="shared" si="44"/>
        <v>0</v>
      </c>
      <c r="AN65" s="4">
        <f t="shared" si="45"/>
        <v>0</v>
      </c>
      <c r="AO65" s="146"/>
      <c r="AQ65" s="1">
        <v>24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0.1</v>
      </c>
      <c r="BF65" s="2">
        <v>0.1</v>
      </c>
      <c r="BG65" s="2">
        <v>0.1</v>
      </c>
      <c r="BH65" s="2">
        <v>0.1</v>
      </c>
      <c r="BI65" s="2">
        <v>0.1</v>
      </c>
      <c r="BJ65" s="2">
        <v>0.1</v>
      </c>
      <c r="BK65" s="2">
        <v>0.1</v>
      </c>
      <c r="BL65" s="2">
        <v>0.1</v>
      </c>
      <c r="BM65" s="2">
        <v>0.1</v>
      </c>
      <c r="BN65" s="2">
        <v>0.1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</row>
    <row r="66" spans="3:78" outlineLevel="1">
      <c r="C66" t="s">
        <v>563</v>
      </c>
      <c r="E66" s="133">
        <f t="shared" si="10"/>
        <v>0</v>
      </c>
      <c r="F66" s="4">
        <f t="shared" si="11"/>
        <v>0</v>
      </c>
      <c r="G66" s="4">
        <f t="shared" si="12"/>
        <v>0</v>
      </c>
      <c r="H66" s="4">
        <f t="shared" si="13"/>
        <v>0</v>
      </c>
      <c r="I66" s="4">
        <f t="shared" si="14"/>
        <v>0</v>
      </c>
      <c r="J66" s="4">
        <f t="shared" si="15"/>
        <v>0</v>
      </c>
      <c r="K66" s="4">
        <f t="shared" si="16"/>
        <v>0</v>
      </c>
      <c r="L66" s="4">
        <f t="shared" si="17"/>
        <v>0</v>
      </c>
      <c r="M66" s="4">
        <f t="shared" si="18"/>
        <v>0</v>
      </c>
      <c r="N66" s="4">
        <f t="shared" si="19"/>
        <v>0</v>
      </c>
      <c r="O66" s="4">
        <f t="shared" si="20"/>
        <v>0</v>
      </c>
      <c r="P66" s="4">
        <f t="shared" si="21"/>
        <v>0</v>
      </c>
      <c r="Q66" s="4">
        <f t="shared" si="22"/>
        <v>0</v>
      </c>
      <c r="R66" s="4">
        <f t="shared" si="23"/>
        <v>0</v>
      </c>
      <c r="S66" s="4">
        <f t="shared" si="24"/>
        <v>0</v>
      </c>
      <c r="T66" s="4">
        <f t="shared" si="25"/>
        <v>0</v>
      </c>
      <c r="U66" s="4">
        <f t="shared" si="26"/>
        <v>0</v>
      </c>
      <c r="V66" s="4">
        <f t="shared" si="27"/>
        <v>0</v>
      </c>
      <c r="W66" s="4">
        <f t="shared" si="28"/>
        <v>0</v>
      </c>
      <c r="X66" s="4">
        <f t="shared" si="29"/>
        <v>0</v>
      </c>
      <c r="Y66" s="4">
        <f t="shared" si="30"/>
        <v>0</v>
      </c>
      <c r="Z66" s="4">
        <f t="shared" si="31"/>
        <v>0</v>
      </c>
      <c r="AA66" s="4">
        <f t="shared" si="32"/>
        <v>0</v>
      </c>
      <c r="AB66" s="4">
        <f t="shared" si="33"/>
        <v>0</v>
      </c>
      <c r="AC66" s="4">
        <f t="shared" si="34"/>
        <v>0</v>
      </c>
      <c r="AD66" s="4">
        <f t="shared" si="35"/>
        <v>0</v>
      </c>
      <c r="AE66" s="4">
        <f t="shared" si="36"/>
        <v>0</v>
      </c>
      <c r="AF66" s="4">
        <f t="shared" si="37"/>
        <v>0</v>
      </c>
      <c r="AG66" s="4">
        <f t="shared" si="38"/>
        <v>0</v>
      </c>
      <c r="AH66" s="4">
        <f t="shared" si="39"/>
        <v>0</v>
      </c>
      <c r="AI66" s="4">
        <f t="shared" si="40"/>
        <v>0</v>
      </c>
      <c r="AJ66" s="4">
        <f t="shared" si="41"/>
        <v>0</v>
      </c>
      <c r="AK66" s="4">
        <f t="shared" si="42"/>
        <v>0</v>
      </c>
      <c r="AL66" s="4">
        <f t="shared" si="43"/>
        <v>0</v>
      </c>
      <c r="AM66" s="4">
        <f t="shared" si="44"/>
        <v>0</v>
      </c>
      <c r="AN66" s="4">
        <f t="shared" si="45"/>
        <v>0</v>
      </c>
      <c r="AO66" s="146"/>
      <c r="AQ66" s="1">
        <v>25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0.1</v>
      </c>
      <c r="BG66" s="2">
        <v>0.1</v>
      </c>
      <c r="BH66" s="2">
        <v>0.1</v>
      </c>
      <c r="BI66" s="2">
        <v>0.1</v>
      </c>
      <c r="BJ66" s="2">
        <v>0.1</v>
      </c>
      <c r="BK66" s="2">
        <v>0.1</v>
      </c>
      <c r="BL66" s="2">
        <v>0.1</v>
      </c>
      <c r="BM66" s="2">
        <v>0.1</v>
      </c>
      <c r="BN66" s="2">
        <v>0.1</v>
      </c>
      <c r="BO66" s="2">
        <v>0.1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</row>
    <row r="67" spans="3:78" outlineLevel="1">
      <c r="C67" t="s">
        <v>564</v>
      </c>
      <c r="E67" s="133">
        <f t="shared" si="10"/>
        <v>0</v>
      </c>
      <c r="F67" s="4">
        <f t="shared" si="11"/>
        <v>0</v>
      </c>
      <c r="G67" s="4">
        <f t="shared" si="12"/>
        <v>0</v>
      </c>
      <c r="H67" s="4">
        <f t="shared" si="13"/>
        <v>0</v>
      </c>
      <c r="I67" s="4">
        <f t="shared" si="14"/>
        <v>0</v>
      </c>
      <c r="J67" s="4">
        <f t="shared" si="15"/>
        <v>0</v>
      </c>
      <c r="K67" s="4">
        <f t="shared" si="16"/>
        <v>0</v>
      </c>
      <c r="L67" s="4">
        <f t="shared" si="17"/>
        <v>0</v>
      </c>
      <c r="M67" s="4">
        <f t="shared" si="18"/>
        <v>0</v>
      </c>
      <c r="N67" s="4">
        <f t="shared" si="19"/>
        <v>0</v>
      </c>
      <c r="O67" s="4">
        <f t="shared" si="20"/>
        <v>0</v>
      </c>
      <c r="P67" s="4">
        <f t="shared" si="21"/>
        <v>0</v>
      </c>
      <c r="Q67" s="4">
        <f t="shared" si="22"/>
        <v>0</v>
      </c>
      <c r="R67" s="4">
        <f t="shared" si="23"/>
        <v>0</v>
      </c>
      <c r="S67" s="4">
        <f t="shared" si="24"/>
        <v>0</v>
      </c>
      <c r="T67" s="4">
        <f t="shared" si="25"/>
        <v>0</v>
      </c>
      <c r="U67" s="4">
        <f t="shared" si="26"/>
        <v>0</v>
      </c>
      <c r="V67" s="4">
        <f t="shared" si="27"/>
        <v>0</v>
      </c>
      <c r="W67" s="4">
        <f t="shared" si="28"/>
        <v>0</v>
      </c>
      <c r="X67" s="4">
        <f t="shared" si="29"/>
        <v>0</v>
      </c>
      <c r="Y67" s="4">
        <f t="shared" si="30"/>
        <v>0</v>
      </c>
      <c r="Z67" s="4">
        <f t="shared" si="31"/>
        <v>0</v>
      </c>
      <c r="AA67" s="4">
        <f t="shared" si="32"/>
        <v>0</v>
      </c>
      <c r="AB67" s="4">
        <f t="shared" si="33"/>
        <v>0</v>
      </c>
      <c r="AC67" s="4">
        <f t="shared" si="34"/>
        <v>0</v>
      </c>
      <c r="AD67" s="4">
        <f t="shared" si="35"/>
        <v>0</v>
      </c>
      <c r="AE67" s="4">
        <f t="shared" si="36"/>
        <v>0</v>
      </c>
      <c r="AF67" s="4">
        <f t="shared" si="37"/>
        <v>0</v>
      </c>
      <c r="AG67" s="4">
        <f t="shared" si="38"/>
        <v>0</v>
      </c>
      <c r="AH67" s="4">
        <f t="shared" si="39"/>
        <v>0</v>
      </c>
      <c r="AI67" s="4">
        <f t="shared" si="40"/>
        <v>0</v>
      </c>
      <c r="AJ67" s="4">
        <f t="shared" si="41"/>
        <v>0</v>
      </c>
      <c r="AK67" s="4">
        <f t="shared" si="42"/>
        <v>0</v>
      </c>
      <c r="AL67" s="4">
        <f t="shared" si="43"/>
        <v>0</v>
      </c>
      <c r="AM67" s="4">
        <f t="shared" si="44"/>
        <v>0</v>
      </c>
      <c r="AN67" s="4">
        <f t="shared" si="45"/>
        <v>0</v>
      </c>
      <c r="AO67" s="146"/>
      <c r="AQ67" s="1">
        <v>26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0.1</v>
      </c>
      <c r="BH67" s="2">
        <v>0.1</v>
      </c>
      <c r="BI67" s="2">
        <v>0.1</v>
      </c>
      <c r="BJ67" s="2">
        <v>0.1</v>
      </c>
      <c r="BK67" s="2">
        <v>0.1</v>
      </c>
      <c r="BL67" s="2">
        <v>0.1</v>
      </c>
      <c r="BM67" s="2">
        <v>0.1</v>
      </c>
      <c r="BN67" s="2">
        <v>0.1</v>
      </c>
      <c r="BO67" s="2">
        <v>0.1</v>
      </c>
      <c r="BP67" s="2">
        <v>0.1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</row>
    <row r="68" spans="3:78" outlineLevel="1">
      <c r="C68" t="s">
        <v>565</v>
      </c>
      <c r="E68" s="133">
        <f t="shared" si="10"/>
        <v>0</v>
      </c>
      <c r="F68" s="4">
        <f t="shared" si="11"/>
        <v>0</v>
      </c>
      <c r="G68" s="4">
        <f t="shared" si="12"/>
        <v>0</v>
      </c>
      <c r="H68" s="4">
        <f t="shared" si="13"/>
        <v>0</v>
      </c>
      <c r="I68" s="4">
        <f t="shared" si="14"/>
        <v>0</v>
      </c>
      <c r="J68" s="4">
        <f t="shared" si="15"/>
        <v>0</v>
      </c>
      <c r="K68" s="4">
        <f t="shared" si="16"/>
        <v>0</v>
      </c>
      <c r="L68" s="4">
        <f t="shared" si="17"/>
        <v>0</v>
      </c>
      <c r="M68" s="4">
        <f t="shared" si="18"/>
        <v>0</v>
      </c>
      <c r="N68" s="4">
        <f t="shared" si="19"/>
        <v>0</v>
      </c>
      <c r="O68" s="4">
        <f t="shared" si="20"/>
        <v>0</v>
      </c>
      <c r="P68" s="4">
        <f t="shared" si="21"/>
        <v>0</v>
      </c>
      <c r="Q68" s="4">
        <f t="shared" si="22"/>
        <v>0</v>
      </c>
      <c r="R68" s="4">
        <f t="shared" si="23"/>
        <v>0</v>
      </c>
      <c r="S68" s="4">
        <f t="shared" si="24"/>
        <v>0</v>
      </c>
      <c r="T68" s="4">
        <f t="shared" si="25"/>
        <v>0</v>
      </c>
      <c r="U68" s="4">
        <f t="shared" si="26"/>
        <v>0</v>
      </c>
      <c r="V68" s="4">
        <f t="shared" si="27"/>
        <v>0</v>
      </c>
      <c r="W68" s="4">
        <f t="shared" si="28"/>
        <v>0</v>
      </c>
      <c r="X68" s="4">
        <f t="shared" si="29"/>
        <v>0</v>
      </c>
      <c r="Y68" s="4">
        <f t="shared" si="30"/>
        <v>0</v>
      </c>
      <c r="Z68" s="4">
        <f t="shared" si="31"/>
        <v>0</v>
      </c>
      <c r="AA68" s="4">
        <f t="shared" si="32"/>
        <v>0</v>
      </c>
      <c r="AB68" s="4">
        <f t="shared" si="33"/>
        <v>0</v>
      </c>
      <c r="AC68" s="4">
        <f t="shared" si="34"/>
        <v>0</v>
      </c>
      <c r="AD68" s="4">
        <f t="shared" si="35"/>
        <v>0</v>
      </c>
      <c r="AE68" s="4">
        <f t="shared" si="36"/>
        <v>0</v>
      </c>
      <c r="AF68" s="4">
        <f t="shared" si="37"/>
        <v>0</v>
      </c>
      <c r="AG68" s="4">
        <f t="shared" si="38"/>
        <v>0</v>
      </c>
      <c r="AH68" s="4">
        <f t="shared" si="39"/>
        <v>0</v>
      </c>
      <c r="AI68" s="4">
        <f t="shared" si="40"/>
        <v>0</v>
      </c>
      <c r="AJ68" s="4">
        <f t="shared" si="41"/>
        <v>0</v>
      </c>
      <c r="AK68" s="4">
        <f t="shared" si="42"/>
        <v>0</v>
      </c>
      <c r="AL68" s="4">
        <f t="shared" si="43"/>
        <v>0</v>
      </c>
      <c r="AM68" s="4">
        <f t="shared" si="44"/>
        <v>0</v>
      </c>
      <c r="AN68" s="4">
        <f t="shared" si="45"/>
        <v>0</v>
      </c>
      <c r="AO68" s="146"/>
      <c r="AQ68" s="1">
        <v>27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0.1</v>
      </c>
      <c r="BI68" s="2">
        <v>0.1</v>
      </c>
      <c r="BJ68" s="2">
        <v>0.1</v>
      </c>
      <c r="BK68" s="2">
        <v>0.1</v>
      </c>
      <c r="BL68" s="2">
        <v>0.1</v>
      </c>
      <c r="BM68" s="2">
        <v>0.1</v>
      </c>
      <c r="BN68" s="2">
        <v>0.1</v>
      </c>
      <c r="BO68" s="2">
        <v>0.1</v>
      </c>
      <c r="BP68" s="2">
        <v>0.1</v>
      </c>
      <c r="BQ68" s="2">
        <v>0.1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</row>
    <row r="69" spans="3:78" outlineLevel="1">
      <c r="C69" t="s">
        <v>566</v>
      </c>
      <c r="E69" s="133">
        <f t="shared" si="10"/>
        <v>0</v>
      </c>
      <c r="F69" s="4">
        <f t="shared" si="11"/>
        <v>0</v>
      </c>
      <c r="G69" s="4">
        <f t="shared" si="12"/>
        <v>0</v>
      </c>
      <c r="H69" s="4">
        <f t="shared" si="13"/>
        <v>0</v>
      </c>
      <c r="I69" s="4">
        <f t="shared" si="14"/>
        <v>0</v>
      </c>
      <c r="J69" s="4">
        <f t="shared" si="15"/>
        <v>0</v>
      </c>
      <c r="K69" s="4">
        <f t="shared" si="16"/>
        <v>0</v>
      </c>
      <c r="L69" s="4">
        <f t="shared" si="17"/>
        <v>0</v>
      </c>
      <c r="M69" s="4">
        <f t="shared" si="18"/>
        <v>0</v>
      </c>
      <c r="N69" s="4">
        <f t="shared" si="19"/>
        <v>0</v>
      </c>
      <c r="O69" s="4">
        <f t="shared" si="20"/>
        <v>0</v>
      </c>
      <c r="P69" s="4">
        <f t="shared" si="21"/>
        <v>0</v>
      </c>
      <c r="Q69" s="4">
        <f t="shared" si="22"/>
        <v>0</v>
      </c>
      <c r="R69" s="4">
        <f t="shared" si="23"/>
        <v>0</v>
      </c>
      <c r="S69" s="4">
        <f t="shared" si="24"/>
        <v>0</v>
      </c>
      <c r="T69" s="4">
        <f t="shared" si="25"/>
        <v>0</v>
      </c>
      <c r="U69" s="4">
        <f t="shared" si="26"/>
        <v>0</v>
      </c>
      <c r="V69" s="4">
        <f t="shared" si="27"/>
        <v>0</v>
      </c>
      <c r="W69" s="4">
        <f t="shared" si="28"/>
        <v>0</v>
      </c>
      <c r="X69" s="4">
        <f t="shared" si="29"/>
        <v>0</v>
      </c>
      <c r="Y69" s="4">
        <f t="shared" si="30"/>
        <v>0</v>
      </c>
      <c r="Z69" s="4">
        <f t="shared" si="31"/>
        <v>0</v>
      </c>
      <c r="AA69" s="4">
        <f t="shared" si="32"/>
        <v>0</v>
      </c>
      <c r="AB69" s="4">
        <f t="shared" si="33"/>
        <v>0</v>
      </c>
      <c r="AC69" s="4">
        <f t="shared" si="34"/>
        <v>0</v>
      </c>
      <c r="AD69" s="4">
        <f t="shared" si="35"/>
        <v>0</v>
      </c>
      <c r="AE69" s="4">
        <f t="shared" si="36"/>
        <v>0</v>
      </c>
      <c r="AF69" s="4">
        <f t="shared" si="37"/>
        <v>0</v>
      </c>
      <c r="AG69" s="4">
        <f t="shared" si="38"/>
        <v>0</v>
      </c>
      <c r="AH69" s="4">
        <f t="shared" si="39"/>
        <v>0</v>
      </c>
      <c r="AI69" s="4">
        <f t="shared" si="40"/>
        <v>0</v>
      </c>
      <c r="AJ69" s="4">
        <f t="shared" si="41"/>
        <v>0</v>
      </c>
      <c r="AK69" s="4">
        <f t="shared" si="42"/>
        <v>0</v>
      </c>
      <c r="AL69" s="4">
        <f t="shared" si="43"/>
        <v>0</v>
      </c>
      <c r="AM69" s="4">
        <f t="shared" si="44"/>
        <v>0</v>
      </c>
      <c r="AN69" s="4">
        <f t="shared" si="45"/>
        <v>0</v>
      </c>
      <c r="AO69" s="146"/>
      <c r="AQ69" s="1">
        <v>28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0.1</v>
      </c>
      <c r="BJ69" s="2">
        <v>0.1</v>
      </c>
      <c r="BK69" s="2">
        <v>0.1</v>
      </c>
      <c r="BL69" s="2">
        <v>0.1</v>
      </c>
      <c r="BM69" s="2">
        <v>0.1</v>
      </c>
      <c r="BN69" s="2">
        <v>0.1</v>
      </c>
      <c r="BO69" s="2">
        <v>0.1</v>
      </c>
      <c r="BP69" s="2">
        <v>0.1</v>
      </c>
      <c r="BQ69" s="2">
        <v>0.1</v>
      </c>
      <c r="BR69" s="2">
        <v>0.1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</row>
    <row r="70" spans="3:78" outlineLevel="1">
      <c r="C70" t="s">
        <v>567</v>
      </c>
      <c r="E70" s="133">
        <f t="shared" si="10"/>
        <v>0</v>
      </c>
      <c r="F70" s="4">
        <f t="shared" si="11"/>
        <v>0</v>
      </c>
      <c r="G70" s="4">
        <f t="shared" si="12"/>
        <v>0</v>
      </c>
      <c r="H70" s="4">
        <f t="shared" si="13"/>
        <v>0</v>
      </c>
      <c r="I70" s="4">
        <f t="shared" si="14"/>
        <v>0</v>
      </c>
      <c r="J70" s="4">
        <f t="shared" si="15"/>
        <v>0</v>
      </c>
      <c r="K70" s="4">
        <f t="shared" si="16"/>
        <v>0</v>
      </c>
      <c r="L70" s="4">
        <f t="shared" si="17"/>
        <v>0</v>
      </c>
      <c r="M70" s="4">
        <f t="shared" si="18"/>
        <v>0</v>
      </c>
      <c r="N70" s="4">
        <f t="shared" si="19"/>
        <v>0</v>
      </c>
      <c r="O70" s="4">
        <f t="shared" si="20"/>
        <v>0</v>
      </c>
      <c r="P70" s="4">
        <f t="shared" si="21"/>
        <v>0</v>
      </c>
      <c r="Q70" s="4">
        <f t="shared" si="22"/>
        <v>0</v>
      </c>
      <c r="R70" s="4">
        <f t="shared" si="23"/>
        <v>0</v>
      </c>
      <c r="S70" s="4">
        <f t="shared" si="24"/>
        <v>0</v>
      </c>
      <c r="T70" s="4">
        <f t="shared" si="25"/>
        <v>0</v>
      </c>
      <c r="U70" s="4">
        <f t="shared" si="26"/>
        <v>0</v>
      </c>
      <c r="V70" s="4">
        <f t="shared" si="27"/>
        <v>0</v>
      </c>
      <c r="W70" s="4">
        <f t="shared" si="28"/>
        <v>0</v>
      </c>
      <c r="X70" s="4">
        <f t="shared" si="29"/>
        <v>0</v>
      </c>
      <c r="Y70" s="4">
        <f t="shared" si="30"/>
        <v>0</v>
      </c>
      <c r="Z70" s="4">
        <f t="shared" si="31"/>
        <v>0</v>
      </c>
      <c r="AA70" s="4">
        <f t="shared" si="32"/>
        <v>0</v>
      </c>
      <c r="AB70" s="4">
        <f t="shared" si="33"/>
        <v>0</v>
      </c>
      <c r="AC70" s="4">
        <f t="shared" si="34"/>
        <v>0</v>
      </c>
      <c r="AD70" s="4">
        <f t="shared" si="35"/>
        <v>0</v>
      </c>
      <c r="AE70" s="4">
        <f t="shared" si="36"/>
        <v>0</v>
      </c>
      <c r="AF70" s="4">
        <f t="shared" si="37"/>
        <v>0</v>
      </c>
      <c r="AG70" s="4">
        <f t="shared" si="38"/>
        <v>0</v>
      </c>
      <c r="AH70" s="4">
        <f t="shared" si="39"/>
        <v>0</v>
      </c>
      <c r="AI70" s="4">
        <f t="shared" si="40"/>
        <v>0</v>
      </c>
      <c r="AJ70" s="4">
        <f t="shared" si="41"/>
        <v>0</v>
      </c>
      <c r="AK70" s="4">
        <f t="shared" si="42"/>
        <v>0</v>
      </c>
      <c r="AL70" s="4">
        <f t="shared" si="43"/>
        <v>0</v>
      </c>
      <c r="AM70" s="4">
        <f t="shared" si="44"/>
        <v>0</v>
      </c>
      <c r="AN70" s="4">
        <f t="shared" si="45"/>
        <v>0</v>
      </c>
      <c r="AO70" s="146"/>
      <c r="AQ70" s="1">
        <v>29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0.1</v>
      </c>
      <c r="BK70" s="2">
        <v>0.1</v>
      </c>
      <c r="BL70" s="2">
        <v>0.1</v>
      </c>
      <c r="BM70" s="2">
        <v>0.1</v>
      </c>
      <c r="BN70" s="2">
        <v>0.1</v>
      </c>
      <c r="BO70" s="2">
        <v>0.1</v>
      </c>
      <c r="BP70" s="2">
        <v>0.1</v>
      </c>
      <c r="BQ70" s="2">
        <v>0.1</v>
      </c>
      <c r="BR70" s="2">
        <v>0.1</v>
      </c>
      <c r="BS70" s="2">
        <v>0.1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</row>
    <row r="71" spans="3:78" outlineLevel="1">
      <c r="C71" t="s">
        <v>568</v>
      </c>
      <c r="E71" s="133">
        <f t="shared" si="10"/>
        <v>0</v>
      </c>
      <c r="F71" s="4">
        <f t="shared" si="11"/>
        <v>0</v>
      </c>
      <c r="G71" s="4">
        <f t="shared" si="12"/>
        <v>0</v>
      </c>
      <c r="H71" s="4">
        <f t="shared" si="13"/>
        <v>0</v>
      </c>
      <c r="I71" s="4">
        <f t="shared" si="14"/>
        <v>0</v>
      </c>
      <c r="J71" s="4">
        <f t="shared" si="15"/>
        <v>0</v>
      </c>
      <c r="K71" s="4">
        <f t="shared" si="16"/>
        <v>0</v>
      </c>
      <c r="L71" s="4">
        <f t="shared" si="17"/>
        <v>0</v>
      </c>
      <c r="M71" s="4">
        <f t="shared" si="18"/>
        <v>0</v>
      </c>
      <c r="N71" s="4">
        <f t="shared" si="19"/>
        <v>0</v>
      </c>
      <c r="O71" s="4">
        <f t="shared" si="20"/>
        <v>0</v>
      </c>
      <c r="P71" s="4">
        <f t="shared" si="21"/>
        <v>0</v>
      </c>
      <c r="Q71" s="4">
        <f t="shared" si="22"/>
        <v>0</v>
      </c>
      <c r="R71" s="4">
        <f t="shared" si="23"/>
        <v>0</v>
      </c>
      <c r="S71" s="4">
        <f t="shared" si="24"/>
        <v>0</v>
      </c>
      <c r="T71" s="4">
        <f t="shared" si="25"/>
        <v>0</v>
      </c>
      <c r="U71" s="4">
        <f t="shared" si="26"/>
        <v>0</v>
      </c>
      <c r="V71" s="4">
        <f t="shared" si="27"/>
        <v>0</v>
      </c>
      <c r="W71" s="4">
        <f t="shared" si="28"/>
        <v>0</v>
      </c>
      <c r="X71" s="4">
        <f t="shared" si="29"/>
        <v>0</v>
      </c>
      <c r="Y71" s="4">
        <f t="shared" si="30"/>
        <v>0</v>
      </c>
      <c r="Z71" s="4">
        <f t="shared" si="31"/>
        <v>0</v>
      </c>
      <c r="AA71" s="4">
        <f t="shared" si="32"/>
        <v>0</v>
      </c>
      <c r="AB71" s="4">
        <f t="shared" si="33"/>
        <v>0</v>
      </c>
      <c r="AC71" s="4">
        <f t="shared" si="34"/>
        <v>0</v>
      </c>
      <c r="AD71" s="4">
        <f t="shared" si="35"/>
        <v>0</v>
      </c>
      <c r="AE71" s="4">
        <f t="shared" si="36"/>
        <v>0</v>
      </c>
      <c r="AF71" s="4">
        <f t="shared" si="37"/>
        <v>0</v>
      </c>
      <c r="AG71" s="4">
        <f t="shared" si="38"/>
        <v>0</v>
      </c>
      <c r="AH71" s="4">
        <f t="shared" si="39"/>
        <v>0</v>
      </c>
      <c r="AI71" s="4">
        <f t="shared" si="40"/>
        <v>0</v>
      </c>
      <c r="AJ71" s="4">
        <f t="shared" si="41"/>
        <v>0</v>
      </c>
      <c r="AK71" s="4">
        <f t="shared" si="42"/>
        <v>0</v>
      </c>
      <c r="AL71" s="4">
        <f t="shared" si="43"/>
        <v>0</v>
      </c>
      <c r="AM71" s="4">
        <f t="shared" si="44"/>
        <v>0</v>
      </c>
      <c r="AN71" s="4">
        <f t="shared" si="45"/>
        <v>0</v>
      </c>
      <c r="AO71" s="146"/>
      <c r="AQ71" s="1">
        <v>30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0.1</v>
      </c>
      <c r="BL71" s="2">
        <v>0.1</v>
      </c>
      <c r="BM71" s="2">
        <v>0.1</v>
      </c>
      <c r="BN71" s="2">
        <v>0.1</v>
      </c>
      <c r="BO71" s="2">
        <v>0.1</v>
      </c>
      <c r="BP71" s="2">
        <v>0.1</v>
      </c>
      <c r="BQ71" s="2">
        <v>0.1</v>
      </c>
      <c r="BR71" s="2">
        <v>0.1</v>
      </c>
      <c r="BS71" s="2">
        <v>0.1</v>
      </c>
      <c r="BT71" s="2">
        <v>0.1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</row>
    <row r="72" spans="3:78" outlineLevel="1">
      <c r="C72" t="s">
        <v>569</v>
      </c>
      <c r="E72" s="133">
        <f t="shared" si="10"/>
        <v>0</v>
      </c>
      <c r="F72" s="4">
        <f t="shared" si="11"/>
        <v>0</v>
      </c>
      <c r="G72" s="4">
        <f t="shared" si="12"/>
        <v>0</v>
      </c>
      <c r="H72" s="4">
        <f t="shared" si="13"/>
        <v>0</v>
      </c>
      <c r="I72" s="4">
        <f t="shared" si="14"/>
        <v>0</v>
      </c>
      <c r="J72" s="4">
        <f t="shared" si="15"/>
        <v>0</v>
      </c>
      <c r="K72" s="4">
        <f t="shared" si="16"/>
        <v>0</v>
      </c>
      <c r="L72" s="4">
        <f t="shared" si="17"/>
        <v>0</v>
      </c>
      <c r="M72" s="4">
        <f t="shared" si="18"/>
        <v>0</v>
      </c>
      <c r="N72" s="4">
        <f t="shared" si="19"/>
        <v>0</v>
      </c>
      <c r="O72" s="4">
        <f t="shared" si="20"/>
        <v>0</v>
      </c>
      <c r="P72" s="4">
        <f t="shared" si="21"/>
        <v>0</v>
      </c>
      <c r="Q72" s="4">
        <f t="shared" si="22"/>
        <v>0</v>
      </c>
      <c r="R72" s="4">
        <f t="shared" si="23"/>
        <v>0</v>
      </c>
      <c r="S72" s="4">
        <f t="shared" si="24"/>
        <v>0</v>
      </c>
      <c r="T72" s="4">
        <f t="shared" si="25"/>
        <v>0</v>
      </c>
      <c r="U72" s="4">
        <f t="shared" si="26"/>
        <v>0</v>
      </c>
      <c r="V72" s="4">
        <f t="shared" si="27"/>
        <v>0</v>
      </c>
      <c r="W72" s="4">
        <f t="shared" si="28"/>
        <v>0</v>
      </c>
      <c r="X72" s="4">
        <f t="shared" si="29"/>
        <v>0</v>
      </c>
      <c r="Y72" s="4">
        <f t="shared" si="30"/>
        <v>0</v>
      </c>
      <c r="Z72" s="4">
        <f t="shared" si="31"/>
        <v>0</v>
      </c>
      <c r="AA72" s="4">
        <f t="shared" si="32"/>
        <v>0</v>
      </c>
      <c r="AB72" s="4">
        <f t="shared" si="33"/>
        <v>0</v>
      </c>
      <c r="AC72" s="4">
        <f t="shared" si="34"/>
        <v>0</v>
      </c>
      <c r="AD72" s="4">
        <f t="shared" si="35"/>
        <v>0</v>
      </c>
      <c r="AE72" s="4">
        <f t="shared" si="36"/>
        <v>0</v>
      </c>
      <c r="AF72" s="4">
        <f t="shared" si="37"/>
        <v>0</v>
      </c>
      <c r="AG72" s="4">
        <f t="shared" si="38"/>
        <v>0</v>
      </c>
      <c r="AH72" s="4">
        <f t="shared" si="39"/>
        <v>0</v>
      </c>
      <c r="AI72" s="4">
        <f t="shared" si="40"/>
        <v>0</v>
      </c>
      <c r="AJ72" s="4">
        <f t="shared" si="41"/>
        <v>0</v>
      </c>
      <c r="AK72" s="4">
        <f t="shared" si="42"/>
        <v>0</v>
      </c>
      <c r="AL72" s="4">
        <f t="shared" si="43"/>
        <v>0</v>
      </c>
      <c r="AM72" s="4">
        <f t="shared" si="44"/>
        <v>0</v>
      </c>
      <c r="AN72" s="4">
        <f t="shared" si="45"/>
        <v>0</v>
      </c>
      <c r="AO72" s="146"/>
      <c r="AQ72" s="1">
        <v>31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0.1</v>
      </c>
      <c r="BM72" s="2">
        <v>0.1</v>
      </c>
      <c r="BN72" s="2">
        <v>0.1</v>
      </c>
      <c r="BO72" s="2">
        <v>0.1</v>
      </c>
      <c r="BP72" s="2">
        <v>0.1</v>
      </c>
      <c r="BQ72" s="2">
        <v>0.1</v>
      </c>
      <c r="BR72" s="2">
        <v>0.1</v>
      </c>
      <c r="BS72" s="2">
        <v>0.1</v>
      </c>
      <c r="BT72" s="2">
        <v>0.1</v>
      </c>
      <c r="BU72" s="2">
        <v>0.1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</row>
    <row r="73" spans="3:78" outlineLevel="1">
      <c r="C73" t="s">
        <v>570</v>
      </c>
      <c r="E73" s="133">
        <f t="shared" si="10"/>
        <v>0</v>
      </c>
      <c r="F73" s="4">
        <f t="shared" si="11"/>
        <v>0</v>
      </c>
      <c r="G73" s="4">
        <f t="shared" si="12"/>
        <v>0</v>
      </c>
      <c r="H73" s="4">
        <f t="shared" si="13"/>
        <v>0</v>
      </c>
      <c r="I73" s="4">
        <f t="shared" si="14"/>
        <v>0</v>
      </c>
      <c r="J73" s="4">
        <f t="shared" si="15"/>
        <v>0</v>
      </c>
      <c r="K73" s="4">
        <f t="shared" si="16"/>
        <v>0</v>
      </c>
      <c r="L73" s="4">
        <f t="shared" si="17"/>
        <v>0</v>
      </c>
      <c r="M73" s="4">
        <f t="shared" si="18"/>
        <v>0</v>
      </c>
      <c r="N73" s="4">
        <f t="shared" si="19"/>
        <v>0</v>
      </c>
      <c r="O73" s="4">
        <f t="shared" si="20"/>
        <v>0</v>
      </c>
      <c r="P73" s="4">
        <f t="shared" si="21"/>
        <v>0</v>
      </c>
      <c r="Q73" s="4">
        <f t="shared" si="22"/>
        <v>0</v>
      </c>
      <c r="R73" s="4">
        <f t="shared" si="23"/>
        <v>0</v>
      </c>
      <c r="S73" s="4">
        <f t="shared" si="24"/>
        <v>0</v>
      </c>
      <c r="T73" s="4">
        <f t="shared" si="25"/>
        <v>0</v>
      </c>
      <c r="U73" s="4">
        <f t="shared" si="26"/>
        <v>0</v>
      </c>
      <c r="V73" s="4">
        <f t="shared" si="27"/>
        <v>0</v>
      </c>
      <c r="W73" s="4">
        <f t="shared" si="28"/>
        <v>0</v>
      </c>
      <c r="X73" s="4">
        <f t="shared" si="29"/>
        <v>0</v>
      </c>
      <c r="Y73" s="4">
        <f t="shared" si="30"/>
        <v>0</v>
      </c>
      <c r="Z73" s="4">
        <f t="shared" si="31"/>
        <v>0</v>
      </c>
      <c r="AA73" s="4">
        <f t="shared" si="32"/>
        <v>0</v>
      </c>
      <c r="AB73" s="4">
        <f t="shared" si="33"/>
        <v>0</v>
      </c>
      <c r="AC73" s="4">
        <f t="shared" si="34"/>
        <v>0</v>
      </c>
      <c r="AD73" s="4">
        <f t="shared" si="35"/>
        <v>0</v>
      </c>
      <c r="AE73" s="4">
        <f t="shared" si="36"/>
        <v>0</v>
      </c>
      <c r="AF73" s="4">
        <f t="shared" si="37"/>
        <v>0</v>
      </c>
      <c r="AG73" s="4">
        <f t="shared" si="38"/>
        <v>0</v>
      </c>
      <c r="AH73" s="4">
        <f t="shared" si="39"/>
        <v>0</v>
      </c>
      <c r="AI73" s="4">
        <f t="shared" si="40"/>
        <v>0</v>
      </c>
      <c r="AJ73" s="4">
        <f t="shared" si="41"/>
        <v>0</v>
      </c>
      <c r="AK73" s="4">
        <f t="shared" si="42"/>
        <v>0</v>
      </c>
      <c r="AL73" s="4">
        <f t="shared" si="43"/>
        <v>0</v>
      </c>
      <c r="AM73" s="4">
        <f t="shared" si="44"/>
        <v>0</v>
      </c>
      <c r="AN73" s="4">
        <f t="shared" si="45"/>
        <v>0</v>
      </c>
      <c r="AO73" s="146"/>
      <c r="AQ73" s="1">
        <v>32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0.1</v>
      </c>
      <c r="BN73" s="2">
        <v>0.1</v>
      </c>
      <c r="BO73" s="2">
        <v>0.1</v>
      </c>
      <c r="BP73" s="2">
        <v>0.1</v>
      </c>
      <c r="BQ73" s="2">
        <v>0.1</v>
      </c>
      <c r="BR73" s="2">
        <v>0.1</v>
      </c>
      <c r="BS73" s="2">
        <v>0.1</v>
      </c>
      <c r="BT73" s="2">
        <v>0.1</v>
      </c>
      <c r="BU73" s="2">
        <v>0.1</v>
      </c>
      <c r="BV73" s="2">
        <v>0.1</v>
      </c>
      <c r="BW73" s="2">
        <v>0</v>
      </c>
      <c r="BX73" s="2">
        <v>0</v>
      </c>
      <c r="BY73" s="2">
        <v>0</v>
      </c>
      <c r="BZ73" s="2">
        <v>0</v>
      </c>
    </row>
    <row r="74" spans="3:78" outlineLevel="1">
      <c r="C74" t="s">
        <v>571</v>
      </c>
      <c r="E74" s="133">
        <f t="shared" si="10"/>
        <v>0</v>
      </c>
      <c r="F74" s="4">
        <f t="shared" si="11"/>
        <v>0</v>
      </c>
      <c r="G74" s="4">
        <f t="shared" si="12"/>
        <v>0</v>
      </c>
      <c r="H74" s="4">
        <f t="shared" si="13"/>
        <v>0</v>
      </c>
      <c r="I74" s="4">
        <f t="shared" si="14"/>
        <v>0</v>
      </c>
      <c r="J74" s="4">
        <f t="shared" si="15"/>
        <v>0</v>
      </c>
      <c r="K74" s="4">
        <f t="shared" si="16"/>
        <v>0</v>
      </c>
      <c r="L74" s="4">
        <f t="shared" si="17"/>
        <v>0</v>
      </c>
      <c r="M74" s="4">
        <f t="shared" si="18"/>
        <v>0</v>
      </c>
      <c r="N74" s="4">
        <f t="shared" si="19"/>
        <v>0</v>
      </c>
      <c r="O74" s="4">
        <f t="shared" si="20"/>
        <v>0</v>
      </c>
      <c r="P74" s="4">
        <f t="shared" si="21"/>
        <v>0</v>
      </c>
      <c r="Q74" s="4">
        <f t="shared" si="22"/>
        <v>0</v>
      </c>
      <c r="R74" s="4">
        <f t="shared" si="23"/>
        <v>0</v>
      </c>
      <c r="S74" s="4">
        <f t="shared" si="24"/>
        <v>0</v>
      </c>
      <c r="T74" s="4">
        <f t="shared" si="25"/>
        <v>0</v>
      </c>
      <c r="U74" s="4">
        <f t="shared" si="26"/>
        <v>0</v>
      </c>
      <c r="V74" s="4">
        <f t="shared" si="27"/>
        <v>0</v>
      </c>
      <c r="W74" s="4">
        <f t="shared" si="28"/>
        <v>0</v>
      </c>
      <c r="X74" s="4">
        <f t="shared" si="29"/>
        <v>0</v>
      </c>
      <c r="Y74" s="4">
        <f t="shared" si="30"/>
        <v>0</v>
      </c>
      <c r="Z74" s="4">
        <f t="shared" si="31"/>
        <v>0</v>
      </c>
      <c r="AA74" s="4">
        <f t="shared" si="32"/>
        <v>0</v>
      </c>
      <c r="AB74" s="4">
        <f t="shared" si="33"/>
        <v>0</v>
      </c>
      <c r="AC74" s="4">
        <f t="shared" si="34"/>
        <v>0</v>
      </c>
      <c r="AD74" s="4">
        <f t="shared" si="35"/>
        <v>0</v>
      </c>
      <c r="AE74" s="4">
        <f t="shared" si="36"/>
        <v>0</v>
      </c>
      <c r="AF74" s="4">
        <f t="shared" si="37"/>
        <v>0</v>
      </c>
      <c r="AG74" s="4">
        <f t="shared" si="38"/>
        <v>0</v>
      </c>
      <c r="AH74" s="4">
        <f t="shared" si="39"/>
        <v>0</v>
      </c>
      <c r="AI74" s="4">
        <f t="shared" si="40"/>
        <v>0</v>
      </c>
      <c r="AJ74" s="4">
        <f t="shared" si="41"/>
        <v>0</v>
      </c>
      <c r="AK74" s="4">
        <f t="shared" si="42"/>
        <v>0</v>
      </c>
      <c r="AL74" s="4">
        <f t="shared" si="43"/>
        <v>0</v>
      </c>
      <c r="AM74" s="4">
        <f t="shared" si="44"/>
        <v>0</v>
      </c>
      <c r="AN74" s="4">
        <f t="shared" si="45"/>
        <v>0</v>
      </c>
      <c r="AO74" s="146"/>
      <c r="AQ74" s="1">
        <v>33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0.1</v>
      </c>
      <c r="BO74" s="2">
        <v>0.1</v>
      </c>
      <c r="BP74" s="2">
        <v>0.1</v>
      </c>
      <c r="BQ74" s="2">
        <v>0.1</v>
      </c>
      <c r="BR74" s="2">
        <v>0.1</v>
      </c>
      <c r="BS74" s="2">
        <v>0.1</v>
      </c>
      <c r="BT74" s="2">
        <v>0.1</v>
      </c>
      <c r="BU74" s="2">
        <v>0.1</v>
      </c>
      <c r="BV74" s="2">
        <v>0.1</v>
      </c>
      <c r="BW74" s="2">
        <v>0.1</v>
      </c>
      <c r="BX74" s="2">
        <v>0</v>
      </c>
      <c r="BY74" s="2">
        <v>0</v>
      </c>
      <c r="BZ74" s="2">
        <v>0</v>
      </c>
    </row>
    <row r="75" spans="3:78" outlineLevel="1">
      <c r="C75" t="s">
        <v>572</v>
      </c>
      <c r="E75" s="133">
        <f t="shared" si="10"/>
        <v>0</v>
      </c>
      <c r="F75" s="4">
        <f t="shared" si="11"/>
        <v>0</v>
      </c>
      <c r="G75" s="4">
        <f t="shared" si="12"/>
        <v>0</v>
      </c>
      <c r="H75" s="4">
        <f t="shared" si="13"/>
        <v>0</v>
      </c>
      <c r="I75" s="4">
        <f t="shared" si="14"/>
        <v>0</v>
      </c>
      <c r="J75" s="4">
        <f t="shared" si="15"/>
        <v>0</v>
      </c>
      <c r="K75" s="4">
        <f t="shared" si="16"/>
        <v>0</v>
      </c>
      <c r="L75" s="4">
        <f t="shared" si="17"/>
        <v>0</v>
      </c>
      <c r="M75" s="4">
        <f t="shared" si="18"/>
        <v>0</v>
      </c>
      <c r="N75" s="4">
        <f t="shared" si="19"/>
        <v>0</v>
      </c>
      <c r="O75" s="4">
        <f t="shared" si="20"/>
        <v>0</v>
      </c>
      <c r="P75" s="4">
        <f t="shared" si="21"/>
        <v>0</v>
      </c>
      <c r="Q75" s="4">
        <f t="shared" si="22"/>
        <v>0</v>
      </c>
      <c r="R75" s="4">
        <f t="shared" si="23"/>
        <v>0</v>
      </c>
      <c r="S75" s="4">
        <f t="shared" si="24"/>
        <v>0</v>
      </c>
      <c r="T75" s="4">
        <f t="shared" si="25"/>
        <v>0</v>
      </c>
      <c r="U75" s="4">
        <f t="shared" si="26"/>
        <v>0</v>
      </c>
      <c r="V75" s="4">
        <f t="shared" si="27"/>
        <v>0</v>
      </c>
      <c r="W75" s="4">
        <f t="shared" si="28"/>
        <v>0</v>
      </c>
      <c r="X75" s="4">
        <f t="shared" si="29"/>
        <v>0</v>
      </c>
      <c r="Y75" s="4">
        <f t="shared" si="30"/>
        <v>0</v>
      </c>
      <c r="Z75" s="4">
        <f t="shared" si="31"/>
        <v>0</v>
      </c>
      <c r="AA75" s="4">
        <f t="shared" si="32"/>
        <v>0</v>
      </c>
      <c r="AB75" s="4">
        <f t="shared" si="33"/>
        <v>0</v>
      </c>
      <c r="AC75" s="4">
        <f t="shared" si="34"/>
        <v>0</v>
      </c>
      <c r="AD75" s="4">
        <f t="shared" si="35"/>
        <v>0</v>
      </c>
      <c r="AE75" s="4">
        <f t="shared" si="36"/>
        <v>0</v>
      </c>
      <c r="AF75" s="4">
        <f t="shared" si="37"/>
        <v>0</v>
      </c>
      <c r="AG75" s="4">
        <f t="shared" si="38"/>
        <v>0</v>
      </c>
      <c r="AH75" s="4">
        <f t="shared" si="39"/>
        <v>0</v>
      </c>
      <c r="AI75" s="4">
        <f t="shared" si="40"/>
        <v>0</v>
      </c>
      <c r="AJ75" s="4">
        <f t="shared" si="41"/>
        <v>0</v>
      </c>
      <c r="AK75" s="4">
        <f t="shared" si="42"/>
        <v>0</v>
      </c>
      <c r="AL75" s="4">
        <f t="shared" si="43"/>
        <v>0</v>
      </c>
      <c r="AM75" s="4">
        <f t="shared" si="44"/>
        <v>0</v>
      </c>
      <c r="AN75" s="4">
        <f t="shared" si="45"/>
        <v>0</v>
      </c>
      <c r="AO75" s="146"/>
      <c r="AQ75" s="1">
        <v>34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0.1</v>
      </c>
      <c r="BP75" s="2">
        <v>0.1</v>
      </c>
      <c r="BQ75" s="2">
        <v>0.1</v>
      </c>
      <c r="BR75" s="2">
        <v>0.1</v>
      </c>
      <c r="BS75" s="2">
        <v>0.1</v>
      </c>
      <c r="BT75" s="2">
        <v>0.1</v>
      </c>
      <c r="BU75" s="2">
        <v>0.1</v>
      </c>
      <c r="BV75" s="2">
        <v>0.1</v>
      </c>
      <c r="BW75" s="2">
        <v>0.1</v>
      </c>
      <c r="BX75" s="2">
        <v>0.1</v>
      </c>
      <c r="BY75" s="2">
        <v>0</v>
      </c>
      <c r="BZ75" s="2">
        <v>0</v>
      </c>
    </row>
    <row r="76" spans="3:78" outlineLevel="1">
      <c r="C76" t="s">
        <v>573</v>
      </c>
      <c r="E76" s="133">
        <f t="shared" si="10"/>
        <v>0</v>
      </c>
      <c r="F76" s="4">
        <f t="shared" si="11"/>
        <v>0</v>
      </c>
      <c r="G76" s="4">
        <f t="shared" si="12"/>
        <v>0</v>
      </c>
      <c r="H76" s="4">
        <f t="shared" si="13"/>
        <v>0</v>
      </c>
      <c r="I76" s="4">
        <f t="shared" si="14"/>
        <v>0</v>
      </c>
      <c r="J76" s="4">
        <f t="shared" si="15"/>
        <v>0</v>
      </c>
      <c r="K76" s="4">
        <f t="shared" si="16"/>
        <v>0</v>
      </c>
      <c r="L76" s="4">
        <f t="shared" si="17"/>
        <v>0</v>
      </c>
      <c r="M76" s="4">
        <f t="shared" si="18"/>
        <v>0</v>
      </c>
      <c r="N76" s="4">
        <f t="shared" si="19"/>
        <v>0</v>
      </c>
      <c r="O76" s="4">
        <f t="shared" si="20"/>
        <v>0</v>
      </c>
      <c r="P76" s="4">
        <f t="shared" si="21"/>
        <v>0</v>
      </c>
      <c r="Q76" s="4">
        <f t="shared" si="22"/>
        <v>0</v>
      </c>
      <c r="R76" s="4">
        <f t="shared" si="23"/>
        <v>0</v>
      </c>
      <c r="S76" s="4">
        <f t="shared" si="24"/>
        <v>0</v>
      </c>
      <c r="T76" s="4">
        <f t="shared" si="25"/>
        <v>0</v>
      </c>
      <c r="U76" s="4">
        <f t="shared" si="26"/>
        <v>0</v>
      </c>
      <c r="V76" s="4">
        <f t="shared" si="27"/>
        <v>0</v>
      </c>
      <c r="W76" s="4">
        <f t="shared" si="28"/>
        <v>0</v>
      </c>
      <c r="X76" s="4">
        <f t="shared" si="29"/>
        <v>0</v>
      </c>
      <c r="Y76" s="4">
        <f t="shared" si="30"/>
        <v>0</v>
      </c>
      <c r="Z76" s="4">
        <f t="shared" si="31"/>
        <v>0</v>
      </c>
      <c r="AA76" s="4">
        <f t="shared" si="32"/>
        <v>0</v>
      </c>
      <c r="AB76" s="4">
        <f t="shared" si="33"/>
        <v>0</v>
      </c>
      <c r="AC76" s="4">
        <f t="shared" si="34"/>
        <v>0</v>
      </c>
      <c r="AD76" s="4">
        <f t="shared" si="35"/>
        <v>0</v>
      </c>
      <c r="AE76" s="4">
        <f t="shared" si="36"/>
        <v>0</v>
      </c>
      <c r="AF76" s="4">
        <f t="shared" si="37"/>
        <v>0</v>
      </c>
      <c r="AG76" s="4">
        <f t="shared" si="38"/>
        <v>0</v>
      </c>
      <c r="AH76" s="4">
        <f t="shared" si="39"/>
        <v>0</v>
      </c>
      <c r="AI76" s="4">
        <f t="shared" si="40"/>
        <v>0</v>
      </c>
      <c r="AJ76" s="4">
        <f t="shared" si="41"/>
        <v>0</v>
      </c>
      <c r="AK76" s="4">
        <f t="shared" si="42"/>
        <v>0</v>
      </c>
      <c r="AL76" s="4">
        <f t="shared" si="43"/>
        <v>0</v>
      </c>
      <c r="AM76" s="4">
        <f t="shared" si="44"/>
        <v>0</v>
      </c>
      <c r="AN76" s="4">
        <f t="shared" si="45"/>
        <v>0</v>
      </c>
      <c r="AQ76" s="1">
        <v>35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0.1</v>
      </c>
      <c r="BQ76" s="2">
        <v>0.1</v>
      </c>
      <c r="BR76" s="2">
        <v>0.1</v>
      </c>
      <c r="BS76" s="2">
        <v>0.1</v>
      </c>
      <c r="BT76" s="2">
        <v>0.1</v>
      </c>
      <c r="BU76" s="2">
        <v>0.1</v>
      </c>
      <c r="BV76" s="2">
        <v>0.1</v>
      </c>
      <c r="BW76" s="2">
        <v>0.1</v>
      </c>
      <c r="BX76" s="2">
        <v>0.1</v>
      </c>
      <c r="BY76" s="2">
        <v>0.1</v>
      </c>
      <c r="BZ76" s="2">
        <v>0</v>
      </c>
    </row>
    <row r="77" spans="3:78" outlineLevel="1">
      <c r="C77" t="s">
        <v>574</v>
      </c>
      <c r="E77" s="133">
        <f>SUM(F77:AN77)</f>
        <v>0</v>
      </c>
      <c r="F77" s="4">
        <f t="shared" si="11"/>
        <v>0</v>
      </c>
      <c r="G77" s="4">
        <f t="shared" si="12"/>
        <v>0</v>
      </c>
      <c r="H77" s="4">
        <f t="shared" si="13"/>
        <v>0</v>
      </c>
      <c r="I77" s="4">
        <f t="shared" si="14"/>
        <v>0</v>
      </c>
      <c r="J77" s="4">
        <f t="shared" si="15"/>
        <v>0</v>
      </c>
      <c r="K77" s="4">
        <f t="shared" si="16"/>
        <v>0</v>
      </c>
      <c r="L77" s="4">
        <f t="shared" si="17"/>
        <v>0</v>
      </c>
      <c r="M77" s="4">
        <f t="shared" si="18"/>
        <v>0</v>
      </c>
      <c r="N77" s="4">
        <f t="shared" si="19"/>
        <v>0</v>
      </c>
      <c r="O77" s="4">
        <f t="shared" si="20"/>
        <v>0</v>
      </c>
      <c r="P77" s="4">
        <f t="shared" si="21"/>
        <v>0</v>
      </c>
      <c r="Q77" s="4">
        <f t="shared" si="22"/>
        <v>0</v>
      </c>
      <c r="R77" s="4">
        <f t="shared" si="23"/>
        <v>0</v>
      </c>
      <c r="S77" s="4">
        <f t="shared" si="24"/>
        <v>0</v>
      </c>
      <c r="T77" s="4">
        <f t="shared" si="25"/>
        <v>0</v>
      </c>
      <c r="U77" s="4">
        <f t="shared" si="26"/>
        <v>0</v>
      </c>
      <c r="V77" s="4">
        <f t="shared" si="27"/>
        <v>0</v>
      </c>
      <c r="W77" s="4">
        <f t="shared" si="28"/>
        <v>0</v>
      </c>
      <c r="X77" s="4">
        <f t="shared" si="29"/>
        <v>0</v>
      </c>
      <c r="Y77" s="4">
        <f t="shared" si="30"/>
        <v>0</v>
      </c>
      <c r="Z77" s="4">
        <f t="shared" si="31"/>
        <v>0</v>
      </c>
      <c r="AA77" s="4">
        <f t="shared" si="32"/>
        <v>0</v>
      </c>
      <c r="AB77" s="4">
        <f t="shared" si="33"/>
        <v>0</v>
      </c>
      <c r="AC77" s="4">
        <f t="shared" si="34"/>
        <v>0</v>
      </c>
      <c r="AD77" s="4">
        <f t="shared" si="35"/>
        <v>0</v>
      </c>
      <c r="AE77" s="4">
        <f t="shared" si="36"/>
        <v>0</v>
      </c>
      <c r="AF77" s="4">
        <f t="shared" si="37"/>
        <v>0</v>
      </c>
      <c r="AG77" s="4">
        <f t="shared" si="38"/>
        <v>0</v>
      </c>
      <c r="AH77" s="4">
        <f t="shared" si="39"/>
        <v>0</v>
      </c>
      <c r="AI77" s="4">
        <f t="shared" si="40"/>
        <v>0</v>
      </c>
      <c r="AJ77" s="4">
        <f t="shared" si="41"/>
        <v>0</v>
      </c>
      <c r="AK77" s="4">
        <f t="shared" si="42"/>
        <v>0</v>
      </c>
      <c r="AL77" s="4">
        <f t="shared" si="43"/>
        <v>0</v>
      </c>
      <c r="AM77" s="4">
        <f t="shared" si="44"/>
        <v>0</v>
      </c>
      <c r="AN77" s="4">
        <f t="shared" si="45"/>
        <v>0</v>
      </c>
      <c r="AQ77" t="s">
        <v>575</v>
      </c>
      <c r="AR77" s="145">
        <v>0.99999999999999989</v>
      </c>
      <c r="AS77" s="145">
        <v>0.99999999999999989</v>
      </c>
      <c r="AT77" s="145">
        <v>0.99999999999999989</v>
      </c>
      <c r="AU77" s="145">
        <v>0.99999999999999989</v>
      </c>
      <c r="AV77" s="145">
        <v>0.99999999999999989</v>
      </c>
      <c r="AW77" s="145">
        <v>0.99999999999999989</v>
      </c>
      <c r="AX77" s="145">
        <v>0.99999999999999989</v>
      </c>
      <c r="AY77" s="145">
        <v>0.99999999999999989</v>
      </c>
      <c r="AZ77" s="145">
        <v>0.99999999999999989</v>
      </c>
      <c r="BA77" s="145">
        <v>0.99999999999999989</v>
      </c>
      <c r="BB77" s="145">
        <v>0.99999999999999989</v>
      </c>
      <c r="BC77" s="145">
        <v>0.99999999999999989</v>
      </c>
      <c r="BD77" s="145">
        <v>0.99999999999999989</v>
      </c>
      <c r="BE77" s="145">
        <v>0.99999999999999989</v>
      </c>
      <c r="BF77" s="145">
        <v>0.99999999999999989</v>
      </c>
      <c r="BG77" s="145">
        <v>0.99999999999999989</v>
      </c>
      <c r="BH77" s="145">
        <v>0.99999999999999989</v>
      </c>
      <c r="BI77" s="145">
        <v>0.99999999999999989</v>
      </c>
      <c r="BJ77" s="145">
        <v>0.99999999999999989</v>
      </c>
      <c r="BK77" s="145">
        <v>0.99999999999999989</v>
      </c>
      <c r="BL77" s="145">
        <v>0.99999999999999989</v>
      </c>
      <c r="BM77" s="145">
        <v>0.99999999999999989</v>
      </c>
      <c r="BN77" s="145">
        <v>0.99999999999999989</v>
      </c>
      <c r="BO77" s="145">
        <v>0.99999999999999989</v>
      </c>
      <c r="BP77" s="145">
        <v>0.99999999999999989</v>
      </c>
      <c r="BQ77" s="145">
        <v>0.89999999999999991</v>
      </c>
      <c r="BR77" s="145">
        <v>0.79999999999999993</v>
      </c>
      <c r="BS77" s="145">
        <v>0.7</v>
      </c>
      <c r="BT77" s="145">
        <v>0.6</v>
      </c>
      <c r="BU77" s="145">
        <v>0.5</v>
      </c>
      <c r="BV77" s="145">
        <v>0.4</v>
      </c>
      <c r="BW77" s="145">
        <v>0.30000000000000004</v>
      </c>
      <c r="BX77" s="145">
        <v>0.2</v>
      </c>
      <c r="BY77" s="145">
        <v>0.1</v>
      </c>
      <c r="BZ77" s="145">
        <v>0</v>
      </c>
    </row>
    <row r="78" spans="3:78" outlineLevel="1">
      <c r="L78" s="4"/>
    </row>
    <row r="79" spans="3:78" outlineLevel="1"/>
    <row r="80" spans="3:78" outlineLevel="1"/>
    <row r="81" spans="3:78" ht="15.75" outlineLevel="1">
      <c r="C81" s="142" t="s">
        <v>576</v>
      </c>
      <c r="F81" s="140">
        <v>1</v>
      </c>
      <c r="G81" s="140">
        <v>2</v>
      </c>
      <c r="H81" s="140">
        <v>3</v>
      </c>
      <c r="I81" s="140">
        <v>4</v>
      </c>
      <c r="J81" s="140">
        <v>5</v>
      </c>
      <c r="K81" s="140">
        <v>6</v>
      </c>
      <c r="L81" s="140">
        <v>7</v>
      </c>
      <c r="M81" s="140">
        <v>8</v>
      </c>
      <c r="N81" s="140">
        <v>9</v>
      </c>
      <c r="O81" s="140">
        <v>10</v>
      </c>
      <c r="P81" s="140">
        <v>11</v>
      </c>
      <c r="Q81" s="140">
        <v>12</v>
      </c>
      <c r="R81" s="140">
        <v>13</v>
      </c>
      <c r="S81" s="140">
        <v>14</v>
      </c>
      <c r="T81" s="140">
        <v>15</v>
      </c>
      <c r="U81" s="140">
        <v>16</v>
      </c>
      <c r="V81" s="140">
        <v>17</v>
      </c>
      <c r="W81" s="140">
        <v>18</v>
      </c>
      <c r="X81" s="140">
        <v>19</v>
      </c>
      <c r="Y81" s="140">
        <v>20</v>
      </c>
      <c r="Z81" s="140">
        <v>21</v>
      </c>
      <c r="AA81" s="140">
        <v>22</v>
      </c>
      <c r="AB81" s="140">
        <v>23</v>
      </c>
      <c r="AC81" s="140">
        <v>24</v>
      </c>
      <c r="AD81" s="140">
        <v>25</v>
      </c>
      <c r="AE81" s="140">
        <v>26</v>
      </c>
      <c r="AF81" s="140">
        <v>27</v>
      </c>
      <c r="AG81" s="140">
        <v>28</v>
      </c>
      <c r="AH81" s="140">
        <v>29</v>
      </c>
      <c r="AI81" s="140">
        <v>30</v>
      </c>
      <c r="AJ81" s="140">
        <v>31</v>
      </c>
      <c r="AK81" s="140">
        <v>32</v>
      </c>
      <c r="AL81" s="140">
        <v>33</v>
      </c>
      <c r="AM81" s="140">
        <v>34</v>
      </c>
      <c r="AN81" s="140">
        <v>35</v>
      </c>
      <c r="AR81" s="1">
        <v>1</v>
      </c>
      <c r="AS81" s="1">
        <v>2</v>
      </c>
      <c r="AT81" s="1">
        <v>3</v>
      </c>
      <c r="AU81" s="1">
        <v>4</v>
      </c>
      <c r="AV81" s="1">
        <v>5</v>
      </c>
      <c r="AW81" s="1">
        <v>6</v>
      </c>
      <c r="AX81" s="1">
        <v>7</v>
      </c>
      <c r="AY81" s="1">
        <v>8</v>
      </c>
      <c r="AZ81" s="1">
        <v>9</v>
      </c>
      <c r="BA81" s="1">
        <v>10</v>
      </c>
      <c r="BB81" s="1">
        <v>11</v>
      </c>
      <c r="BC81" s="1">
        <v>12</v>
      </c>
      <c r="BD81" s="1">
        <v>13</v>
      </c>
      <c r="BE81" s="1">
        <v>14</v>
      </c>
      <c r="BF81" s="1">
        <v>15</v>
      </c>
      <c r="BG81" s="1">
        <v>16</v>
      </c>
      <c r="BH81" s="1">
        <v>17</v>
      </c>
      <c r="BI81" s="1">
        <v>18</v>
      </c>
      <c r="BJ81" s="1">
        <v>19</v>
      </c>
      <c r="BK81" s="1">
        <v>20</v>
      </c>
      <c r="BL81" s="1">
        <v>21</v>
      </c>
      <c r="BM81" s="1">
        <v>22</v>
      </c>
      <c r="BN81" s="1">
        <v>23</v>
      </c>
      <c r="BO81" s="1">
        <v>24</v>
      </c>
      <c r="BP81" s="1">
        <v>25</v>
      </c>
      <c r="BQ81" s="1">
        <v>26</v>
      </c>
      <c r="BR81" s="1">
        <v>27</v>
      </c>
      <c r="BS81" s="1">
        <v>28</v>
      </c>
      <c r="BT81" s="1">
        <v>29</v>
      </c>
      <c r="BU81" s="1">
        <v>30</v>
      </c>
      <c r="BV81" s="1">
        <v>31</v>
      </c>
      <c r="BW81" s="1">
        <v>32</v>
      </c>
      <c r="BX81" s="1">
        <v>33</v>
      </c>
      <c r="BY81" s="1">
        <v>34</v>
      </c>
      <c r="BZ81" s="1">
        <v>35</v>
      </c>
    </row>
    <row r="82" spans="3:78" ht="15.75" outlineLevel="1">
      <c r="C82" s="142" t="s">
        <v>539</v>
      </c>
      <c r="F82" s="144">
        <f t="array" ref="F82:AN82">TRANSPOSE(E84:E118)</f>
        <v>0</v>
      </c>
      <c r="G82" s="144">
        <v>121765.06073952692</v>
      </c>
      <c r="H82" s="144">
        <v>243530.12147905384</v>
      </c>
      <c r="I82" s="144">
        <v>243530.12147905384</v>
      </c>
      <c r="J82" s="144">
        <v>243530.12147905384</v>
      </c>
      <c r="K82" s="144">
        <v>243530.12147905384</v>
      </c>
      <c r="L82" s="144">
        <v>243530.12147905384</v>
      </c>
      <c r="M82" s="144">
        <v>243530.12147905384</v>
      </c>
      <c r="N82" s="144">
        <v>243530.12147905384</v>
      </c>
      <c r="O82" s="144">
        <v>243530.12147905384</v>
      </c>
      <c r="P82" s="144">
        <v>243530.12147905384</v>
      </c>
      <c r="Q82" s="144">
        <v>243530.12147905384</v>
      </c>
      <c r="R82" s="144">
        <v>243530.12147905384</v>
      </c>
      <c r="S82" s="144">
        <v>243530.12147905384</v>
      </c>
      <c r="T82" s="144">
        <v>243530.12147905384</v>
      </c>
      <c r="U82" s="144">
        <v>243530.12147905384</v>
      </c>
      <c r="V82" s="144">
        <v>243530.12147905384</v>
      </c>
      <c r="W82" s="144">
        <v>243530.12147905384</v>
      </c>
      <c r="X82" s="144">
        <v>243530.12147905384</v>
      </c>
      <c r="Y82" s="144">
        <v>243530.12147905384</v>
      </c>
      <c r="Z82" s="144">
        <v>243530.12147905384</v>
      </c>
      <c r="AA82" s="144">
        <v>243530.12147905384</v>
      </c>
      <c r="AB82" s="144">
        <v>243530.12147905384</v>
      </c>
      <c r="AC82" s="144">
        <v>243530.12147905384</v>
      </c>
      <c r="AD82" s="144">
        <v>243530.12147905384</v>
      </c>
      <c r="AE82" s="144">
        <v>243530.12147905384</v>
      </c>
      <c r="AF82" s="144">
        <v>121765.06073952692</v>
      </c>
      <c r="AG82" s="144">
        <v>0</v>
      </c>
      <c r="AH82" s="144">
        <v>0</v>
      </c>
      <c r="AI82" s="144">
        <v>0</v>
      </c>
      <c r="AJ82" s="144">
        <v>0</v>
      </c>
      <c r="AK82" s="144">
        <v>0</v>
      </c>
      <c r="AL82" s="144">
        <v>0</v>
      </c>
      <c r="AM82" s="144">
        <v>0</v>
      </c>
      <c r="AN82" s="144">
        <v>0</v>
      </c>
    </row>
    <row r="83" spans="3:78" outlineLevel="1">
      <c r="AP83" s="2"/>
      <c r="AQ83" s="1">
        <v>1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</row>
    <row r="84" spans="3:78" outlineLevel="1">
      <c r="C84" t="s">
        <v>232</v>
      </c>
      <c r="E84" s="133">
        <f t="shared" ref="E84:E118" si="46">SUM(F84:AN84)</f>
        <v>0</v>
      </c>
      <c r="F84" s="4">
        <f t="shared" ref="F84:F118" si="47">G$29*AR83</f>
        <v>0</v>
      </c>
      <c r="G84" s="4">
        <f t="shared" ref="G84:G118" si="48">H$29*AS83</f>
        <v>0</v>
      </c>
      <c r="H84" s="4">
        <f t="shared" ref="H84:H118" si="49">I$29*AT83</f>
        <v>0</v>
      </c>
      <c r="I84" s="4">
        <f t="shared" ref="I84:I118" si="50">J$29*AU83</f>
        <v>0</v>
      </c>
      <c r="J84" s="4">
        <f t="shared" ref="J84:J118" si="51">K$29*AV83</f>
        <v>0</v>
      </c>
      <c r="K84" s="4">
        <f t="shared" ref="K84:K118" si="52">L$29*AW83</f>
        <v>0</v>
      </c>
      <c r="L84" s="4">
        <f t="shared" ref="L84:L118" si="53">M$29*AX83</f>
        <v>0</v>
      </c>
      <c r="M84" s="4">
        <f t="shared" ref="M84:M118" si="54">N$29*AY83</f>
        <v>0</v>
      </c>
      <c r="N84" s="4">
        <f t="shared" ref="N84:N118" si="55">O$29*AZ83</f>
        <v>0</v>
      </c>
      <c r="O84" s="4">
        <f t="shared" ref="O84:O118" si="56">P$29*BA83</f>
        <v>0</v>
      </c>
      <c r="P84" s="4">
        <f t="shared" ref="P84:P118" si="57">Q$29*BB83</f>
        <v>0</v>
      </c>
      <c r="Q84" s="4">
        <f t="shared" ref="Q84:Q118" si="58">R$29*BC83</f>
        <v>0</v>
      </c>
      <c r="R84" s="4">
        <f t="shared" ref="R84:R118" si="59">S$29*BD83</f>
        <v>0</v>
      </c>
      <c r="S84" s="4">
        <f t="shared" ref="S84:S118" si="60">T$29*BE83</f>
        <v>0</v>
      </c>
      <c r="T84" s="4">
        <f t="shared" ref="T84:T118" si="61">U$29*BF83</f>
        <v>0</v>
      </c>
      <c r="U84" s="4">
        <f t="shared" ref="U84:U118" si="62">V$29*BG83</f>
        <v>0</v>
      </c>
      <c r="V84" s="4">
        <f t="shared" ref="V84:V118" si="63">W$29*BH83</f>
        <v>0</v>
      </c>
      <c r="W84" s="4">
        <f t="shared" ref="W84:W118" si="64">X$29*BI83</f>
        <v>0</v>
      </c>
      <c r="X84" s="4">
        <f t="shared" ref="X84:X118" si="65">Y$29*BJ83</f>
        <v>0</v>
      </c>
      <c r="Y84" s="4">
        <f t="shared" ref="Y84:Y118" si="66">Z$29*BK83</f>
        <v>0</v>
      </c>
      <c r="Z84" s="4">
        <f t="shared" ref="Z84:Z118" si="67">AA$29*BL83</f>
        <v>0</v>
      </c>
      <c r="AA84" s="4">
        <f t="shared" ref="AA84:AA118" si="68">AB$29*BM83</f>
        <v>0</v>
      </c>
      <c r="AB84" s="4">
        <f t="shared" ref="AB84:AB118" si="69">AC$29*BN83</f>
        <v>0</v>
      </c>
      <c r="AC84" s="4">
        <f t="shared" ref="AC84:AC118" si="70">AD$29*BO83</f>
        <v>0</v>
      </c>
      <c r="AD84" s="4">
        <f t="shared" ref="AD84:AD118" si="71">AE$29*BP83</f>
        <v>0</v>
      </c>
      <c r="AE84" s="4">
        <f t="shared" ref="AE84:AE118" si="72">AF$29*BQ83</f>
        <v>0</v>
      </c>
      <c r="AF84" s="4">
        <f t="shared" ref="AF84:AF118" si="73">AG$29*BR83</f>
        <v>0</v>
      </c>
      <c r="AG84" s="4">
        <f t="shared" ref="AG84:AG118" si="74">AH$29*BS83</f>
        <v>0</v>
      </c>
      <c r="AH84" s="4">
        <f t="shared" ref="AH84:AH118" si="75">AI$29*BT83</f>
        <v>0</v>
      </c>
      <c r="AI84" s="4">
        <f t="shared" ref="AI84:AI118" si="76">AJ$29*BU83</f>
        <v>0</v>
      </c>
      <c r="AJ84" s="4">
        <f t="shared" ref="AJ84:AJ118" si="77">AK$29*BV83</f>
        <v>0</v>
      </c>
      <c r="AK84" s="4">
        <f t="shared" ref="AK84:AK118" si="78">AL$29*BW83</f>
        <v>0</v>
      </c>
      <c r="AL84" s="4">
        <f t="shared" ref="AL84:AL118" si="79">AM$29*BX83</f>
        <v>0</v>
      </c>
      <c r="AM84" s="4">
        <f t="shared" ref="AM84:AM118" si="80">AN$29*BY83</f>
        <v>0</v>
      </c>
      <c r="AN84" s="4">
        <f t="shared" ref="AN84:AN118" si="81">AO$29*BZ83</f>
        <v>0</v>
      </c>
      <c r="AP84" s="2"/>
      <c r="AQ84" s="1">
        <v>2</v>
      </c>
      <c r="AR84" s="2">
        <v>0.04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</row>
    <row r="85" spans="3:78" outlineLevel="1">
      <c r="C85" t="s">
        <v>541</v>
      </c>
      <c r="E85" s="133">
        <f>SUM(F85:AN85)</f>
        <v>121765.06073952692</v>
      </c>
      <c r="F85" s="4">
        <f t="shared" si="47"/>
        <v>121765.06073952692</v>
      </c>
      <c r="G85" s="4">
        <f t="shared" si="48"/>
        <v>0</v>
      </c>
      <c r="H85" s="4">
        <f t="shared" si="49"/>
        <v>0</v>
      </c>
      <c r="I85" s="4">
        <f t="shared" si="50"/>
        <v>0</v>
      </c>
      <c r="J85" s="4">
        <f t="shared" si="51"/>
        <v>0</v>
      </c>
      <c r="K85" s="4">
        <f t="shared" si="52"/>
        <v>0</v>
      </c>
      <c r="L85" s="4">
        <f t="shared" si="53"/>
        <v>0</v>
      </c>
      <c r="M85" s="4">
        <f t="shared" si="54"/>
        <v>0</v>
      </c>
      <c r="N85" s="4">
        <f t="shared" si="55"/>
        <v>0</v>
      </c>
      <c r="O85" s="4">
        <f t="shared" si="56"/>
        <v>0</v>
      </c>
      <c r="P85" s="4">
        <f t="shared" si="57"/>
        <v>0</v>
      </c>
      <c r="Q85" s="4">
        <f t="shared" si="58"/>
        <v>0</v>
      </c>
      <c r="R85" s="4">
        <f t="shared" si="59"/>
        <v>0</v>
      </c>
      <c r="S85" s="4">
        <f t="shared" si="60"/>
        <v>0</v>
      </c>
      <c r="T85" s="4">
        <f t="shared" si="61"/>
        <v>0</v>
      </c>
      <c r="U85" s="4">
        <f t="shared" si="62"/>
        <v>0</v>
      </c>
      <c r="V85" s="4">
        <f t="shared" si="63"/>
        <v>0</v>
      </c>
      <c r="W85" s="4">
        <f t="shared" si="64"/>
        <v>0</v>
      </c>
      <c r="X85" s="4">
        <f t="shared" si="65"/>
        <v>0</v>
      </c>
      <c r="Y85" s="4">
        <f t="shared" si="66"/>
        <v>0</v>
      </c>
      <c r="Z85" s="4">
        <f t="shared" si="67"/>
        <v>0</v>
      </c>
      <c r="AA85" s="4">
        <f t="shared" si="68"/>
        <v>0</v>
      </c>
      <c r="AB85" s="4">
        <f t="shared" si="69"/>
        <v>0</v>
      </c>
      <c r="AC85" s="4">
        <f t="shared" si="70"/>
        <v>0</v>
      </c>
      <c r="AD85" s="4">
        <f t="shared" si="71"/>
        <v>0</v>
      </c>
      <c r="AE85" s="4">
        <f t="shared" si="72"/>
        <v>0</v>
      </c>
      <c r="AF85" s="4">
        <f t="shared" si="73"/>
        <v>0</v>
      </c>
      <c r="AG85" s="4">
        <f t="shared" si="74"/>
        <v>0</v>
      </c>
      <c r="AH85" s="4">
        <f t="shared" si="75"/>
        <v>0</v>
      </c>
      <c r="AI85" s="4">
        <f t="shared" si="76"/>
        <v>0</v>
      </c>
      <c r="AJ85" s="4">
        <f t="shared" si="77"/>
        <v>0</v>
      </c>
      <c r="AK85" s="4">
        <f t="shared" si="78"/>
        <v>0</v>
      </c>
      <c r="AL85" s="4">
        <f t="shared" si="79"/>
        <v>0</v>
      </c>
      <c r="AM85" s="4">
        <f t="shared" si="80"/>
        <v>0</v>
      </c>
      <c r="AN85" s="4">
        <f t="shared" si="81"/>
        <v>0</v>
      </c>
      <c r="AP85" s="2"/>
      <c r="AQ85" s="1">
        <v>3</v>
      </c>
      <c r="AR85" s="2">
        <v>0.04</v>
      </c>
      <c r="AS85" s="2">
        <v>0.04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</row>
    <row r="86" spans="3:78" outlineLevel="1">
      <c r="C86" t="s">
        <v>542</v>
      </c>
      <c r="E86" s="133">
        <f t="shared" si="46"/>
        <v>243530.12147905384</v>
      </c>
      <c r="F86" s="4">
        <f t="shared" si="47"/>
        <v>121765.06073952692</v>
      </c>
      <c r="G86" s="4">
        <f t="shared" si="48"/>
        <v>121765.06073952692</v>
      </c>
      <c r="H86" s="4">
        <f t="shared" si="49"/>
        <v>0</v>
      </c>
      <c r="I86" s="4">
        <f t="shared" si="50"/>
        <v>0</v>
      </c>
      <c r="J86" s="4">
        <f t="shared" si="51"/>
        <v>0</v>
      </c>
      <c r="K86" s="4">
        <f t="shared" si="52"/>
        <v>0</v>
      </c>
      <c r="L86" s="4">
        <f t="shared" si="53"/>
        <v>0</v>
      </c>
      <c r="M86" s="4">
        <f t="shared" si="54"/>
        <v>0</v>
      </c>
      <c r="N86" s="4">
        <f t="shared" si="55"/>
        <v>0</v>
      </c>
      <c r="O86" s="4">
        <f t="shared" si="56"/>
        <v>0</v>
      </c>
      <c r="P86" s="4">
        <f t="shared" si="57"/>
        <v>0</v>
      </c>
      <c r="Q86" s="4">
        <f t="shared" si="58"/>
        <v>0</v>
      </c>
      <c r="R86" s="4">
        <f t="shared" si="59"/>
        <v>0</v>
      </c>
      <c r="S86" s="4">
        <f t="shared" si="60"/>
        <v>0</v>
      </c>
      <c r="T86" s="4">
        <f t="shared" si="61"/>
        <v>0</v>
      </c>
      <c r="U86" s="4">
        <f t="shared" si="62"/>
        <v>0</v>
      </c>
      <c r="V86" s="4">
        <f t="shared" si="63"/>
        <v>0</v>
      </c>
      <c r="W86" s="4">
        <f t="shared" si="64"/>
        <v>0</v>
      </c>
      <c r="X86" s="4">
        <f t="shared" si="65"/>
        <v>0</v>
      </c>
      <c r="Y86" s="4">
        <f t="shared" si="66"/>
        <v>0</v>
      </c>
      <c r="Z86" s="4">
        <f t="shared" si="67"/>
        <v>0</v>
      </c>
      <c r="AA86" s="4">
        <f t="shared" si="68"/>
        <v>0</v>
      </c>
      <c r="AB86" s="4">
        <f t="shared" si="69"/>
        <v>0</v>
      </c>
      <c r="AC86" s="4">
        <f t="shared" si="70"/>
        <v>0</v>
      </c>
      <c r="AD86" s="4">
        <f t="shared" si="71"/>
        <v>0</v>
      </c>
      <c r="AE86" s="4">
        <f t="shared" si="72"/>
        <v>0</v>
      </c>
      <c r="AF86" s="4">
        <f t="shared" si="73"/>
        <v>0</v>
      </c>
      <c r="AG86" s="4">
        <f t="shared" si="74"/>
        <v>0</v>
      </c>
      <c r="AH86" s="4">
        <f t="shared" si="75"/>
        <v>0</v>
      </c>
      <c r="AI86" s="4">
        <f t="shared" si="76"/>
        <v>0</v>
      </c>
      <c r="AJ86" s="4">
        <f t="shared" si="77"/>
        <v>0</v>
      </c>
      <c r="AK86" s="4">
        <f t="shared" si="78"/>
        <v>0</v>
      </c>
      <c r="AL86" s="4">
        <f t="shared" si="79"/>
        <v>0</v>
      </c>
      <c r="AM86" s="4">
        <f t="shared" si="80"/>
        <v>0</v>
      </c>
      <c r="AN86" s="4">
        <f t="shared" si="81"/>
        <v>0</v>
      </c>
      <c r="AP86" s="2"/>
      <c r="AQ86" s="1">
        <v>4</v>
      </c>
      <c r="AR86" s="2">
        <v>0.04</v>
      </c>
      <c r="AS86" s="2">
        <v>0.04</v>
      </c>
      <c r="AT86" s="2">
        <v>0.04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</row>
    <row r="87" spans="3:78" outlineLevel="1">
      <c r="C87" t="s">
        <v>543</v>
      </c>
      <c r="E87" s="133">
        <f t="shared" si="46"/>
        <v>243530.12147905384</v>
      </c>
      <c r="F87" s="4">
        <f t="shared" si="47"/>
        <v>121765.06073952692</v>
      </c>
      <c r="G87" s="4">
        <f t="shared" si="48"/>
        <v>121765.06073952692</v>
      </c>
      <c r="H87" s="4">
        <f t="shared" si="49"/>
        <v>0</v>
      </c>
      <c r="I87" s="4">
        <f t="shared" si="50"/>
        <v>0</v>
      </c>
      <c r="J87" s="4">
        <f t="shared" si="51"/>
        <v>0</v>
      </c>
      <c r="K87" s="4">
        <f t="shared" si="52"/>
        <v>0</v>
      </c>
      <c r="L87" s="4">
        <f t="shared" si="53"/>
        <v>0</v>
      </c>
      <c r="M87" s="4">
        <f t="shared" si="54"/>
        <v>0</v>
      </c>
      <c r="N87" s="4">
        <f t="shared" si="55"/>
        <v>0</v>
      </c>
      <c r="O87" s="4">
        <f t="shared" si="56"/>
        <v>0</v>
      </c>
      <c r="P87" s="4">
        <f t="shared" si="57"/>
        <v>0</v>
      </c>
      <c r="Q87" s="4">
        <f t="shared" si="58"/>
        <v>0</v>
      </c>
      <c r="R87" s="4">
        <f t="shared" si="59"/>
        <v>0</v>
      </c>
      <c r="S87" s="4">
        <f t="shared" si="60"/>
        <v>0</v>
      </c>
      <c r="T87" s="4">
        <f t="shared" si="61"/>
        <v>0</v>
      </c>
      <c r="U87" s="4">
        <f t="shared" si="62"/>
        <v>0</v>
      </c>
      <c r="V87" s="4">
        <f t="shared" si="63"/>
        <v>0</v>
      </c>
      <c r="W87" s="4">
        <f t="shared" si="64"/>
        <v>0</v>
      </c>
      <c r="X87" s="4">
        <f t="shared" si="65"/>
        <v>0</v>
      </c>
      <c r="Y87" s="4">
        <f t="shared" si="66"/>
        <v>0</v>
      </c>
      <c r="Z87" s="4">
        <f t="shared" si="67"/>
        <v>0</v>
      </c>
      <c r="AA87" s="4">
        <f t="shared" si="68"/>
        <v>0</v>
      </c>
      <c r="AB87" s="4">
        <f t="shared" si="69"/>
        <v>0</v>
      </c>
      <c r="AC87" s="4">
        <f t="shared" si="70"/>
        <v>0</v>
      </c>
      <c r="AD87" s="4">
        <f t="shared" si="71"/>
        <v>0</v>
      </c>
      <c r="AE87" s="4">
        <f t="shared" si="72"/>
        <v>0</v>
      </c>
      <c r="AF87" s="4">
        <f t="shared" si="73"/>
        <v>0</v>
      </c>
      <c r="AG87" s="4">
        <f t="shared" si="74"/>
        <v>0</v>
      </c>
      <c r="AH87" s="4">
        <f t="shared" si="75"/>
        <v>0</v>
      </c>
      <c r="AI87" s="4">
        <f t="shared" si="76"/>
        <v>0</v>
      </c>
      <c r="AJ87" s="4">
        <f t="shared" si="77"/>
        <v>0</v>
      </c>
      <c r="AK87" s="4">
        <f t="shared" si="78"/>
        <v>0</v>
      </c>
      <c r="AL87" s="4">
        <f t="shared" si="79"/>
        <v>0</v>
      </c>
      <c r="AM87" s="4">
        <f t="shared" si="80"/>
        <v>0</v>
      </c>
      <c r="AN87" s="4">
        <f t="shared" si="81"/>
        <v>0</v>
      </c>
      <c r="AP87" s="2"/>
      <c r="AQ87" s="1">
        <v>5</v>
      </c>
      <c r="AR87" s="2">
        <v>0.04</v>
      </c>
      <c r="AS87" s="2">
        <v>0.04</v>
      </c>
      <c r="AT87" s="2">
        <v>0.04</v>
      </c>
      <c r="AU87" s="2">
        <v>0.04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</row>
    <row r="88" spans="3:78" outlineLevel="1">
      <c r="C88" t="s">
        <v>544</v>
      </c>
      <c r="E88" s="133">
        <f t="shared" si="46"/>
        <v>243530.12147905384</v>
      </c>
      <c r="F88" s="4">
        <f t="shared" si="47"/>
        <v>121765.06073952692</v>
      </c>
      <c r="G88" s="4">
        <f t="shared" si="48"/>
        <v>121765.06073952692</v>
      </c>
      <c r="H88" s="4">
        <f t="shared" si="49"/>
        <v>0</v>
      </c>
      <c r="I88" s="4">
        <f t="shared" si="50"/>
        <v>0</v>
      </c>
      <c r="J88" s="4">
        <f t="shared" si="51"/>
        <v>0</v>
      </c>
      <c r="K88" s="4">
        <f t="shared" si="52"/>
        <v>0</v>
      </c>
      <c r="L88" s="4">
        <f t="shared" si="53"/>
        <v>0</v>
      </c>
      <c r="M88" s="4">
        <f t="shared" si="54"/>
        <v>0</v>
      </c>
      <c r="N88" s="4">
        <f t="shared" si="55"/>
        <v>0</v>
      </c>
      <c r="O88" s="4">
        <f t="shared" si="56"/>
        <v>0</v>
      </c>
      <c r="P88" s="4">
        <f t="shared" si="57"/>
        <v>0</v>
      </c>
      <c r="Q88" s="4">
        <f t="shared" si="58"/>
        <v>0</v>
      </c>
      <c r="R88" s="4">
        <f t="shared" si="59"/>
        <v>0</v>
      </c>
      <c r="S88" s="4">
        <f t="shared" si="60"/>
        <v>0</v>
      </c>
      <c r="T88" s="4">
        <f t="shared" si="61"/>
        <v>0</v>
      </c>
      <c r="U88" s="4">
        <f t="shared" si="62"/>
        <v>0</v>
      </c>
      <c r="V88" s="4">
        <f t="shared" si="63"/>
        <v>0</v>
      </c>
      <c r="W88" s="4">
        <f t="shared" si="64"/>
        <v>0</v>
      </c>
      <c r="X88" s="4">
        <f t="shared" si="65"/>
        <v>0</v>
      </c>
      <c r="Y88" s="4">
        <f t="shared" si="66"/>
        <v>0</v>
      </c>
      <c r="Z88" s="4">
        <f t="shared" si="67"/>
        <v>0</v>
      </c>
      <c r="AA88" s="4">
        <f t="shared" si="68"/>
        <v>0</v>
      </c>
      <c r="AB88" s="4">
        <f t="shared" si="69"/>
        <v>0</v>
      </c>
      <c r="AC88" s="4">
        <f t="shared" si="70"/>
        <v>0</v>
      </c>
      <c r="AD88" s="4">
        <f t="shared" si="71"/>
        <v>0</v>
      </c>
      <c r="AE88" s="4">
        <f t="shared" si="72"/>
        <v>0</v>
      </c>
      <c r="AF88" s="4">
        <f t="shared" si="73"/>
        <v>0</v>
      </c>
      <c r="AG88" s="4">
        <f t="shared" si="74"/>
        <v>0</v>
      </c>
      <c r="AH88" s="4">
        <f t="shared" si="75"/>
        <v>0</v>
      </c>
      <c r="AI88" s="4">
        <f t="shared" si="76"/>
        <v>0</v>
      </c>
      <c r="AJ88" s="4">
        <f t="shared" si="77"/>
        <v>0</v>
      </c>
      <c r="AK88" s="4">
        <f t="shared" si="78"/>
        <v>0</v>
      </c>
      <c r="AL88" s="4">
        <f t="shared" si="79"/>
        <v>0</v>
      </c>
      <c r="AM88" s="4">
        <f t="shared" si="80"/>
        <v>0</v>
      </c>
      <c r="AN88" s="4">
        <f t="shared" si="81"/>
        <v>0</v>
      </c>
      <c r="AP88" s="2"/>
      <c r="AQ88" s="1">
        <v>6</v>
      </c>
      <c r="AR88" s="2">
        <v>0.04</v>
      </c>
      <c r="AS88" s="2">
        <v>0.04</v>
      </c>
      <c r="AT88" s="2">
        <v>0.04</v>
      </c>
      <c r="AU88" s="2">
        <v>0.04</v>
      </c>
      <c r="AV88" s="2">
        <v>0.04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</row>
    <row r="89" spans="3:78" outlineLevel="1">
      <c r="C89" t="s">
        <v>545</v>
      </c>
      <c r="E89" s="133">
        <f t="shared" si="46"/>
        <v>243530.12147905384</v>
      </c>
      <c r="F89" s="4">
        <f t="shared" si="47"/>
        <v>121765.06073952692</v>
      </c>
      <c r="G89" s="4">
        <f t="shared" si="48"/>
        <v>121765.06073952692</v>
      </c>
      <c r="H89" s="4">
        <f t="shared" si="49"/>
        <v>0</v>
      </c>
      <c r="I89" s="4">
        <f t="shared" si="50"/>
        <v>0</v>
      </c>
      <c r="J89" s="4">
        <f t="shared" si="51"/>
        <v>0</v>
      </c>
      <c r="K89" s="4">
        <f t="shared" si="52"/>
        <v>0</v>
      </c>
      <c r="L89" s="4">
        <f t="shared" si="53"/>
        <v>0</v>
      </c>
      <c r="M89" s="4">
        <f t="shared" si="54"/>
        <v>0</v>
      </c>
      <c r="N89" s="4">
        <f t="shared" si="55"/>
        <v>0</v>
      </c>
      <c r="O89" s="4">
        <f t="shared" si="56"/>
        <v>0</v>
      </c>
      <c r="P89" s="4">
        <f t="shared" si="57"/>
        <v>0</v>
      </c>
      <c r="Q89" s="4">
        <f t="shared" si="58"/>
        <v>0</v>
      </c>
      <c r="R89" s="4">
        <f t="shared" si="59"/>
        <v>0</v>
      </c>
      <c r="S89" s="4">
        <f t="shared" si="60"/>
        <v>0</v>
      </c>
      <c r="T89" s="4">
        <f t="shared" si="61"/>
        <v>0</v>
      </c>
      <c r="U89" s="4">
        <f t="shared" si="62"/>
        <v>0</v>
      </c>
      <c r="V89" s="4">
        <f t="shared" si="63"/>
        <v>0</v>
      </c>
      <c r="W89" s="4">
        <f t="shared" si="64"/>
        <v>0</v>
      </c>
      <c r="X89" s="4">
        <f t="shared" si="65"/>
        <v>0</v>
      </c>
      <c r="Y89" s="4">
        <f t="shared" si="66"/>
        <v>0</v>
      </c>
      <c r="Z89" s="4">
        <f t="shared" si="67"/>
        <v>0</v>
      </c>
      <c r="AA89" s="4">
        <f t="shared" si="68"/>
        <v>0</v>
      </c>
      <c r="AB89" s="4">
        <f t="shared" si="69"/>
        <v>0</v>
      </c>
      <c r="AC89" s="4">
        <f t="shared" si="70"/>
        <v>0</v>
      </c>
      <c r="AD89" s="4">
        <f t="shared" si="71"/>
        <v>0</v>
      </c>
      <c r="AE89" s="4">
        <f t="shared" si="72"/>
        <v>0</v>
      </c>
      <c r="AF89" s="4">
        <f t="shared" si="73"/>
        <v>0</v>
      </c>
      <c r="AG89" s="4">
        <f t="shared" si="74"/>
        <v>0</v>
      </c>
      <c r="AH89" s="4">
        <f t="shared" si="75"/>
        <v>0</v>
      </c>
      <c r="AI89" s="4">
        <f t="shared" si="76"/>
        <v>0</v>
      </c>
      <c r="AJ89" s="4">
        <f t="shared" si="77"/>
        <v>0</v>
      </c>
      <c r="AK89" s="4">
        <f t="shared" si="78"/>
        <v>0</v>
      </c>
      <c r="AL89" s="4">
        <f t="shared" si="79"/>
        <v>0</v>
      </c>
      <c r="AM89" s="4">
        <f t="shared" si="80"/>
        <v>0</v>
      </c>
      <c r="AN89" s="4">
        <f t="shared" si="81"/>
        <v>0</v>
      </c>
      <c r="AP89" s="2"/>
      <c r="AQ89" s="1">
        <v>7</v>
      </c>
      <c r="AR89" s="2">
        <v>0.04</v>
      </c>
      <c r="AS89" s="2">
        <v>0.04</v>
      </c>
      <c r="AT89" s="2">
        <v>0.04</v>
      </c>
      <c r="AU89" s="2">
        <v>0.04</v>
      </c>
      <c r="AV89" s="2">
        <v>0.04</v>
      </c>
      <c r="AW89" s="2">
        <v>0.04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</row>
    <row r="90" spans="3:78" outlineLevel="1">
      <c r="C90" t="s">
        <v>546</v>
      </c>
      <c r="E90" s="133">
        <f t="shared" si="46"/>
        <v>243530.12147905384</v>
      </c>
      <c r="F90" s="4">
        <f t="shared" si="47"/>
        <v>121765.06073952692</v>
      </c>
      <c r="G90" s="4">
        <f t="shared" si="48"/>
        <v>121765.06073952692</v>
      </c>
      <c r="H90" s="4">
        <f t="shared" si="49"/>
        <v>0</v>
      </c>
      <c r="I90" s="4">
        <f t="shared" si="50"/>
        <v>0</v>
      </c>
      <c r="J90" s="4">
        <f t="shared" si="51"/>
        <v>0</v>
      </c>
      <c r="K90" s="4">
        <f t="shared" si="52"/>
        <v>0</v>
      </c>
      <c r="L90" s="4">
        <f t="shared" si="53"/>
        <v>0</v>
      </c>
      <c r="M90" s="4">
        <f t="shared" si="54"/>
        <v>0</v>
      </c>
      <c r="N90" s="4">
        <f t="shared" si="55"/>
        <v>0</v>
      </c>
      <c r="O90" s="4">
        <f t="shared" si="56"/>
        <v>0</v>
      </c>
      <c r="P90" s="4">
        <f t="shared" si="57"/>
        <v>0</v>
      </c>
      <c r="Q90" s="4">
        <f t="shared" si="58"/>
        <v>0</v>
      </c>
      <c r="R90" s="4">
        <f t="shared" si="59"/>
        <v>0</v>
      </c>
      <c r="S90" s="4">
        <f t="shared" si="60"/>
        <v>0</v>
      </c>
      <c r="T90" s="4">
        <f t="shared" si="61"/>
        <v>0</v>
      </c>
      <c r="U90" s="4">
        <f t="shared" si="62"/>
        <v>0</v>
      </c>
      <c r="V90" s="4">
        <f t="shared" si="63"/>
        <v>0</v>
      </c>
      <c r="W90" s="4">
        <f t="shared" si="64"/>
        <v>0</v>
      </c>
      <c r="X90" s="4">
        <f t="shared" si="65"/>
        <v>0</v>
      </c>
      <c r="Y90" s="4">
        <f t="shared" si="66"/>
        <v>0</v>
      </c>
      <c r="Z90" s="4">
        <f t="shared" si="67"/>
        <v>0</v>
      </c>
      <c r="AA90" s="4">
        <f t="shared" si="68"/>
        <v>0</v>
      </c>
      <c r="AB90" s="4">
        <f t="shared" si="69"/>
        <v>0</v>
      </c>
      <c r="AC90" s="4">
        <f t="shared" si="70"/>
        <v>0</v>
      </c>
      <c r="AD90" s="4">
        <f t="shared" si="71"/>
        <v>0</v>
      </c>
      <c r="AE90" s="4">
        <f t="shared" si="72"/>
        <v>0</v>
      </c>
      <c r="AF90" s="4">
        <f t="shared" si="73"/>
        <v>0</v>
      </c>
      <c r="AG90" s="4">
        <f t="shared" si="74"/>
        <v>0</v>
      </c>
      <c r="AH90" s="4">
        <f t="shared" si="75"/>
        <v>0</v>
      </c>
      <c r="AI90" s="4">
        <f t="shared" si="76"/>
        <v>0</v>
      </c>
      <c r="AJ90" s="4">
        <f t="shared" si="77"/>
        <v>0</v>
      </c>
      <c r="AK90" s="4">
        <f t="shared" si="78"/>
        <v>0</v>
      </c>
      <c r="AL90" s="4">
        <f t="shared" si="79"/>
        <v>0</v>
      </c>
      <c r="AM90" s="4">
        <f t="shared" si="80"/>
        <v>0</v>
      </c>
      <c r="AN90" s="4">
        <f t="shared" si="81"/>
        <v>0</v>
      </c>
      <c r="AP90" s="2"/>
      <c r="AQ90" s="1">
        <v>8</v>
      </c>
      <c r="AR90" s="2">
        <v>0.04</v>
      </c>
      <c r="AS90" s="2">
        <v>0.04</v>
      </c>
      <c r="AT90" s="2">
        <v>0.04</v>
      </c>
      <c r="AU90" s="2">
        <v>0.04</v>
      </c>
      <c r="AV90" s="2">
        <v>0.04</v>
      </c>
      <c r="AW90" s="2">
        <v>0.04</v>
      </c>
      <c r="AX90" s="2">
        <v>0.04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</row>
    <row r="91" spans="3:78" outlineLevel="1">
      <c r="C91" t="s">
        <v>547</v>
      </c>
      <c r="E91" s="133">
        <f t="shared" si="46"/>
        <v>243530.12147905384</v>
      </c>
      <c r="F91" s="4">
        <f t="shared" si="47"/>
        <v>121765.06073952692</v>
      </c>
      <c r="G91" s="4">
        <f t="shared" si="48"/>
        <v>121765.06073952692</v>
      </c>
      <c r="H91" s="4">
        <f t="shared" si="49"/>
        <v>0</v>
      </c>
      <c r="I91" s="4">
        <f t="shared" si="50"/>
        <v>0</v>
      </c>
      <c r="J91" s="4">
        <f t="shared" si="51"/>
        <v>0</v>
      </c>
      <c r="K91" s="4">
        <f t="shared" si="52"/>
        <v>0</v>
      </c>
      <c r="L91" s="4">
        <f t="shared" si="53"/>
        <v>0</v>
      </c>
      <c r="M91" s="4">
        <f t="shared" si="54"/>
        <v>0</v>
      </c>
      <c r="N91" s="4">
        <f t="shared" si="55"/>
        <v>0</v>
      </c>
      <c r="O91" s="4">
        <f t="shared" si="56"/>
        <v>0</v>
      </c>
      <c r="P91" s="4">
        <f t="shared" si="57"/>
        <v>0</v>
      </c>
      <c r="Q91" s="4">
        <f t="shared" si="58"/>
        <v>0</v>
      </c>
      <c r="R91" s="4">
        <f t="shared" si="59"/>
        <v>0</v>
      </c>
      <c r="S91" s="4">
        <f t="shared" si="60"/>
        <v>0</v>
      </c>
      <c r="T91" s="4">
        <f t="shared" si="61"/>
        <v>0</v>
      </c>
      <c r="U91" s="4">
        <f t="shared" si="62"/>
        <v>0</v>
      </c>
      <c r="V91" s="4">
        <f t="shared" si="63"/>
        <v>0</v>
      </c>
      <c r="W91" s="4">
        <f t="shared" si="64"/>
        <v>0</v>
      </c>
      <c r="X91" s="4">
        <f t="shared" si="65"/>
        <v>0</v>
      </c>
      <c r="Y91" s="4">
        <f t="shared" si="66"/>
        <v>0</v>
      </c>
      <c r="Z91" s="4">
        <f t="shared" si="67"/>
        <v>0</v>
      </c>
      <c r="AA91" s="4">
        <f t="shared" si="68"/>
        <v>0</v>
      </c>
      <c r="AB91" s="4">
        <f t="shared" si="69"/>
        <v>0</v>
      </c>
      <c r="AC91" s="4">
        <f t="shared" si="70"/>
        <v>0</v>
      </c>
      <c r="AD91" s="4">
        <f t="shared" si="71"/>
        <v>0</v>
      </c>
      <c r="AE91" s="4">
        <f t="shared" si="72"/>
        <v>0</v>
      </c>
      <c r="AF91" s="4">
        <f t="shared" si="73"/>
        <v>0</v>
      </c>
      <c r="AG91" s="4">
        <f t="shared" si="74"/>
        <v>0</v>
      </c>
      <c r="AH91" s="4">
        <f t="shared" si="75"/>
        <v>0</v>
      </c>
      <c r="AI91" s="4">
        <f t="shared" si="76"/>
        <v>0</v>
      </c>
      <c r="AJ91" s="4">
        <f t="shared" si="77"/>
        <v>0</v>
      </c>
      <c r="AK91" s="4">
        <f t="shared" si="78"/>
        <v>0</v>
      </c>
      <c r="AL91" s="4">
        <f t="shared" si="79"/>
        <v>0</v>
      </c>
      <c r="AM91" s="4">
        <f t="shared" si="80"/>
        <v>0</v>
      </c>
      <c r="AN91" s="4">
        <f t="shared" si="81"/>
        <v>0</v>
      </c>
      <c r="AP91" s="2"/>
      <c r="AQ91" s="1">
        <v>9</v>
      </c>
      <c r="AR91" s="2">
        <v>0.04</v>
      </c>
      <c r="AS91" s="2">
        <v>0.04</v>
      </c>
      <c r="AT91" s="2">
        <v>0.04</v>
      </c>
      <c r="AU91" s="2">
        <v>0.04</v>
      </c>
      <c r="AV91" s="2">
        <v>0.04</v>
      </c>
      <c r="AW91" s="2">
        <v>0.04</v>
      </c>
      <c r="AX91" s="2">
        <v>0.04</v>
      </c>
      <c r="AY91" s="2">
        <v>0.04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</row>
    <row r="92" spans="3:78" outlineLevel="1">
      <c r="C92" t="s">
        <v>548</v>
      </c>
      <c r="E92" s="133">
        <f t="shared" si="46"/>
        <v>243530.12147905384</v>
      </c>
      <c r="F92" s="4">
        <f t="shared" si="47"/>
        <v>121765.06073952692</v>
      </c>
      <c r="G92" s="4">
        <f t="shared" si="48"/>
        <v>121765.06073952692</v>
      </c>
      <c r="H92" s="4">
        <f t="shared" si="49"/>
        <v>0</v>
      </c>
      <c r="I92" s="4">
        <f t="shared" si="50"/>
        <v>0</v>
      </c>
      <c r="J92" s="4">
        <f t="shared" si="51"/>
        <v>0</v>
      </c>
      <c r="K92" s="4">
        <f t="shared" si="52"/>
        <v>0</v>
      </c>
      <c r="L92" s="4">
        <f t="shared" si="53"/>
        <v>0</v>
      </c>
      <c r="M92" s="4">
        <f t="shared" si="54"/>
        <v>0</v>
      </c>
      <c r="N92" s="4">
        <f t="shared" si="55"/>
        <v>0</v>
      </c>
      <c r="O92" s="4">
        <f t="shared" si="56"/>
        <v>0</v>
      </c>
      <c r="P92" s="4">
        <f t="shared" si="57"/>
        <v>0</v>
      </c>
      <c r="Q92" s="4">
        <f t="shared" si="58"/>
        <v>0</v>
      </c>
      <c r="R92" s="4">
        <f t="shared" si="59"/>
        <v>0</v>
      </c>
      <c r="S92" s="4">
        <f t="shared" si="60"/>
        <v>0</v>
      </c>
      <c r="T92" s="4">
        <f t="shared" si="61"/>
        <v>0</v>
      </c>
      <c r="U92" s="4">
        <f t="shared" si="62"/>
        <v>0</v>
      </c>
      <c r="V92" s="4">
        <f t="shared" si="63"/>
        <v>0</v>
      </c>
      <c r="W92" s="4">
        <f t="shared" si="64"/>
        <v>0</v>
      </c>
      <c r="X92" s="4">
        <f t="shared" si="65"/>
        <v>0</v>
      </c>
      <c r="Y92" s="4">
        <f t="shared" si="66"/>
        <v>0</v>
      </c>
      <c r="Z92" s="4">
        <f t="shared" si="67"/>
        <v>0</v>
      </c>
      <c r="AA92" s="4">
        <f t="shared" si="68"/>
        <v>0</v>
      </c>
      <c r="AB92" s="4">
        <f t="shared" si="69"/>
        <v>0</v>
      </c>
      <c r="AC92" s="4">
        <f t="shared" si="70"/>
        <v>0</v>
      </c>
      <c r="AD92" s="4">
        <f t="shared" si="71"/>
        <v>0</v>
      </c>
      <c r="AE92" s="4">
        <f t="shared" si="72"/>
        <v>0</v>
      </c>
      <c r="AF92" s="4">
        <f t="shared" si="73"/>
        <v>0</v>
      </c>
      <c r="AG92" s="4">
        <f t="shared" si="74"/>
        <v>0</v>
      </c>
      <c r="AH92" s="4">
        <f t="shared" si="75"/>
        <v>0</v>
      </c>
      <c r="AI92" s="4">
        <f t="shared" si="76"/>
        <v>0</v>
      </c>
      <c r="AJ92" s="4">
        <f t="shared" si="77"/>
        <v>0</v>
      </c>
      <c r="AK92" s="4">
        <f t="shared" si="78"/>
        <v>0</v>
      </c>
      <c r="AL92" s="4">
        <f t="shared" si="79"/>
        <v>0</v>
      </c>
      <c r="AM92" s="4">
        <f t="shared" si="80"/>
        <v>0</v>
      </c>
      <c r="AN92" s="4">
        <f t="shared" si="81"/>
        <v>0</v>
      </c>
      <c r="AP92" s="2"/>
      <c r="AQ92" s="1">
        <v>10</v>
      </c>
      <c r="AR92" s="2">
        <v>0.04</v>
      </c>
      <c r="AS92" s="2">
        <v>0.04</v>
      </c>
      <c r="AT92" s="2">
        <v>0.04</v>
      </c>
      <c r="AU92" s="2">
        <v>0.04</v>
      </c>
      <c r="AV92" s="2">
        <v>0.04</v>
      </c>
      <c r="AW92" s="2">
        <v>0.04</v>
      </c>
      <c r="AX92" s="2">
        <v>0.04</v>
      </c>
      <c r="AY92" s="2">
        <v>0.04</v>
      </c>
      <c r="AZ92" s="2">
        <v>0.04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</row>
    <row r="93" spans="3:78" outlineLevel="1">
      <c r="C93" t="s">
        <v>549</v>
      </c>
      <c r="E93" s="133">
        <f t="shared" si="46"/>
        <v>243530.12147905384</v>
      </c>
      <c r="F93" s="4">
        <f t="shared" si="47"/>
        <v>121765.06073952692</v>
      </c>
      <c r="G93" s="4">
        <f t="shared" si="48"/>
        <v>121765.06073952692</v>
      </c>
      <c r="H93" s="4">
        <f t="shared" si="49"/>
        <v>0</v>
      </c>
      <c r="I93" s="4">
        <f t="shared" si="50"/>
        <v>0</v>
      </c>
      <c r="J93" s="4">
        <f t="shared" si="51"/>
        <v>0</v>
      </c>
      <c r="K93" s="4">
        <f t="shared" si="52"/>
        <v>0</v>
      </c>
      <c r="L93" s="4">
        <f t="shared" si="53"/>
        <v>0</v>
      </c>
      <c r="M93" s="4">
        <f t="shared" si="54"/>
        <v>0</v>
      </c>
      <c r="N93" s="4">
        <f t="shared" si="55"/>
        <v>0</v>
      </c>
      <c r="O93" s="4">
        <f t="shared" si="56"/>
        <v>0</v>
      </c>
      <c r="P93" s="4">
        <f t="shared" si="57"/>
        <v>0</v>
      </c>
      <c r="Q93" s="4">
        <f t="shared" si="58"/>
        <v>0</v>
      </c>
      <c r="R93" s="4">
        <f t="shared" si="59"/>
        <v>0</v>
      </c>
      <c r="S93" s="4">
        <f t="shared" si="60"/>
        <v>0</v>
      </c>
      <c r="T93" s="4">
        <f t="shared" si="61"/>
        <v>0</v>
      </c>
      <c r="U93" s="4">
        <f t="shared" si="62"/>
        <v>0</v>
      </c>
      <c r="V93" s="4">
        <f t="shared" si="63"/>
        <v>0</v>
      </c>
      <c r="W93" s="4">
        <f t="shared" si="64"/>
        <v>0</v>
      </c>
      <c r="X93" s="4">
        <f t="shared" si="65"/>
        <v>0</v>
      </c>
      <c r="Y93" s="4">
        <f t="shared" si="66"/>
        <v>0</v>
      </c>
      <c r="Z93" s="4">
        <f t="shared" si="67"/>
        <v>0</v>
      </c>
      <c r="AA93" s="4">
        <f t="shared" si="68"/>
        <v>0</v>
      </c>
      <c r="AB93" s="4">
        <f t="shared" si="69"/>
        <v>0</v>
      </c>
      <c r="AC93" s="4">
        <f t="shared" si="70"/>
        <v>0</v>
      </c>
      <c r="AD93" s="4">
        <f t="shared" si="71"/>
        <v>0</v>
      </c>
      <c r="AE93" s="4">
        <f t="shared" si="72"/>
        <v>0</v>
      </c>
      <c r="AF93" s="4">
        <f t="shared" si="73"/>
        <v>0</v>
      </c>
      <c r="AG93" s="4">
        <f t="shared" si="74"/>
        <v>0</v>
      </c>
      <c r="AH93" s="4">
        <f t="shared" si="75"/>
        <v>0</v>
      </c>
      <c r="AI93" s="4">
        <f t="shared" si="76"/>
        <v>0</v>
      </c>
      <c r="AJ93" s="4">
        <f t="shared" si="77"/>
        <v>0</v>
      </c>
      <c r="AK93" s="4">
        <f t="shared" si="78"/>
        <v>0</v>
      </c>
      <c r="AL93" s="4">
        <f t="shared" si="79"/>
        <v>0</v>
      </c>
      <c r="AM93" s="4">
        <f t="shared" si="80"/>
        <v>0</v>
      </c>
      <c r="AN93" s="4">
        <f t="shared" si="81"/>
        <v>0</v>
      </c>
      <c r="AP93" s="2"/>
      <c r="AQ93" s="1">
        <v>11</v>
      </c>
      <c r="AR93" s="2">
        <v>0.04</v>
      </c>
      <c r="AS93" s="2">
        <v>0.04</v>
      </c>
      <c r="AT93" s="2">
        <v>0.04</v>
      </c>
      <c r="AU93" s="2">
        <v>0.04</v>
      </c>
      <c r="AV93" s="2">
        <v>0.04</v>
      </c>
      <c r="AW93" s="2">
        <v>0.04</v>
      </c>
      <c r="AX93" s="2">
        <v>0.04</v>
      </c>
      <c r="AY93" s="2">
        <v>0.04</v>
      </c>
      <c r="AZ93" s="2">
        <v>0.04</v>
      </c>
      <c r="BA93" s="2">
        <v>0.04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</row>
    <row r="94" spans="3:78" outlineLevel="1">
      <c r="C94" t="s">
        <v>550</v>
      </c>
      <c r="E94" s="133">
        <f t="shared" si="46"/>
        <v>243530.12147905384</v>
      </c>
      <c r="F94" s="4">
        <f t="shared" si="47"/>
        <v>121765.06073952692</v>
      </c>
      <c r="G94" s="4">
        <f t="shared" si="48"/>
        <v>121765.06073952692</v>
      </c>
      <c r="H94" s="4">
        <f t="shared" si="49"/>
        <v>0</v>
      </c>
      <c r="I94" s="4">
        <f t="shared" si="50"/>
        <v>0</v>
      </c>
      <c r="J94" s="4">
        <f t="shared" si="51"/>
        <v>0</v>
      </c>
      <c r="K94" s="4">
        <f t="shared" si="52"/>
        <v>0</v>
      </c>
      <c r="L94" s="4">
        <f t="shared" si="53"/>
        <v>0</v>
      </c>
      <c r="M94" s="4">
        <f t="shared" si="54"/>
        <v>0</v>
      </c>
      <c r="N94" s="4">
        <f t="shared" si="55"/>
        <v>0</v>
      </c>
      <c r="O94" s="4">
        <f t="shared" si="56"/>
        <v>0</v>
      </c>
      <c r="P94" s="4">
        <f t="shared" si="57"/>
        <v>0</v>
      </c>
      <c r="Q94" s="4">
        <f t="shared" si="58"/>
        <v>0</v>
      </c>
      <c r="R94" s="4">
        <f t="shared" si="59"/>
        <v>0</v>
      </c>
      <c r="S94" s="4">
        <f t="shared" si="60"/>
        <v>0</v>
      </c>
      <c r="T94" s="4">
        <f t="shared" si="61"/>
        <v>0</v>
      </c>
      <c r="U94" s="4">
        <f t="shared" si="62"/>
        <v>0</v>
      </c>
      <c r="V94" s="4">
        <f t="shared" si="63"/>
        <v>0</v>
      </c>
      <c r="W94" s="4">
        <f t="shared" si="64"/>
        <v>0</v>
      </c>
      <c r="X94" s="4">
        <f t="shared" si="65"/>
        <v>0</v>
      </c>
      <c r="Y94" s="4">
        <f t="shared" si="66"/>
        <v>0</v>
      </c>
      <c r="Z94" s="4">
        <f t="shared" si="67"/>
        <v>0</v>
      </c>
      <c r="AA94" s="4">
        <f t="shared" si="68"/>
        <v>0</v>
      </c>
      <c r="AB94" s="4">
        <f t="shared" si="69"/>
        <v>0</v>
      </c>
      <c r="AC94" s="4">
        <f t="shared" si="70"/>
        <v>0</v>
      </c>
      <c r="AD94" s="4">
        <f t="shared" si="71"/>
        <v>0</v>
      </c>
      <c r="AE94" s="4">
        <f t="shared" si="72"/>
        <v>0</v>
      </c>
      <c r="AF94" s="4">
        <f t="shared" si="73"/>
        <v>0</v>
      </c>
      <c r="AG94" s="4">
        <f t="shared" si="74"/>
        <v>0</v>
      </c>
      <c r="AH94" s="4">
        <f t="shared" si="75"/>
        <v>0</v>
      </c>
      <c r="AI94" s="4">
        <f t="shared" si="76"/>
        <v>0</v>
      </c>
      <c r="AJ94" s="4">
        <f t="shared" si="77"/>
        <v>0</v>
      </c>
      <c r="AK94" s="4">
        <f t="shared" si="78"/>
        <v>0</v>
      </c>
      <c r="AL94" s="4">
        <f t="shared" si="79"/>
        <v>0</v>
      </c>
      <c r="AM94" s="4">
        <f t="shared" si="80"/>
        <v>0</v>
      </c>
      <c r="AN94" s="4">
        <f t="shared" si="81"/>
        <v>0</v>
      </c>
      <c r="AP94" s="2"/>
      <c r="AQ94" s="1">
        <v>12</v>
      </c>
      <c r="AR94" s="2">
        <v>0.04</v>
      </c>
      <c r="AS94" s="2">
        <v>0.04</v>
      </c>
      <c r="AT94" s="2">
        <v>0.04</v>
      </c>
      <c r="AU94" s="2">
        <v>0.04</v>
      </c>
      <c r="AV94" s="2">
        <v>0.04</v>
      </c>
      <c r="AW94" s="2">
        <v>0.04</v>
      </c>
      <c r="AX94" s="2">
        <v>0.04</v>
      </c>
      <c r="AY94" s="2">
        <v>0.04</v>
      </c>
      <c r="AZ94" s="2">
        <v>0.04</v>
      </c>
      <c r="BA94" s="2">
        <v>0.04</v>
      </c>
      <c r="BB94" s="2">
        <v>0.04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</row>
    <row r="95" spans="3:78" outlineLevel="1">
      <c r="C95" t="s">
        <v>551</v>
      </c>
      <c r="E95" s="133">
        <f t="shared" si="46"/>
        <v>243530.12147905384</v>
      </c>
      <c r="F95" s="4">
        <f t="shared" si="47"/>
        <v>121765.06073952692</v>
      </c>
      <c r="G95" s="4">
        <f t="shared" si="48"/>
        <v>121765.06073952692</v>
      </c>
      <c r="H95" s="4">
        <f t="shared" si="49"/>
        <v>0</v>
      </c>
      <c r="I95" s="4">
        <f t="shared" si="50"/>
        <v>0</v>
      </c>
      <c r="J95" s="4">
        <f t="shared" si="51"/>
        <v>0</v>
      </c>
      <c r="K95" s="4">
        <f t="shared" si="52"/>
        <v>0</v>
      </c>
      <c r="L95" s="4">
        <f t="shared" si="53"/>
        <v>0</v>
      </c>
      <c r="M95" s="4">
        <f t="shared" si="54"/>
        <v>0</v>
      </c>
      <c r="N95" s="4">
        <f t="shared" si="55"/>
        <v>0</v>
      </c>
      <c r="O95" s="4">
        <f t="shared" si="56"/>
        <v>0</v>
      </c>
      <c r="P95" s="4">
        <f t="shared" si="57"/>
        <v>0</v>
      </c>
      <c r="Q95" s="4">
        <f t="shared" si="58"/>
        <v>0</v>
      </c>
      <c r="R95" s="4">
        <f t="shared" si="59"/>
        <v>0</v>
      </c>
      <c r="S95" s="4">
        <f t="shared" si="60"/>
        <v>0</v>
      </c>
      <c r="T95" s="4">
        <f t="shared" si="61"/>
        <v>0</v>
      </c>
      <c r="U95" s="4">
        <f t="shared" si="62"/>
        <v>0</v>
      </c>
      <c r="V95" s="4">
        <f t="shared" si="63"/>
        <v>0</v>
      </c>
      <c r="W95" s="4">
        <f t="shared" si="64"/>
        <v>0</v>
      </c>
      <c r="X95" s="4">
        <f t="shared" si="65"/>
        <v>0</v>
      </c>
      <c r="Y95" s="4">
        <f t="shared" si="66"/>
        <v>0</v>
      </c>
      <c r="Z95" s="4">
        <f t="shared" si="67"/>
        <v>0</v>
      </c>
      <c r="AA95" s="4">
        <f t="shared" si="68"/>
        <v>0</v>
      </c>
      <c r="AB95" s="4">
        <f t="shared" si="69"/>
        <v>0</v>
      </c>
      <c r="AC95" s="4">
        <f t="shared" si="70"/>
        <v>0</v>
      </c>
      <c r="AD95" s="4">
        <f t="shared" si="71"/>
        <v>0</v>
      </c>
      <c r="AE95" s="4">
        <f t="shared" si="72"/>
        <v>0</v>
      </c>
      <c r="AF95" s="4">
        <f t="shared" si="73"/>
        <v>0</v>
      </c>
      <c r="AG95" s="4">
        <f t="shared" si="74"/>
        <v>0</v>
      </c>
      <c r="AH95" s="4">
        <f t="shared" si="75"/>
        <v>0</v>
      </c>
      <c r="AI95" s="4">
        <f t="shared" si="76"/>
        <v>0</v>
      </c>
      <c r="AJ95" s="4">
        <f t="shared" si="77"/>
        <v>0</v>
      </c>
      <c r="AK95" s="4">
        <f t="shared" si="78"/>
        <v>0</v>
      </c>
      <c r="AL95" s="4">
        <f t="shared" si="79"/>
        <v>0</v>
      </c>
      <c r="AM95" s="4">
        <f t="shared" si="80"/>
        <v>0</v>
      </c>
      <c r="AN95" s="4">
        <f t="shared" si="81"/>
        <v>0</v>
      </c>
      <c r="AP95" s="2"/>
      <c r="AQ95" s="1">
        <v>13</v>
      </c>
      <c r="AR95" s="2">
        <v>0.04</v>
      </c>
      <c r="AS95" s="2">
        <v>0.04</v>
      </c>
      <c r="AT95" s="2">
        <v>0.04</v>
      </c>
      <c r="AU95" s="2">
        <v>0.04</v>
      </c>
      <c r="AV95" s="2">
        <v>0.04</v>
      </c>
      <c r="AW95" s="2">
        <v>0.04</v>
      </c>
      <c r="AX95" s="2">
        <v>0.04</v>
      </c>
      <c r="AY95" s="2">
        <v>0.04</v>
      </c>
      <c r="AZ95" s="2">
        <v>0.04</v>
      </c>
      <c r="BA95" s="2">
        <v>0.04</v>
      </c>
      <c r="BB95" s="2">
        <v>0.04</v>
      </c>
      <c r="BC95" s="2">
        <v>0.04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</row>
    <row r="96" spans="3:78" outlineLevel="1">
      <c r="C96" t="s">
        <v>552</v>
      </c>
      <c r="E96" s="133">
        <f t="shared" si="46"/>
        <v>243530.12147905384</v>
      </c>
      <c r="F96" s="4">
        <f t="shared" si="47"/>
        <v>121765.06073952692</v>
      </c>
      <c r="G96" s="4">
        <f t="shared" si="48"/>
        <v>121765.06073952692</v>
      </c>
      <c r="H96" s="4">
        <f t="shared" si="49"/>
        <v>0</v>
      </c>
      <c r="I96" s="4">
        <f t="shared" si="50"/>
        <v>0</v>
      </c>
      <c r="J96" s="4">
        <f t="shared" si="51"/>
        <v>0</v>
      </c>
      <c r="K96" s="4">
        <f t="shared" si="52"/>
        <v>0</v>
      </c>
      <c r="L96" s="4">
        <f t="shared" si="53"/>
        <v>0</v>
      </c>
      <c r="M96" s="4">
        <f t="shared" si="54"/>
        <v>0</v>
      </c>
      <c r="N96" s="4">
        <f t="shared" si="55"/>
        <v>0</v>
      </c>
      <c r="O96" s="4">
        <f t="shared" si="56"/>
        <v>0</v>
      </c>
      <c r="P96" s="4">
        <f t="shared" si="57"/>
        <v>0</v>
      </c>
      <c r="Q96" s="4">
        <f t="shared" si="58"/>
        <v>0</v>
      </c>
      <c r="R96" s="4">
        <f t="shared" si="59"/>
        <v>0</v>
      </c>
      <c r="S96" s="4">
        <f t="shared" si="60"/>
        <v>0</v>
      </c>
      <c r="T96" s="4">
        <f t="shared" si="61"/>
        <v>0</v>
      </c>
      <c r="U96" s="4">
        <f t="shared" si="62"/>
        <v>0</v>
      </c>
      <c r="V96" s="4">
        <f t="shared" si="63"/>
        <v>0</v>
      </c>
      <c r="W96" s="4">
        <f t="shared" si="64"/>
        <v>0</v>
      </c>
      <c r="X96" s="4">
        <f t="shared" si="65"/>
        <v>0</v>
      </c>
      <c r="Y96" s="4">
        <f t="shared" si="66"/>
        <v>0</v>
      </c>
      <c r="Z96" s="4">
        <f t="shared" si="67"/>
        <v>0</v>
      </c>
      <c r="AA96" s="4">
        <f t="shared" si="68"/>
        <v>0</v>
      </c>
      <c r="AB96" s="4">
        <f t="shared" si="69"/>
        <v>0</v>
      </c>
      <c r="AC96" s="4">
        <f t="shared" si="70"/>
        <v>0</v>
      </c>
      <c r="AD96" s="4">
        <f t="shared" si="71"/>
        <v>0</v>
      </c>
      <c r="AE96" s="4">
        <f t="shared" si="72"/>
        <v>0</v>
      </c>
      <c r="AF96" s="4">
        <f t="shared" si="73"/>
        <v>0</v>
      </c>
      <c r="AG96" s="4">
        <f t="shared" si="74"/>
        <v>0</v>
      </c>
      <c r="AH96" s="4">
        <f t="shared" si="75"/>
        <v>0</v>
      </c>
      <c r="AI96" s="4">
        <f t="shared" si="76"/>
        <v>0</v>
      </c>
      <c r="AJ96" s="4">
        <f t="shared" si="77"/>
        <v>0</v>
      </c>
      <c r="AK96" s="4">
        <f t="shared" si="78"/>
        <v>0</v>
      </c>
      <c r="AL96" s="4">
        <f t="shared" si="79"/>
        <v>0</v>
      </c>
      <c r="AM96" s="4">
        <f t="shared" si="80"/>
        <v>0</v>
      </c>
      <c r="AN96" s="4">
        <f t="shared" si="81"/>
        <v>0</v>
      </c>
      <c r="AP96" s="2"/>
      <c r="AQ96" s="1">
        <v>14</v>
      </c>
      <c r="AR96" s="2">
        <v>0.04</v>
      </c>
      <c r="AS96" s="2">
        <v>0.04</v>
      </c>
      <c r="AT96" s="2">
        <v>0.04</v>
      </c>
      <c r="AU96" s="2">
        <v>0.04</v>
      </c>
      <c r="AV96" s="2">
        <v>0.04</v>
      </c>
      <c r="AW96" s="2">
        <v>0.04</v>
      </c>
      <c r="AX96" s="2">
        <v>0.04</v>
      </c>
      <c r="AY96" s="2">
        <v>0.04</v>
      </c>
      <c r="AZ96" s="2">
        <v>0.04</v>
      </c>
      <c r="BA96" s="2">
        <v>0.04</v>
      </c>
      <c r="BB96" s="2">
        <v>0.04</v>
      </c>
      <c r="BC96" s="2">
        <v>0.04</v>
      </c>
      <c r="BD96" s="2">
        <v>0.04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</row>
    <row r="97" spans="3:78" outlineLevel="1">
      <c r="C97" t="s">
        <v>553</v>
      </c>
      <c r="E97" s="133">
        <f t="shared" si="46"/>
        <v>243530.12147905384</v>
      </c>
      <c r="F97" s="4">
        <f t="shared" si="47"/>
        <v>121765.06073952692</v>
      </c>
      <c r="G97" s="4">
        <f t="shared" si="48"/>
        <v>121765.06073952692</v>
      </c>
      <c r="H97" s="4">
        <f t="shared" si="49"/>
        <v>0</v>
      </c>
      <c r="I97" s="4">
        <f t="shared" si="50"/>
        <v>0</v>
      </c>
      <c r="J97" s="4">
        <f t="shared" si="51"/>
        <v>0</v>
      </c>
      <c r="K97" s="4">
        <f t="shared" si="52"/>
        <v>0</v>
      </c>
      <c r="L97" s="4">
        <f t="shared" si="53"/>
        <v>0</v>
      </c>
      <c r="M97" s="4">
        <f t="shared" si="54"/>
        <v>0</v>
      </c>
      <c r="N97" s="4">
        <f t="shared" si="55"/>
        <v>0</v>
      </c>
      <c r="O97" s="4">
        <f t="shared" si="56"/>
        <v>0</v>
      </c>
      <c r="P97" s="4">
        <f t="shared" si="57"/>
        <v>0</v>
      </c>
      <c r="Q97" s="4">
        <f t="shared" si="58"/>
        <v>0</v>
      </c>
      <c r="R97" s="4">
        <f t="shared" si="59"/>
        <v>0</v>
      </c>
      <c r="S97" s="4">
        <f t="shared" si="60"/>
        <v>0</v>
      </c>
      <c r="T97" s="4">
        <f t="shared" si="61"/>
        <v>0</v>
      </c>
      <c r="U97" s="4">
        <f t="shared" si="62"/>
        <v>0</v>
      </c>
      <c r="V97" s="4">
        <f t="shared" si="63"/>
        <v>0</v>
      </c>
      <c r="W97" s="4">
        <f t="shared" si="64"/>
        <v>0</v>
      </c>
      <c r="X97" s="4">
        <f t="shared" si="65"/>
        <v>0</v>
      </c>
      <c r="Y97" s="4">
        <f t="shared" si="66"/>
        <v>0</v>
      </c>
      <c r="Z97" s="4">
        <f t="shared" si="67"/>
        <v>0</v>
      </c>
      <c r="AA97" s="4">
        <f t="shared" si="68"/>
        <v>0</v>
      </c>
      <c r="AB97" s="4">
        <f t="shared" si="69"/>
        <v>0</v>
      </c>
      <c r="AC97" s="4">
        <f t="shared" si="70"/>
        <v>0</v>
      </c>
      <c r="AD97" s="4">
        <f t="shared" si="71"/>
        <v>0</v>
      </c>
      <c r="AE97" s="4">
        <f t="shared" si="72"/>
        <v>0</v>
      </c>
      <c r="AF97" s="4">
        <f t="shared" si="73"/>
        <v>0</v>
      </c>
      <c r="AG97" s="4">
        <f t="shared" si="74"/>
        <v>0</v>
      </c>
      <c r="AH97" s="4">
        <f t="shared" si="75"/>
        <v>0</v>
      </c>
      <c r="AI97" s="4">
        <f t="shared" si="76"/>
        <v>0</v>
      </c>
      <c r="AJ97" s="4">
        <f t="shared" si="77"/>
        <v>0</v>
      </c>
      <c r="AK97" s="4">
        <f t="shared" si="78"/>
        <v>0</v>
      </c>
      <c r="AL97" s="4">
        <f t="shared" si="79"/>
        <v>0</v>
      </c>
      <c r="AM97" s="4">
        <f t="shared" si="80"/>
        <v>0</v>
      </c>
      <c r="AN97" s="4">
        <f t="shared" si="81"/>
        <v>0</v>
      </c>
      <c r="AP97" s="2"/>
      <c r="AQ97" s="1">
        <v>15</v>
      </c>
      <c r="AR97" s="2">
        <v>0.04</v>
      </c>
      <c r="AS97" s="2">
        <v>0.04</v>
      </c>
      <c r="AT97" s="2">
        <v>0.04</v>
      </c>
      <c r="AU97" s="2">
        <v>0.04</v>
      </c>
      <c r="AV97" s="2">
        <v>0.04</v>
      </c>
      <c r="AW97" s="2">
        <v>0.04</v>
      </c>
      <c r="AX97" s="2">
        <v>0.04</v>
      </c>
      <c r="AY97" s="2">
        <v>0.04</v>
      </c>
      <c r="AZ97" s="2">
        <v>0.04</v>
      </c>
      <c r="BA97" s="2">
        <v>0.04</v>
      </c>
      <c r="BB97" s="2">
        <v>0.04</v>
      </c>
      <c r="BC97" s="2">
        <v>0.04</v>
      </c>
      <c r="BD97" s="2">
        <v>0.04</v>
      </c>
      <c r="BE97" s="2">
        <v>0.04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</row>
    <row r="98" spans="3:78" outlineLevel="1">
      <c r="C98" t="s">
        <v>554</v>
      </c>
      <c r="E98" s="133">
        <f t="shared" si="46"/>
        <v>243530.12147905384</v>
      </c>
      <c r="F98" s="4">
        <f t="shared" si="47"/>
        <v>121765.06073952692</v>
      </c>
      <c r="G98" s="4">
        <f t="shared" si="48"/>
        <v>121765.06073952692</v>
      </c>
      <c r="H98" s="4">
        <f t="shared" si="49"/>
        <v>0</v>
      </c>
      <c r="I98" s="4">
        <f t="shared" si="50"/>
        <v>0</v>
      </c>
      <c r="J98" s="4">
        <f t="shared" si="51"/>
        <v>0</v>
      </c>
      <c r="K98" s="4">
        <f t="shared" si="52"/>
        <v>0</v>
      </c>
      <c r="L98" s="4">
        <f t="shared" si="53"/>
        <v>0</v>
      </c>
      <c r="M98" s="4">
        <f t="shared" si="54"/>
        <v>0</v>
      </c>
      <c r="N98" s="4">
        <f t="shared" si="55"/>
        <v>0</v>
      </c>
      <c r="O98" s="4">
        <f t="shared" si="56"/>
        <v>0</v>
      </c>
      <c r="P98" s="4">
        <f t="shared" si="57"/>
        <v>0</v>
      </c>
      <c r="Q98" s="4">
        <f t="shared" si="58"/>
        <v>0</v>
      </c>
      <c r="R98" s="4">
        <f t="shared" si="59"/>
        <v>0</v>
      </c>
      <c r="S98" s="4">
        <f t="shared" si="60"/>
        <v>0</v>
      </c>
      <c r="T98" s="4">
        <f t="shared" si="61"/>
        <v>0</v>
      </c>
      <c r="U98" s="4">
        <f t="shared" si="62"/>
        <v>0</v>
      </c>
      <c r="V98" s="4">
        <f t="shared" si="63"/>
        <v>0</v>
      </c>
      <c r="W98" s="4">
        <f t="shared" si="64"/>
        <v>0</v>
      </c>
      <c r="X98" s="4">
        <f t="shared" si="65"/>
        <v>0</v>
      </c>
      <c r="Y98" s="4">
        <f t="shared" si="66"/>
        <v>0</v>
      </c>
      <c r="Z98" s="4">
        <f t="shared" si="67"/>
        <v>0</v>
      </c>
      <c r="AA98" s="4">
        <f t="shared" si="68"/>
        <v>0</v>
      </c>
      <c r="AB98" s="4">
        <f t="shared" si="69"/>
        <v>0</v>
      </c>
      <c r="AC98" s="4">
        <f t="shared" si="70"/>
        <v>0</v>
      </c>
      <c r="AD98" s="4">
        <f t="shared" si="71"/>
        <v>0</v>
      </c>
      <c r="AE98" s="4">
        <f t="shared" si="72"/>
        <v>0</v>
      </c>
      <c r="AF98" s="4">
        <f t="shared" si="73"/>
        <v>0</v>
      </c>
      <c r="AG98" s="4">
        <f t="shared" si="74"/>
        <v>0</v>
      </c>
      <c r="AH98" s="4">
        <f t="shared" si="75"/>
        <v>0</v>
      </c>
      <c r="AI98" s="4">
        <f t="shared" si="76"/>
        <v>0</v>
      </c>
      <c r="AJ98" s="4">
        <f t="shared" si="77"/>
        <v>0</v>
      </c>
      <c r="AK98" s="4">
        <f t="shared" si="78"/>
        <v>0</v>
      </c>
      <c r="AL98" s="4">
        <f t="shared" si="79"/>
        <v>0</v>
      </c>
      <c r="AM98" s="4">
        <f t="shared" si="80"/>
        <v>0</v>
      </c>
      <c r="AN98" s="4">
        <f t="shared" si="81"/>
        <v>0</v>
      </c>
      <c r="AP98" s="2"/>
      <c r="AQ98" s="1">
        <v>16</v>
      </c>
      <c r="AR98" s="2">
        <v>0.04</v>
      </c>
      <c r="AS98" s="2">
        <v>0.04</v>
      </c>
      <c r="AT98" s="2">
        <v>0.04</v>
      </c>
      <c r="AU98" s="2">
        <v>0.04</v>
      </c>
      <c r="AV98" s="2">
        <v>0.04</v>
      </c>
      <c r="AW98" s="2">
        <v>0.04</v>
      </c>
      <c r="AX98" s="2">
        <v>0.04</v>
      </c>
      <c r="AY98" s="2">
        <v>0.04</v>
      </c>
      <c r="AZ98" s="2">
        <v>0.04</v>
      </c>
      <c r="BA98" s="2">
        <v>0.04</v>
      </c>
      <c r="BB98" s="2">
        <v>0.04</v>
      </c>
      <c r="BC98" s="2">
        <v>0.04</v>
      </c>
      <c r="BD98" s="2">
        <v>0.04</v>
      </c>
      <c r="BE98" s="2">
        <v>0.04</v>
      </c>
      <c r="BF98" s="2">
        <v>0.04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</row>
    <row r="99" spans="3:78" outlineLevel="1">
      <c r="C99" t="s">
        <v>555</v>
      </c>
      <c r="E99" s="133">
        <f t="shared" si="46"/>
        <v>243530.12147905384</v>
      </c>
      <c r="F99" s="4">
        <f t="shared" si="47"/>
        <v>121765.06073952692</v>
      </c>
      <c r="G99" s="4">
        <f t="shared" si="48"/>
        <v>121765.06073952692</v>
      </c>
      <c r="H99" s="4">
        <f t="shared" si="49"/>
        <v>0</v>
      </c>
      <c r="I99" s="4">
        <f t="shared" si="50"/>
        <v>0</v>
      </c>
      <c r="J99" s="4">
        <f t="shared" si="51"/>
        <v>0</v>
      </c>
      <c r="K99" s="4">
        <f t="shared" si="52"/>
        <v>0</v>
      </c>
      <c r="L99" s="4">
        <f t="shared" si="53"/>
        <v>0</v>
      </c>
      <c r="M99" s="4">
        <f t="shared" si="54"/>
        <v>0</v>
      </c>
      <c r="N99" s="4">
        <f t="shared" si="55"/>
        <v>0</v>
      </c>
      <c r="O99" s="4">
        <f t="shared" si="56"/>
        <v>0</v>
      </c>
      <c r="P99" s="4">
        <f t="shared" si="57"/>
        <v>0</v>
      </c>
      <c r="Q99" s="4">
        <f t="shared" si="58"/>
        <v>0</v>
      </c>
      <c r="R99" s="4">
        <f t="shared" si="59"/>
        <v>0</v>
      </c>
      <c r="S99" s="4">
        <f t="shared" si="60"/>
        <v>0</v>
      </c>
      <c r="T99" s="4">
        <f t="shared" si="61"/>
        <v>0</v>
      </c>
      <c r="U99" s="4">
        <f t="shared" si="62"/>
        <v>0</v>
      </c>
      <c r="V99" s="4">
        <f t="shared" si="63"/>
        <v>0</v>
      </c>
      <c r="W99" s="4">
        <f t="shared" si="64"/>
        <v>0</v>
      </c>
      <c r="X99" s="4">
        <f t="shared" si="65"/>
        <v>0</v>
      </c>
      <c r="Y99" s="4">
        <f t="shared" si="66"/>
        <v>0</v>
      </c>
      <c r="Z99" s="4">
        <f t="shared" si="67"/>
        <v>0</v>
      </c>
      <c r="AA99" s="4">
        <f t="shared" si="68"/>
        <v>0</v>
      </c>
      <c r="AB99" s="4">
        <f t="shared" si="69"/>
        <v>0</v>
      </c>
      <c r="AC99" s="4">
        <f t="shared" si="70"/>
        <v>0</v>
      </c>
      <c r="AD99" s="4">
        <f t="shared" si="71"/>
        <v>0</v>
      </c>
      <c r="AE99" s="4">
        <f t="shared" si="72"/>
        <v>0</v>
      </c>
      <c r="AF99" s="4">
        <f t="shared" si="73"/>
        <v>0</v>
      </c>
      <c r="AG99" s="4">
        <f t="shared" si="74"/>
        <v>0</v>
      </c>
      <c r="AH99" s="4">
        <f t="shared" si="75"/>
        <v>0</v>
      </c>
      <c r="AI99" s="4">
        <f t="shared" si="76"/>
        <v>0</v>
      </c>
      <c r="AJ99" s="4">
        <f t="shared" si="77"/>
        <v>0</v>
      </c>
      <c r="AK99" s="4">
        <f t="shared" si="78"/>
        <v>0</v>
      </c>
      <c r="AL99" s="4">
        <f t="shared" si="79"/>
        <v>0</v>
      </c>
      <c r="AM99" s="4">
        <f t="shared" si="80"/>
        <v>0</v>
      </c>
      <c r="AN99" s="4">
        <f t="shared" si="81"/>
        <v>0</v>
      </c>
      <c r="AP99" s="2"/>
      <c r="AQ99" s="1">
        <v>17</v>
      </c>
      <c r="AR99" s="2">
        <v>0.04</v>
      </c>
      <c r="AS99" s="2">
        <v>0.04</v>
      </c>
      <c r="AT99" s="2">
        <v>0.04</v>
      </c>
      <c r="AU99" s="2">
        <v>0.04</v>
      </c>
      <c r="AV99" s="2">
        <v>0.04</v>
      </c>
      <c r="AW99" s="2">
        <v>0.04</v>
      </c>
      <c r="AX99" s="2">
        <v>0.04</v>
      </c>
      <c r="AY99" s="2">
        <v>0.04</v>
      </c>
      <c r="AZ99" s="2">
        <v>0.04</v>
      </c>
      <c r="BA99" s="2">
        <v>0.04</v>
      </c>
      <c r="BB99" s="2">
        <v>0.04</v>
      </c>
      <c r="BC99" s="2">
        <v>0.04</v>
      </c>
      <c r="BD99" s="2">
        <v>0.04</v>
      </c>
      <c r="BE99" s="2">
        <v>0.04</v>
      </c>
      <c r="BF99" s="2">
        <v>0.04</v>
      </c>
      <c r="BG99" s="2">
        <v>0.04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</row>
    <row r="100" spans="3:78" outlineLevel="1">
      <c r="C100" t="s">
        <v>556</v>
      </c>
      <c r="E100" s="133">
        <f t="shared" si="46"/>
        <v>243530.12147905384</v>
      </c>
      <c r="F100" s="4">
        <f t="shared" si="47"/>
        <v>121765.06073952692</v>
      </c>
      <c r="G100" s="4">
        <f t="shared" si="48"/>
        <v>121765.06073952692</v>
      </c>
      <c r="H100" s="4">
        <f t="shared" si="49"/>
        <v>0</v>
      </c>
      <c r="I100" s="4">
        <f t="shared" si="50"/>
        <v>0</v>
      </c>
      <c r="J100" s="4">
        <f t="shared" si="51"/>
        <v>0</v>
      </c>
      <c r="K100" s="4">
        <f t="shared" si="52"/>
        <v>0</v>
      </c>
      <c r="L100" s="4">
        <f t="shared" si="53"/>
        <v>0</v>
      </c>
      <c r="M100" s="4">
        <f t="shared" si="54"/>
        <v>0</v>
      </c>
      <c r="N100" s="4">
        <f t="shared" si="55"/>
        <v>0</v>
      </c>
      <c r="O100" s="4">
        <f t="shared" si="56"/>
        <v>0</v>
      </c>
      <c r="P100" s="4">
        <f t="shared" si="57"/>
        <v>0</v>
      </c>
      <c r="Q100" s="4">
        <f t="shared" si="58"/>
        <v>0</v>
      </c>
      <c r="R100" s="4">
        <f t="shared" si="59"/>
        <v>0</v>
      </c>
      <c r="S100" s="4">
        <f t="shared" si="60"/>
        <v>0</v>
      </c>
      <c r="T100" s="4">
        <f t="shared" si="61"/>
        <v>0</v>
      </c>
      <c r="U100" s="4">
        <f t="shared" si="62"/>
        <v>0</v>
      </c>
      <c r="V100" s="4">
        <f t="shared" si="63"/>
        <v>0</v>
      </c>
      <c r="W100" s="4">
        <f t="shared" si="64"/>
        <v>0</v>
      </c>
      <c r="X100" s="4">
        <f t="shared" si="65"/>
        <v>0</v>
      </c>
      <c r="Y100" s="4">
        <f t="shared" si="66"/>
        <v>0</v>
      </c>
      <c r="Z100" s="4">
        <f t="shared" si="67"/>
        <v>0</v>
      </c>
      <c r="AA100" s="4">
        <f t="shared" si="68"/>
        <v>0</v>
      </c>
      <c r="AB100" s="4">
        <f t="shared" si="69"/>
        <v>0</v>
      </c>
      <c r="AC100" s="4">
        <f t="shared" si="70"/>
        <v>0</v>
      </c>
      <c r="AD100" s="4">
        <f t="shared" si="71"/>
        <v>0</v>
      </c>
      <c r="AE100" s="4">
        <f t="shared" si="72"/>
        <v>0</v>
      </c>
      <c r="AF100" s="4">
        <f t="shared" si="73"/>
        <v>0</v>
      </c>
      <c r="AG100" s="4">
        <f t="shared" si="74"/>
        <v>0</v>
      </c>
      <c r="AH100" s="4">
        <f t="shared" si="75"/>
        <v>0</v>
      </c>
      <c r="AI100" s="4">
        <f t="shared" si="76"/>
        <v>0</v>
      </c>
      <c r="AJ100" s="4">
        <f t="shared" si="77"/>
        <v>0</v>
      </c>
      <c r="AK100" s="4">
        <f t="shared" si="78"/>
        <v>0</v>
      </c>
      <c r="AL100" s="4">
        <f t="shared" si="79"/>
        <v>0</v>
      </c>
      <c r="AM100" s="4">
        <f t="shared" si="80"/>
        <v>0</v>
      </c>
      <c r="AN100" s="4">
        <f t="shared" si="81"/>
        <v>0</v>
      </c>
      <c r="AP100" s="2"/>
      <c r="AQ100" s="1">
        <v>18</v>
      </c>
      <c r="AR100" s="2">
        <v>0.04</v>
      </c>
      <c r="AS100" s="2">
        <v>0.04</v>
      </c>
      <c r="AT100" s="2">
        <v>0.04</v>
      </c>
      <c r="AU100" s="2">
        <v>0.04</v>
      </c>
      <c r="AV100" s="2">
        <v>0.04</v>
      </c>
      <c r="AW100" s="2">
        <v>0.04</v>
      </c>
      <c r="AX100" s="2">
        <v>0.04</v>
      </c>
      <c r="AY100" s="2">
        <v>0.04</v>
      </c>
      <c r="AZ100" s="2">
        <v>0.04</v>
      </c>
      <c r="BA100" s="2">
        <v>0.04</v>
      </c>
      <c r="BB100" s="2">
        <v>0.04</v>
      </c>
      <c r="BC100" s="2">
        <v>0.04</v>
      </c>
      <c r="BD100" s="2">
        <v>0.04</v>
      </c>
      <c r="BE100" s="2">
        <v>0.04</v>
      </c>
      <c r="BF100" s="2">
        <v>0.04</v>
      </c>
      <c r="BG100" s="2">
        <v>0.04</v>
      </c>
      <c r="BH100" s="2">
        <v>0.04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</row>
    <row r="101" spans="3:78" outlineLevel="1">
      <c r="C101" t="s">
        <v>557</v>
      </c>
      <c r="E101" s="133">
        <f t="shared" si="46"/>
        <v>243530.12147905384</v>
      </c>
      <c r="F101" s="4">
        <f t="shared" si="47"/>
        <v>121765.06073952692</v>
      </c>
      <c r="G101" s="4">
        <f t="shared" si="48"/>
        <v>121765.06073952692</v>
      </c>
      <c r="H101" s="4">
        <f t="shared" si="49"/>
        <v>0</v>
      </c>
      <c r="I101" s="4">
        <f t="shared" si="50"/>
        <v>0</v>
      </c>
      <c r="J101" s="4">
        <f t="shared" si="51"/>
        <v>0</v>
      </c>
      <c r="K101" s="4">
        <f t="shared" si="52"/>
        <v>0</v>
      </c>
      <c r="L101" s="4">
        <f t="shared" si="53"/>
        <v>0</v>
      </c>
      <c r="M101" s="4">
        <f t="shared" si="54"/>
        <v>0</v>
      </c>
      <c r="N101" s="4">
        <f t="shared" si="55"/>
        <v>0</v>
      </c>
      <c r="O101" s="4">
        <f t="shared" si="56"/>
        <v>0</v>
      </c>
      <c r="P101" s="4">
        <f t="shared" si="57"/>
        <v>0</v>
      </c>
      <c r="Q101" s="4">
        <f t="shared" si="58"/>
        <v>0</v>
      </c>
      <c r="R101" s="4">
        <f t="shared" si="59"/>
        <v>0</v>
      </c>
      <c r="S101" s="4">
        <f t="shared" si="60"/>
        <v>0</v>
      </c>
      <c r="T101" s="4">
        <f t="shared" si="61"/>
        <v>0</v>
      </c>
      <c r="U101" s="4">
        <f t="shared" si="62"/>
        <v>0</v>
      </c>
      <c r="V101" s="4">
        <f t="shared" si="63"/>
        <v>0</v>
      </c>
      <c r="W101" s="4">
        <f t="shared" si="64"/>
        <v>0</v>
      </c>
      <c r="X101" s="4">
        <f t="shared" si="65"/>
        <v>0</v>
      </c>
      <c r="Y101" s="4">
        <f t="shared" si="66"/>
        <v>0</v>
      </c>
      <c r="Z101" s="4">
        <f t="shared" si="67"/>
        <v>0</v>
      </c>
      <c r="AA101" s="4">
        <f t="shared" si="68"/>
        <v>0</v>
      </c>
      <c r="AB101" s="4">
        <f t="shared" si="69"/>
        <v>0</v>
      </c>
      <c r="AC101" s="4">
        <f t="shared" si="70"/>
        <v>0</v>
      </c>
      <c r="AD101" s="4">
        <f t="shared" si="71"/>
        <v>0</v>
      </c>
      <c r="AE101" s="4">
        <f t="shared" si="72"/>
        <v>0</v>
      </c>
      <c r="AF101" s="4">
        <f t="shared" si="73"/>
        <v>0</v>
      </c>
      <c r="AG101" s="4">
        <f t="shared" si="74"/>
        <v>0</v>
      </c>
      <c r="AH101" s="4">
        <f t="shared" si="75"/>
        <v>0</v>
      </c>
      <c r="AI101" s="4">
        <f t="shared" si="76"/>
        <v>0</v>
      </c>
      <c r="AJ101" s="4">
        <f t="shared" si="77"/>
        <v>0</v>
      </c>
      <c r="AK101" s="4">
        <f t="shared" si="78"/>
        <v>0</v>
      </c>
      <c r="AL101" s="4">
        <f t="shared" si="79"/>
        <v>0</v>
      </c>
      <c r="AM101" s="4">
        <f t="shared" si="80"/>
        <v>0</v>
      </c>
      <c r="AN101" s="4">
        <f t="shared" si="81"/>
        <v>0</v>
      </c>
      <c r="AP101" s="2"/>
      <c r="AQ101" s="1">
        <v>19</v>
      </c>
      <c r="AR101" s="2">
        <v>0.04</v>
      </c>
      <c r="AS101" s="2">
        <v>0.04</v>
      </c>
      <c r="AT101" s="2">
        <v>0.04</v>
      </c>
      <c r="AU101" s="2">
        <v>0.04</v>
      </c>
      <c r="AV101" s="2">
        <v>0.04</v>
      </c>
      <c r="AW101" s="2">
        <v>0.04</v>
      </c>
      <c r="AX101" s="2">
        <v>0.04</v>
      </c>
      <c r="AY101" s="2">
        <v>0.04</v>
      </c>
      <c r="AZ101" s="2">
        <v>0.04</v>
      </c>
      <c r="BA101" s="2">
        <v>0.04</v>
      </c>
      <c r="BB101" s="2">
        <v>0.04</v>
      </c>
      <c r="BC101" s="2">
        <v>0.04</v>
      </c>
      <c r="BD101" s="2">
        <v>0.04</v>
      </c>
      <c r="BE101" s="2">
        <v>0.04</v>
      </c>
      <c r="BF101" s="2">
        <v>0.04</v>
      </c>
      <c r="BG101" s="2">
        <v>0.04</v>
      </c>
      <c r="BH101" s="2">
        <v>0.04</v>
      </c>
      <c r="BI101" s="2">
        <v>0.04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</row>
    <row r="102" spans="3:78" outlineLevel="1">
      <c r="C102" t="s">
        <v>558</v>
      </c>
      <c r="E102" s="133">
        <f t="shared" si="46"/>
        <v>243530.12147905384</v>
      </c>
      <c r="F102" s="4">
        <f t="shared" si="47"/>
        <v>121765.06073952692</v>
      </c>
      <c r="G102" s="4">
        <f t="shared" si="48"/>
        <v>121765.06073952692</v>
      </c>
      <c r="H102" s="4">
        <f t="shared" si="49"/>
        <v>0</v>
      </c>
      <c r="I102" s="4">
        <f t="shared" si="50"/>
        <v>0</v>
      </c>
      <c r="J102" s="4">
        <f t="shared" si="51"/>
        <v>0</v>
      </c>
      <c r="K102" s="4">
        <f t="shared" si="52"/>
        <v>0</v>
      </c>
      <c r="L102" s="4">
        <f t="shared" si="53"/>
        <v>0</v>
      </c>
      <c r="M102" s="4">
        <f t="shared" si="54"/>
        <v>0</v>
      </c>
      <c r="N102" s="4">
        <f t="shared" si="55"/>
        <v>0</v>
      </c>
      <c r="O102" s="4">
        <f t="shared" si="56"/>
        <v>0</v>
      </c>
      <c r="P102" s="4">
        <f t="shared" si="57"/>
        <v>0</v>
      </c>
      <c r="Q102" s="4">
        <f t="shared" si="58"/>
        <v>0</v>
      </c>
      <c r="R102" s="4">
        <f t="shared" si="59"/>
        <v>0</v>
      </c>
      <c r="S102" s="4">
        <f t="shared" si="60"/>
        <v>0</v>
      </c>
      <c r="T102" s="4">
        <f t="shared" si="61"/>
        <v>0</v>
      </c>
      <c r="U102" s="4">
        <f t="shared" si="62"/>
        <v>0</v>
      </c>
      <c r="V102" s="4">
        <f t="shared" si="63"/>
        <v>0</v>
      </c>
      <c r="W102" s="4">
        <f t="shared" si="64"/>
        <v>0</v>
      </c>
      <c r="X102" s="4">
        <f t="shared" si="65"/>
        <v>0</v>
      </c>
      <c r="Y102" s="4">
        <f t="shared" si="66"/>
        <v>0</v>
      </c>
      <c r="Z102" s="4">
        <f t="shared" si="67"/>
        <v>0</v>
      </c>
      <c r="AA102" s="4">
        <f t="shared" si="68"/>
        <v>0</v>
      </c>
      <c r="AB102" s="4">
        <f t="shared" si="69"/>
        <v>0</v>
      </c>
      <c r="AC102" s="4">
        <f t="shared" si="70"/>
        <v>0</v>
      </c>
      <c r="AD102" s="4">
        <f t="shared" si="71"/>
        <v>0</v>
      </c>
      <c r="AE102" s="4">
        <f t="shared" si="72"/>
        <v>0</v>
      </c>
      <c r="AF102" s="4">
        <f t="shared" si="73"/>
        <v>0</v>
      </c>
      <c r="AG102" s="4">
        <f t="shared" si="74"/>
        <v>0</v>
      </c>
      <c r="AH102" s="4">
        <f t="shared" si="75"/>
        <v>0</v>
      </c>
      <c r="AI102" s="4">
        <f t="shared" si="76"/>
        <v>0</v>
      </c>
      <c r="AJ102" s="4">
        <f t="shared" si="77"/>
        <v>0</v>
      </c>
      <c r="AK102" s="4">
        <f t="shared" si="78"/>
        <v>0</v>
      </c>
      <c r="AL102" s="4">
        <f t="shared" si="79"/>
        <v>0</v>
      </c>
      <c r="AM102" s="4">
        <f t="shared" si="80"/>
        <v>0</v>
      </c>
      <c r="AN102" s="4">
        <f t="shared" si="81"/>
        <v>0</v>
      </c>
      <c r="AP102" s="2"/>
      <c r="AQ102" s="1">
        <v>20</v>
      </c>
      <c r="AR102" s="2">
        <v>0.04</v>
      </c>
      <c r="AS102" s="2">
        <v>0.04</v>
      </c>
      <c r="AT102" s="2">
        <v>0.04</v>
      </c>
      <c r="AU102" s="2">
        <v>0.04</v>
      </c>
      <c r="AV102" s="2">
        <v>0.04</v>
      </c>
      <c r="AW102" s="2">
        <v>0.04</v>
      </c>
      <c r="AX102" s="2">
        <v>0.04</v>
      </c>
      <c r="AY102" s="2">
        <v>0.04</v>
      </c>
      <c r="AZ102" s="2">
        <v>0.04</v>
      </c>
      <c r="BA102" s="2">
        <v>0.04</v>
      </c>
      <c r="BB102" s="2">
        <v>0.04</v>
      </c>
      <c r="BC102" s="2">
        <v>0.04</v>
      </c>
      <c r="BD102" s="2">
        <v>0.04</v>
      </c>
      <c r="BE102" s="2">
        <v>0.04</v>
      </c>
      <c r="BF102" s="2">
        <v>0.04</v>
      </c>
      <c r="BG102" s="2">
        <v>0.04</v>
      </c>
      <c r="BH102" s="2">
        <v>0.04</v>
      </c>
      <c r="BI102" s="2">
        <v>0.04</v>
      </c>
      <c r="BJ102" s="2">
        <v>0.04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</row>
    <row r="103" spans="3:78" outlineLevel="1">
      <c r="C103" t="s">
        <v>559</v>
      </c>
      <c r="E103" s="133">
        <f t="shared" si="46"/>
        <v>243530.12147905384</v>
      </c>
      <c r="F103" s="4">
        <f t="shared" si="47"/>
        <v>121765.06073952692</v>
      </c>
      <c r="G103" s="4">
        <f t="shared" si="48"/>
        <v>121765.06073952692</v>
      </c>
      <c r="H103" s="4">
        <f t="shared" si="49"/>
        <v>0</v>
      </c>
      <c r="I103" s="4">
        <f t="shared" si="50"/>
        <v>0</v>
      </c>
      <c r="J103" s="4">
        <f t="shared" si="51"/>
        <v>0</v>
      </c>
      <c r="K103" s="4">
        <f t="shared" si="52"/>
        <v>0</v>
      </c>
      <c r="L103" s="4">
        <f t="shared" si="53"/>
        <v>0</v>
      </c>
      <c r="M103" s="4">
        <f t="shared" si="54"/>
        <v>0</v>
      </c>
      <c r="N103" s="4">
        <f t="shared" si="55"/>
        <v>0</v>
      </c>
      <c r="O103" s="4">
        <f t="shared" si="56"/>
        <v>0</v>
      </c>
      <c r="P103" s="4">
        <f t="shared" si="57"/>
        <v>0</v>
      </c>
      <c r="Q103" s="4">
        <f t="shared" si="58"/>
        <v>0</v>
      </c>
      <c r="R103" s="4">
        <f t="shared" si="59"/>
        <v>0</v>
      </c>
      <c r="S103" s="4">
        <f t="shared" si="60"/>
        <v>0</v>
      </c>
      <c r="T103" s="4">
        <f t="shared" si="61"/>
        <v>0</v>
      </c>
      <c r="U103" s="4">
        <f t="shared" si="62"/>
        <v>0</v>
      </c>
      <c r="V103" s="4">
        <f t="shared" si="63"/>
        <v>0</v>
      </c>
      <c r="W103" s="4">
        <f t="shared" si="64"/>
        <v>0</v>
      </c>
      <c r="X103" s="4">
        <f t="shared" si="65"/>
        <v>0</v>
      </c>
      <c r="Y103" s="4">
        <f t="shared" si="66"/>
        <v>0</v>
      </c>
      <c r="Z103" s="4">
        <f t="shared" si="67"/>
        <v>0</v>
      </c>
      <c r="AA103" s="4">
        <f t="shared" si="68"/>
        <v>0</v>
      </c>
      <c r="AB103" s="4">
        <f t="shared" si="69"/>
        <v>0</v>
      </c>
      <c r="AC103" s="4">
        <f t="shared" si="70"/>
        <v>0</v>
      </c>
      <c r="AD103" s="4">
        <f t="shared" si="71"/>
        <v>0</v>
      </c>
      <c r="AE103" s="4">
        <f t="shared" si="72"/>
        <v>0</v>
      </c>
      <c r="AF103" s="4">
        <f t="shared" si="73"/>
        <v>0</v>
      </c>
      <c r="AG103" s="4">
        <f t="shared" si="74"/>
        <v>0</v>
      </c>
      <c r="AH103" s="4">
        <f t="shared" si="75"/>
        <v>0</v>
      </c>
      <c r="AI103" s="4">
        <f t="shared" si="76"/>
        <v>0</v>
      </c>
      <c r="AJ103" s="4">
        <f t="shared" si="77"/>
        <v>0</v>
      </c>
      <c r="AK103" s="4">
        <f t="shared" si="78"/>
        <v>0</v>
      </c>
      <c r="AL103" s="4">
        <f t="shared" si="79"/>
        <v>0</v>
      </c>
      <c r="AM103" s="4">
        <f t="shared" si="80"/>
        <v>0</v>
      </c>
      <c r="AN103" s="4">
        <f t="shared" si="81"/>
        <v>0</v>
      </c>
      <c r="AP103" s="2"/>
      <c r="AQ103" s="1">
        <v>21</v>
      </c>
      <c r="AR103" s="2">
        <v>0.04</v>
      </c>
      <c r="AS103" s="2">
        <v>0.04</v>
      </c>
      <c r="AT103" s="2">
        <v>0.04</v>
      </c>
      <c r="AU103" s="2">
        <v>0.04</v>
      </c>
      <c r="AV103" s="2">
        <v>0.04</v>
      </c>
      <c r="AW103" s="2">
        <v>0.04</v>
      </c>
      <c r="AX103" s="2">
        <v>0.04</v>
      </c>
      <c r="AY103" s="2">
        <v>0.04</v>
      </c>
      <c r="AZ103" s="2">
        <v>0.04</v>
      </c>
      <c r="BA103" s="2">
        <v>0.04</v>
      </c>
      <c r="BB103" s="2">
        <v>0.04</v>
      </c>
      <c r="BC103" s="2">
        <v>0.04</v>
      </c>
      <c r="BD103" s="2">
        <v>0.04</v>
      </c>
      <c r="BE103" s="2">
        <v>0.04</v>
      </c>
      <c r="BF103" s="2">
        <v>0.04</v>
      </c>
      <c r="BG103" s="2">
        <v>0.04</v>
      </c>
      <c r="BH103" s="2">
        <v>0.04</v>
      </c>
      <c r="BI103" s="2">
        <v>0.04</v>
      </c>
      <c r="BJ103" s="2">
        <v>0.04</v>
      </c>
      <c r="BK103" s="2">
        <v>0.04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</row>
    <row r="104" spans="3:78" outlineLevel="1">
      <c r="C104" t="s">
        <v>560</v>
      </c>
      <c r="E104" s="133">
        <f t="shared" si="46"/>
        <v>243530.12147905384</v>
      </c>
      <c r="F104" s="4">
        <f t="shared" si="47"/>
        <v>121765.06073952692</v>
      </c>
      <c r="G104" s="4">
        <f t="shared" si="48"/>
        <v>121765.06073952692</v>
      </c>
      <c r="H104" s="4">
        <f t="shared" si="49"/>
        <v>0</v>
      </c>
      <c r="I104" s="4">
        <f t="shared" si="50"/>
        <v>0</v>
      </c>
      <c r="J104" s="4">
        <f t="shared" si="51"/>
        <v>0</v>
      </c>
      <c r="K104" s="4">
        <f t="shared" si="52"/>
        <v>0</v>
      </c>
      <c r="L104" s="4">
        <f t="shared" si="53"/>
        <v>0</v>
      </c>
      <c r="M104" s="4">
        <f t="shared" si="54"/>
        <v>0</v>
      </c>
      <c r="N104" s="4">
        <f t="shared" si="55"/>
        <v>0</v>
      </c>
      <c r="O104" s="4">
        <f t="shared" si="56"/>
        <v>0</v>
      </c>
      <c r="P104" s="4">
        <f t="shared" si="57"/>
        <v>0</v>
      </c>
      <c r="Q104" s="4">
        <f t="shared" si="58"/>
        <v>0</v>
      </c>
      <c r="R104" s="4">
        <f t="shared" si="59"/>
        <v>0</v>
      </c>
      <c r="S104" s="4">
        <f t="shared" si="60"/>
        <v>0</v>
      </c>
      <c r="T104" s="4">
        <f t="shared" si="61"/>
        <v>0</v>
      </c>
      <c r="U104" s="4">
        <f t="shared" si="62"/>
        <v>0</v>
      </c>
      <c r="V104" s="4">
        <f t="shared" si="63"/>
        <v>0</v>
      </c>
      <c r="W104" s="4">
        <f t="shared" si="64"/>
        <v>0</v>
      </c>
      <c r="X104" s="4">
        <f t="shared" si="65"/>
        <v>0</v>
      </c>
      <c r="Y104" s="4">
        <f t="shared" si="66"/>
        <v>0</v>
      </c>
      <c r="Z104" s="4">
        <f t="shared" si="67"/>
        <v>0</v>
      </c>
      <c r="AA104" s="4">
        <f t="shared" si="68"/>
        <v>0</v>
      </c>
      <c r="AB104" s="4">
        <f t="shared" si="69"/>
        <v>0</v>
      </c>
      <c r="AC104" s="4">
        <f t="shared" si="70"/>
        <v>0</v>
      </c>
      <c r="AD104" s="4">
        <f t="shared" si="71"/>
        <v>0</v>
      </c>
      <c r="AE104" s="4">
        <f t="shared" si="72"/>
        <v>0</v>
      </c>
      <c r="AF104" s="4">
        <f t="shared" si="73"/>
        <v>0</v>
      </c>
      <c r="AG104" s="4">
        <f t="shared" si="74"/>
        <v>0</v>
      </c>
      <c r="AH104" s="4">
        <f t="shared" si="75"/>
        <v>0</v>
      </c>
      <c r="AI104" s="4">
        <f t="shared" si="76"/>
        <v>0</v>
      </c>
      <c r="AJ104" s="4">
        <f t="shared" si="77"/>
        <v>0</v>
      </c>
      <c r="AK104" s="4">
        <f t="shared" si="78"/>
        <v>0</v>
      </c>
      <c r="AL104" s="4">
        <f t="shared" si="79"/>
        <v>0</v>
      </c>
      <c r="AM104" s="4">
        <f t="shared" si="80"/>
        <v>0</v>
      </c>
      <c r="AN104" s="4">
        <f t="shared" si="81"/>
        <v>0</v>
      </c>
      <c r="AP104" s="2"/>
      <c r="AQ104" s="1">
        <v>22</v>
      </c>
      <c r="AR104" s="2">
        <v>0.04</v>
      </c>
      <c r="AS104" s="2">
        <v>0.04</v>
      </c>
      <c r="AT104" s="2">
        <v>0.04</v>
      </c>
      <c r="AU104" s="2">
        <v>0.04</v>
      </c>
      <c r="AV104" s="2">
        <v>0.04</v>
      </c>
      <c r="AW104" s="2">
        <v>0.04</v>
      </c>
      <c r="AX104" s="2">
        <v>0.04</v>
      </c>
      <c r="AY104" s="2">
        <v>0.04</v>
      </c>
      <c r="AZ104" s="2">
        <v>0.04</v>
      </c>
      <c r="BA104" s="2">
        <v>0.04</v>
      </c>
      <c r="BB104" s="2">
        <v>0.04</v>
      </c>
      <c r="BC104" s="2">
        <v>0.04</v>
      </c>
      <c r="BD104" s="2">
        <v>0.04</v>
      </c>
      <c r="BE104" s="2">
        <v>0.04</v>
      </c>
      <c r="BF104" s="2">
        <v>0.04</v>
      </c>
      <c r="BG104" s="2">
        <v>0.04</v>
      </c>
      <c r="BH104" s="2">
        <v>0.04</v>
      </c>
      <c r="BI104" s="2">
        <v>0.04</v>
      </c>
      <c r="BJ104" s="2">
        <v>0.04</v>
      </c>
      <c r="BK104" s="2">
        <v>0.04</v>
      </c>
      <c r="BL104" s="2">
        <v>0.04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</row>
    <row r="105" spans="3:78" outlineLevel="1">
      <c r="C105" t="s">
        <v>561</v>
      </c>
      <c r="E105" s="133">
        <f t="shared" si="46"/>
        <v>243530.12147905384</v>
      </c>
      <c r="F105" s="4">
        <f t="shared" si="47"/>
        <v>121765.06073952692</v>
      </c>
      <c r="G105" s="4">
        <f t="shared" si="48"/>
        <v>121765.06073952692</v>
      </c>
      <c r="H105" s="4">
        <f t="shared" si="49"/>
        <v>0</v>
      </c>
      <c r="I105" s="4">
        <f t="shared" si="50"/>
        <v>0</v>
      </c>
      <c r="J105" s="4">
        <f t="shared" si="51"/>
        <v>0</v>
      </c>
      <c r="K105" s="4">
        <f t="shared" si="52"/>
        <v>0</v>
      </c>
      <c r="L105" s="4">
        <f t="shared" si="53"/>
        <v>0</v>
      </c>
      <c r="M105" s="4">
        <f t="shared" si="54"/>
        <v>0</v>
      </c>
      <c r="N105" s="4">
        <f t="shared" si="55"/>
        <v>0</v>
      </c>
      <c r="O105" s="4">
        <f t="shared" si="56"/>
        <v>0</v>
      </c>
      <c r="P105" s="4">
        <f t="shared" si="57"/>
        <v>0</v>
      </c>
      <c r="Q105" s="4">
        <f t="shared" si="58"/>
        <v>0</v>
      </c>
      <c r="R105" s="4">
        <f t="shared" si="59"/>
        <v>0</v>
      </c>
      <c r="S105" s="4">
        <f t="shared" si="60"/>
        <v>0</v>
      </c>
      <c r="T105" s="4">
        <f t="shared" si="61"/>
        <v>0</v>
      </c>
      <c r="U105" s="4">
        <f t="shared" si="62"/>
        <v>0</v>
      </c>
      <c r="V105" s="4">
        <f t="shared" si="63"/>
        <v>0</v>
      </c>
      <c r="W105" s="4">
        <f t="shared" si="64"/>
        <v>0</v>
      </c>
      <c r="X105" s="4">
        <f t="shared" si="65"/>
        <v>0</v>
      </c>
      <c r="Y105" s="4">
        <f t="shared" si="66"/>
        <v>0</v>
      </c>
      <c r="Z105" s="4">
        <f t="shared" si="67"/>
        <v>0</v>
      </c>
      <c r="AA105" s="4">
        <f t="shared" si="68"/>
        <v>0</v>
      </c>
      <c r="AB105" s="4">
        <f t="shared" si="69"/>
        <v>0</v>
      </c>
      <c r="AC105" s="4">
        <f t="shared" si="70"/>
        <v>0</v>
      </c>
      <c r="AD105" s="4">
        <f t="shared" si="71"/>
        <v>0</v>
      </c>
      <c r="AE105" s="4">
        <f t="shared" si="72"/>
        <v>0</v>
      </c>
      <c r="AF105" s="4">
        <f t="shared" si="73"/>
        <v>0</v>
      </c>
      <c r="AG105" s="4">
        <f t="shared" si="74"/>
        <v>0</v>
      </c>
      <c r="AH105" s="4">
        <f t="shared" si="75"/>
        <v>0</v>
      </c>
      <c r="AI105" s="4">
        <f t="shared" si="76"/>
        <v>0</v>
      </c>
      <c r="AJ105" s="4">
        <f t="shared" si="77"/>
        <v>0</v>
      </c>
      <c r="AK105" s="4">
        <f t="shared" si="78"/>
        <v>0</v>
      </c>
      <c r="AL105" s="4">
        <f t="shared" si="79"/>
        <v>0</v>
      </c>
      <c r="AM105" s="4">
        <f t="shared" si="80"/>
        <v>0</v>
      </c>
      <c r="AN105" s="4">
        <f t="shared" si="81"/>
        <v>0</v>
      </c>
      <c r="AP105" s="2"/>
      <c r="AQ105" s="1">
        <v>23</v>
      </c>
      <c r="AR105" s="2">
        <v>0.04</v>
      </c>
      <c r="AS105" s="2">
        <v>0.04</v>
      </c>
      <c r="AT105" s="2">
        <v>0.04</v>
      </c>
      <c r="AU105" s="2">
        <v>0.04</v>
      </c>
      <c r="AV105" s="2">
        <v>0.04</v>
      </c>
      <c r="AW105" s="2">
        <v>0.04</v>
      </c>
      <c r="AX105" s="2">
        <v>0.04</v>
      </c>
      <c r="AY105" s="2">
        <v>0.04</v>
      </c>
      <c r="AZ105" s="2">
        <v>0.04</v>
      </c>
      <c r="BA105" s="2">
        <v>0.04</v>
      </c>
      <c r="BB105" s="2">
        <v>0.04</v>
      </c>
      <c r="BC105" s="2">
        <v>0.04</v>
      </c>
      <c r="BD105" s="2">
        <v>0.04</v>
      </c>
      <c r="BE105" s="2">
        <v>0.04</v>
      </c>
      <c r="BF105" s="2">
        <v>0.04</v>
      </c>
      <c r="BG105" s="2">
        <v>0.04</v>
      </c>
      <c r="BH105" s="2">
        <v>0.04</v>
      </c>
      <c r="BI105" s="2">
        <v>0.04</v>
      </c>
      <c r="BJ105" s="2">
        <v>0.04</v>
      </c>
      <c r="BK105" s="2">
        <v>0.04</v>
      </c>
      <c r="BL105" s="2">
        <v>0.04</v>
      </c>
      <c r="BM105" s="2">
        <v>0.04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</row>
    <row r="106" spans="3:78" outlineLevel="1">
      <c r="C106" t="s">
        <v>562</v>
      </c>
      <c r="E106" s="133">
        <f t="shared" si="46"/>
        <v>243530.12147905384</v>
      </c>
      <c r="F106" s="4">
        <f t="shared" si="47"/>
        <v>121765.06073952692</v>
      </c>
      <c r="G106" s="4">
        <f t="shared" si="48"/>
        <v>121765.06073952692</v>
      </c>
      <c r="H106" s="4">
        <f t="shared" si="49"/>
        <v>0</v>
      </c>
      <c r="I106" s="4">
        <f t="shared" si="50"/>
        <v>0</v>
      </c>
      <c r="J106" s="4">
        <f t="shared" si="51"/>
        <v>0</v>
      </c>
      <c r="K106" s="4">
        <f t="shared" si="52"/>
        <v>0</v>
      </c>
      <c r="L106" s="4">
        <f t="shared" si="53"/>
        <v>0</v>
      </c>
      <c r="M106" s="4">
        <f t="shared" si="54"/>
        <v>0</v>
      </c>
      <c r="N106" s="4">
        <f t="shared" si="55"/>
        <v>0</v>
      </c>
      <c r="O106" s="4">
        <f t="shared" si="56"/>
        <v>0</v>
      </c>
      <c r="P106" s="4">
        <f t="shared" si="57"/>
        <v>0</v>
      </c>
      <c r="Q106" s="4">
        <f t="shared" si="58"/>
        <v>0</v>
      </c>
      <c r="R106" s="4">
        <f t="shared" si="59"/>
        <v>0</v>
      </c>
      <c r="S106" s="4">
        <f t="shared" si="60"/>
        <v>0</v>
      </c>
      <c r="T106" s="4">
        <f t="shared" si="61"/>
        <v>0</v>
      </c>
      <c r="U106" s="4">
        <f t="shared" si="62"/>
        <v>0</v>
      </c>
      <c r="V106" s="4">
        <f t="shared" si="63"/>
        <v>0</v>
      </c>
      <c r="W106" s="4">
        <f t="shared" si="64"/>
        <v>0</v>
      </c>
      <c r="X106" s="4">
        <f t="shared" si="65"/>
        <v>0</v>
      </c>
      <c r="Y106" s="4">
        <f t="shared" si="66"/>
        <v>0</v>
      </c>
      <c r="Z106" s="4">
        <f t="shared" si="67"/>
        <v>0</v>
      </c>
      <c r="AA106" s="4">
        <f t="shared" si="68"/>
        <v>0</v>
      </c>
      <c r="AB106" s="4">
        <f t="shared" si="69"/>
        <v>0</v>
      </c>
      <c r="AC106" s="4">
        <f t="shared" si="70"/>
        <v>0</v>
      </c>
      <c r="AD106" s="4">
        <f t="shared" si="71"/>
        <v>0</v>
      </c>
      <c r="AE106" s="4">
        <f t="shared" si="72"/>
        <v>0</v>
      </c>
      <c r="AF106" s="4">
        <f t="shared" si="73"/>
        <v>0</v>
      </c>
      <c r="AG106" s="4">
        <f t="shared" si="74"/>
        <v>0</v>
      </c>
      <c r="AH106" s="4">
        <f t="shared" si="75"/>
        <v>0</v>
      </c>
      <c r="AI106" s="4">
        <f t="shared" si="76"/>
        <v>0</v>
      </c>
      <c r="AJ106" s="4">
        <f t="shared" si="77"/>
        <v>0</v>
      </c>
      <c r="AK106" s="4">
        <f t="shared" si="78"/>
        <v>0</v>
      </c>
      <c r="AL106" s="4">
        <f t="shared" si="79"/>
        <v>0</v>
      </c>
      <c r="AM106" s="4">
        <f t="shared" si="80"/>
        <v>0</v>
      </c>
      <c r="AN106" s="4">
        <f t="shared" si="81"/>
        <v>0</v>
      </c>
      <c r="AP106" s="2"/>
      <c r="AQ106" s="1">
        <v>24</v>
      </c>
      <c r="AR106" s="2">
        <v>0.04</v>
      </c>
      <c r="AS106" s="2">
        <v>0.04</v>
      </c>
      <c r="AT106" s="2">
        <v>0.04</v>
      </c>
      <c r="AU106" s="2">
        <v>0.04</v>
      </c>
      <c r="AV106" s="2">
        <v>0.04</v>
      </c>
      <c r="AW106" s="2">
        <v>0.04</v>
      </c>
      <c r="AX106" s="2">
        <v>0.04</v>
      </c>
      <c r="AY106" s="2">
        <v>0.04</v>
      </c>
      <c r="AZ106" s="2">
        <v>0.04</v>
      </c>
      <c r="BA106" s="2">
        <v>0.04</v>
      </c>
      <c r="BB106" s="2">
        <v>0.04</v>
      </c>
      <c r="BC106" s="2">
        <v>0.04</v>
      </c>
      <c r="BD106" s="2">
        <v>0.04</v>
      </c>
      <c r="BE106" s="2">
        <v>0.04</v>
      </c>
      <c r="BF106" s="2">
        <v>0.04</v>
      </c>
      <c r="BG106" s="2">
        <v>0.04</v>
      </c>
      <c r="BH106" s="2">
        <v>0.04</v>
      </c>
      <c r="BI106" s="2">
        <v>0.04</v>
      </c>
      <c r="BJ106" s="2">
        <v>0.04</v>
      </c>
      <c r="BK106" s="2">
        <v>0.04</v>
      </c>
      <c r="BL106" s="2">
        <v>0.04</v>
      </c>
      <c r="BM106" s="2">
        <v>0.04</v>
      </c>
      <c r="BN106" s="2">
        <v>0.04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</row>
    <row r="107" spans="3:78" outlineLevel="1">
      <c r="C107" t="s">
        <v>563</v>
      </c>
      <c r="E107" s="133">
        <f t="shared" si="46"/>
        <v>243530.12147905384</v>
      </c>
      <c r="F107" s="4">
        <f t="shared" si="47"/>
        <v>121765.06073952692</v>
      </c>
      <c r="G107" s="4">
        <f t="shared" si="48"/>
        <v>121765.06073952692</v>
      </c>
      <c r="H107" s="4">
        <f t="shared" si="49"/>
        <v>0</v>
      </c>
      <c r="I107" s="4">
        <f t="shared" si="50"/>
        <v>0</v>
      </c>
      <c r="J107" s="4">
        <f t="shared" si="51"/>
        <v>0</v>
      </c>
      <c r="K107" s="4">
        <f t="shared" si="52"/>
        <v>0</v>
      </c>
      <c r="L107" s="4">
        <f t="shared" si="53"/>
        <v>0</v>
      </c>
      <c r="M107" s="4">
        <f t="shared" si="54"/>
        <v>0</v>
      </c>
      <c r="N107" s="4">
        <f t="shared" si="55"/>
        <v>0</v>
      </c>
      <c r="O107" s="4">
        <f t="shared" si="56"/>
        <v>0</v>
      </c>
      <c r="P107" s="4">
        <f t="shared" si="57"/>
        <v>0</v>
      </c>
      <c r="Q107" s="4">
        <f t="shared" si="58"/>
        <v>0</v>
      </c>
      <c r="R107" s="4">
        <f t="shared" si="59"/>
        <v>0</v>
      </c>
      <c r="S107" s="4">
        <f t="shared" si="60"/>
        <v>0</v>
      </c>
      <c r="T107" s="4">
        <f t="shared" si="61"/>
        <v>0</v>
      </c>
      <c r="U107" s="4">
        <f t="shared" si="62"/>
        <v>0</v>
      </c>
      <c r="V107" s="4">
        <f t="shared" si="63"/>
        <v>0</v>
      </c>
      <c r="W107" s="4">
        <f t="shared" si="64"/>
        <v>0</v>
      </c>
      <c r="X107" s="4">
        <f t="shared" si="65"/>
        <v>0</v>
      </c>
      <c r="Y107" s="4">
        <f t="shared" si="66"/>
        <v>0</v>
      </c>
      <c r="Z107" s="4">
        <f t="shared" si="67"/>
        <v>0</v>
      </c>
      <c r="AA107" s="4">
        <f t="shared" si="68"/>
        <v>0</v>
      </c>
      <c r="AB107" s="4">
        <f t="shared" si="69"/>
        <v>0</v>
      </c>
      <c r="AC107" s="4">
        <f t="shared" si="70"/>
        <v>0</v>
      </c>
      <c r="AD107" s="4">
        <f t="shared" si="71"/>
        <v>0</v>
      </c>
      <c r="AE107" s="4">
        <f t="shared" si="72"/>
        <v>0</v>
      </c>
      <c r="AF107" s="4">
        <f t="shared" si="73"/>
        <v>0</v>
      </c>
      <c r="AG107" s="4">
        <f t="shared" si="74"/>
        <v>0</v>
      </c>
      <c r="AH107" s="4">
        <f t="shared" si="75"/>
        <v>0</v>
      </c>
      <c r="AI107" s="4">
        <f t="shared" si="76"/>
        <v>0</v>
      </c>
      <c r="AJ107" s="4">
        <f t="shared" si="77"/>
        <v>0</v>
      </c>
      <c r="AK107" s="4">
        <f t="shared" si="78"/>
        <v>0</v>
      </c>
      <c r="AL107" s="4">
        <f t="shared" si="79"/>
        <v>0</v>
      </c>
      <c r="AM107" s="4">
        <f t="shared" si="80"/>
        <v>0</v>
      </c>
      <c r="AN107" s="4">
        <f t="shared" si="81"/>
        <v>0</v>
      </c>
      <c r="AP107" s="2"/>
      <c r="AQ107" s="1">
        <v>25</v>
      </c>
      <c r="AR107" s="2">
        <v>0.04</v>
      </c>
      <c r="AS107" s="2">
        <v>0.04</v>
      </c>
      <c r="AT107" s="2">
        <v>0.04</v>
      </c>
      <c r="AU107" s="2">
        <v>0.04</v>
      </c>
      <c r="AV107" s="2">
        <v>0.04</v>
      </c>
      <c r="AW107" s="2">
        <v>0.04</v>
      </c>
      <c r="AX107" s="2">
        <v>0.04</v>
      </c>
      <c r="AY107" s="2">
        <v>0.04</v>
      </c>
      <c r="AZ107" s="2">
        <v>0.04</v>
      </c>
      <c r="BA107" s="2">
        <v>0.04</v>
      </c>
      <c r="BB107" s="2">
        <v>0.04</v>
      </c>
      <c r="BC107" s="2">
        <v>0.04</v>
      </c>
      <c r="BD107" s="2">
        <v>0.04</v>
      </c>
      <c r="BE107" s="2">
        <v>0.04</v>
      </c>
      <c r="BF107" s="2">
        <v>0.04</v>
      </c>
      <c r="BG107" s="2">
        <v>0.04</v>
      </c>
      <c r="BH107" s="2">
        <v>0.04</v>
      </c>
      <c r="BI107" s="2">
        <v>0.04</v>
      </c>
      <c r="BJ107" s="2">
        <v>0.04</v>
      </c>
      <c r="BK107" s="2">
        <v>0.04</v>
      </c>
      <c r="BL107" s="2">
        <v>0.04</v>
      </c>
      <c r="BM107" s="2">
        <v>0.04</v>
      </c>
      <c r="BN107" s="2">
        <v>0.04</v>
      </c>
      <c r="BO107" s="2">
        <v>0.04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</row>
    <row r="108" spans="3:78" outlineLevel="1">
      <c r="C108" t="s">
        <v>564</v>
      </c>
      <c r="E108" s="133">
        <f t="shared" si="46"/>
        <v>243530.12147905384</v>
      </c>
      <c r="F108" s="4">
        <f t="shared" si="47"/>
        <v>121765.06073952692</v>
      </c>
      <c r="G108" s="4">
        <f t="shared" si="48"/>
        <v>121765.06073952692</v>
      </c>
      <c r="H108" s="4">
        <f t="shared" si="49"/>
        <v>0</v>
      </c>
      <c r="I108" s="4">
        <f t="shared" si="50"/>
        <v>0</v>
      </c>
      <c r="J108" s="4">
        <f t="shared" si="51"/>
        <v>0</v>
      </c>
      <c r="K108" s="4">
        <f t="shared" si="52"/>
        <v>0</v>
      </c>
      <c r="L108" s="4">
        <f t="shared" si="53"/>
        <v>0</v>
      </c>
      <c r="M108" s="4">
        <f t="shared" si="54"/>
        <v>0</v>
      </c>
      <c r="N108" s="4">
        <f t="shared" si="55"/>
        <v>0</v>
      </c>
      <c r="O108" s="4">
        <f t="shared" si="56"/>
        <v>0</v>
      </c>
      <c r="P108" s="4">
        <f t="shared" si="57"/>
        <v>0</v>
      </c>
      <c r="Q108" s="4">
        <f t="shared" si="58"/>
        <v>0</v>
      </c>
      <c r="R108" s="4">
        <f t="shared" si="59"/>
        <v>0</v>
      </c>
      <c r="S108" s="4">
        <f t="shared" si="60"/>
        <v>0</v>
      </c>
      <c r="T108" s="4">
        <f t="shared" si="61"/>
        <v>0</v>
      </c>
      <c r="U108" s="4">
        <f t="shared" si="62"/>
        <v>0</v>
      </c>
      <c r="V108" s="4">
        <f t="shared" si="63"/>
        <v>0</v>
      </c>
      <c r="W108" s="4">
        <f t="shared" si="64"/>
        <v>0</v>
      </c>
      <c r="X108" s="4">
        <f t="shared" si="65"/>
        <v>0</v>
      </c>
      <c r="Y108" s="4">
        <f t="shared" si="66"/>
        <v>0</v>
      </c>
      <c r="Z108" s="4">
        <f t="shared" si="67"/>
        <v>0</v>
      </c>
      <c r="AA108" s="4">
        <f t="shared" si="68"/>
        <v>0</v>
      </c>
      <c r="AB108" s="4">
        <f t="shared" si="69"/>
        <v>0</v>
      </c>
      <c r="AC108" s="4">
        <f t="shared" si="70"/>
        <v>0</v>
      </c>
      <c r="AD108" s="4">
        <f t="shared" si="71"/>
        <v>0</v>
      </c>
      <c r="AE108" s="4">
        <f t="shared" si="72"/>
        <v>0</v>
      </c>
      <c r="AF108" s="4">
        <f t="shared" si="73"/>
        <v>0</v>
      </c>
      <c r="AG108" s="4">
        <f t="shared" si="74"/>
        <v>0</v>
      </c>
      <c r="AH108" s="4">
        <f t="shared" si="75"/>
        <v>0</v>
      </c>
      <c r="AI108" s="4">
        <f t="shared" si="76"/>
        <v>0</v>
      </c>
      <c r="AJ108" s="4">
        <f t="shared" si="77"/>
        <v>0</v>
      </c>
      <c r="AK108" s="4">
        <f t="shared" si="78"/>
        <v>0</v>
      </c>
      <c r="AL108" s="4">
        <f t="shared" si="79"/>
        <v>0</v>
      </c>
      <c r="AM108" s="4">
        <f t="shared" si="80"/>
        <v>0</v>
      </c>
      <c r="AN108" s="4">
        <f t="shared" si="81"/>
        <v>0</v>
      </c>
      <c r="AP108" s="2"/>
      <c r="AQ108" s="1">
        <v>26</v>
      </c>
      <c r="AR108" s="2">
        <v>0.04</v>
      </c>
      <c r="AS108" s="2">
        <v>0.04</v>
      </c>
      <c r="AT108" s="2">
        <v>0.04</v>
      </c>
      <c r="AU108" s="2">
        <v>0.04</v>
      </c>
      <c r="AV108" s="2">
        <v>0.04</v>
      </c>
      <c r="AW108" s="2">
        <v>0.04</v>
      </c>
      <c r="AX108" s="2">
        <v>0.04</v>
      </c>
      <c r="AY108" s="2">
        <v>0.04</v>
      </c>
      <c r="AZ108" s="2">
        <v>0.04</v>
      </c>
      <c r="BA108" s="2">
        <v>0.04</v>
      </c>
      <c r="BB108" s="2">
        <v>0.04</v>
      </c>
      <c r="BC108" s="2">
        <v>0.04</v>
      </c>
      <c r="BD108" s="2">
        <v>0.04</v>
      </c>
      <c r="BE108" s="2">
        <v>0.04</v>
      </c>
      <c r="BF108" s="2">
        <v>0.04</v>
      </c>
      <c r="BG108" s="2">
        <v>0.04</v>
      </c>
      <c r="BH108" s="2">
        <v>0.04</v>
      </c>
      <c r="BI108" s="2">
        <v>0.04</v>
      </c>
      <c r="BJ108" s="2">
        <v>0.04</v>
      </c>
      <c r="BK108" s="2">
        <v>0.04</v>
      </c>
      <c r="BL108" s="2">
        <v>0.04</v>
      </c>
      <c r="BM108" s="2">
        <v>0.04</v>
      </c>
      <c r="BN108" s="2">
        <v>0.04</v>
      </c>
      <c r="BO108" s="2">
        <v>0.04</v>
      </c>
      <c r="BP108" s="2">
        <v>0.04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</row>
    <row r="109" spans="3:78" outlineLevel="1">
      <c r="C109" t="s">
        <v>565</v>
      </c>
      <c r="E109" s="133">
        <f t="shared" si="46"/>
        <v>243530.12147905384</v>
      </c>
      <c r="F109" s="4">
        <f t="shared" si="47"/>
        <v>121765.06073952692</v>
      </c>
      <c r="G109" s="4">
        <f t="shared" si="48"/>
        <v>121765.06073952692</v>
      </c>
      <c r="H109" s="4">
        <f t="shared" si="49"/>
        <v>0</v>
      </c>
      <c r="I109" s="4">
        <f t="shared" si="50"/>
        <v>0</v>
      </c>
      <c r="J109" s="4">
        <f t="shared" si="51"/>
        <v>0</v>
      </c>
      <c r="K109" s="4">
        <f t="shared" si="52"/>
        <v>0</v>
      </c>
      <c r="L109" s="4">
        <f t="shared" si="53"/>
        <v>0</v>
      </c>
      <c r="M109" s="4">
        <f t="shared" si="54"/>
        <v>0</v>
      </c>
      <c r="N109" s="4">
        <f t="shared" si="55"/>
        <v>0</v>
      </c>
      <c r="O109" s="4">
        <f t="shared" si="56"/>
        <v>0</v>
      </c>
      <c r="P109" s="4">
        <f t="shared" si="57"/>
        <v>0</v>
      </c>
      <c r="Q109" s="4">
        <f t="shared" si="58"/>
        <v>0</v>
      </c>
      <c r="R109" s="4">
        <f t="shared" si="59"/>
        <v>0</v>
      </c>
      <c r="S109" s="4">
        <f t="shared" si="60"/>
        <v>0</v>
      </c>
      <c r="T109" s="4">
        <f t="shared" si="61"/>
        <v>0</v>
      </c>
      <c r="U109" s="4">
        <f t="shared" si="62"/>
        <v>0</v>
      </c>
      <c r="V109" s="4">
        <f t="shared" si="63"/>
        <v>0</v>
      </c>
      <c r="W109" s="4">
        <f t="shared" si="64"/>
        <v>0</v>
      </c>
      <c r="X109" s="4">
        <f t="shared" si="65"/>
        <v>0</v>
      </c>
      <c r="Y109" s="4">
        <f t="shared" si="66"/>
        <v>0</v>
      </c>
      <c r="Z109" s="4">
        <f t="shared" si="67"/>
        <v>0</v>
      </c>
      <c r="AA109" s="4">
        <f t="shared" si="68"/>
        <v>0</v>
      </c>
      <c r="AB109" s="4">
        <f t="shared" si="69"/>
        <v>0</v>
      </c>
      <c r="AC109" s="4">
        <f t="shared" si="70"/>
        <v>0</v>
      </c>
      <c r="AD109" s="4">
        <f t="shared" si="71"/>
        <v>0</v>
      </c>
      <c r="AE109" s="4">
        <f t="shared" si="72"/>
        <v>0</v>
      </c>
      <c r="AF109" s="4">
        <f t="shared" si="73"/>
        <v>0</v>
      </c>
      <c r="AG109" s="4">
        <f t="shared" si="74"/>
        <v>0</v>
      </c>
      <c r="AH109" s="4">
        <f t="shared" si="75"/>
        <v>0</v>
      </c>
      <c r="AI109" s="4">
        <f t="shared" si="76"/>
        <v>0</v>
      </c>
      <c r="AJ109" s="4">
        <f t="shared" si="77"/>
        <v>0</v>
      </c>
      <c r="AK109" s="4">
        <f t="shared" si="78"/>
        <v>0</v>
      </c>
      <c r="AL109" s="4">
        <f t="shared" si="79"/>
        <v>0</v>
      </c>
      <c r="AM109" s="4">
        <f t="shared" si="80"/>
        <v>0</v>
      </c>
      <c r="AN109" s="4">
        <f t="shared" si="81"/>
        <v>0</v>
      </c>
      <c r="AP109" s="2"/>
      <c r="AQ109" s="1">
        <v>27</v>
      </c>
      <c r="AR109" s="2">
        <v>0</v>
      </c>
      <c r="AS109" s="2">
        <v>0.04</v>
      </c>
      <c r="AT109" s="2">
        <v>0.04</v>
      </c>
      <c r="AU109" s="2">
        <v>0.04</v>
      </c>
      <c r="AV109" s="2">
        <v>0.04</v>
      </c>
      <c r="AW109" s="2">
        <v>0.04</v>
      </c>
      <c r="AX109" s="2">
        <v>0.04</v>
      </c>
      <c r="AY109" s="2">
        <v>0.04</v>
      </c>
      <c r="AZ109" s="2">
        <v>0.04</v>
      </c>
      <c r="BA109" s="2">
        <v>0.04</v>
      </c>
      <c r="BB109" s="2">
        <v>0.04</v>
      </c>
      <c r="BC109" s="2">
        <v>0.04</v>
      </c>
      <c r="BD109" s="2">
        <v>0.04</v>
      </c>
      <c r="BE109" s="2">
        <v>0.04</v>
      </c>
      <c r="BF109" s="2">
        <v>0.04</v>
      </c>
      <c r="BG109" s="2">
        <v>0.04</v>
      </c>
      <c r="BH109" s="2">
        <v>0.04</v>
      </c>
      <c r="BI109" s="2">
        <v>0.04</v>
      </c>
      <c r="BJ109" s="2">
        <v>0.04</v>
      </c>
      <c r="BK109" s="2">
        <v>0.04</v>
      </c>
      <c r="BL109" s="2">
        <v>0.04</v>
      </c>
      <c r="BM109" s="2">
        <v>0.04</v>
      </c>
      <c r="BN109" s="2">
        <v>0.04</v>
      </c>
      <c r="BO109" s="2">
        <v>0.04</v>
      </c>
      <c r="BP109" s="2">
        <v>0.04</v>
      </c>
      <c r="BQ109" s="2">
        <v>0.04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</row>
    <row r="110" spans="3:78" outlineLevel="1">
      <c r="C110" t="s">
        <v>566</v>
      </c>
      <c r="E110" s="133">
        <f t="shared" si="46"/>
        <v>121765.06073952692</v>
      </c>
      <c r="F110" s="4">
        <f t="shared" si="47"/>
        <v>0</v>
      </c>
      <c r="G110" s="4">
        <f t="shared" si="48"/>
        <v>121765.06073952692</v>
      </c>
      <c r="H110" s="4">
        <f t="shared" si="49"/>
        <v>0</v>
      </c>
      <c r="I110" s="4">
        <f t="shared" si="50"/>
        <v>0</v>
      </c>
      <c r="J110" s="4">
        <f t="shared" si="51"/>
        <v>0</v>
      </c>
      <c r="K110" s="4">
        <f t="shared" si="52"/>
        <v>0</v>
      </c>
      <c r="L110" s="4">
        <f t="shared" si="53"/>
        <v>0</v>
      </c>
      <c r="M110" s="4">
        <f t="shared" si="54"/>
        <v>0</v>
      </c>
      <c r="N110" s="4">
        <f t="shared" si="55"/>
        <v>0</v>
      </c>
      <c r="O110" s="4">
        <f t="shared" si="56"/>
        <v>0</v>
      </c>
      <c r="P110" s="4">
        <f t="shared" si="57"/>
        <v>0</v>
      </c>
      <c r="Q110" s="4">
        <f t="shared" si="58"/>
        <v>0</v>
      </c>
      <c r="R110" s="4">
        <f t="shared" si="59"/>
        <v>0</v>
      </c>
      <c r="S110" s="4">
        <f t="shared" si="60"/>
        <v>0</v>
      </c>
      <c r="T110" s="4">
        <f t="shared" si="61"/>
        <v>0</v>
      </c>
      <c r="U110" s="4">
        <f t="shared" si="62"/>
        <v>0</v>
      </c>
      <c r="V110" s="4">
        <f t="shared" si="63"/>
        <v>0</v>
      </c>
      <c r="W110" s="4">
        <f t="shared" si="64"/>
        <v>0</v>
      </c>
      <c r="X110" s="4">
        <f t="shared" si="65"/>
        <v>0</v>
      </c>
      <c r="Y110" s="4">
        <f t="shared" si="66"/>
        <v>0</v>
      </c>
      <c r="Z110" s="4">
        <f t="shared" si="67"/>
        <v>0</v>
      </c>
      <c r="AA110" s="4">
        <f t="shared" si="68"/>
        <v>0</v>
      </c>
      <c r="AB110" s="4">
        <f t="shared" si="69"/>
        <v>0</v>
      </c>
      <c r="AC110" s="4">
        <f t="shared" si="70"/>
        <v>0</v>
      </c>
      <c r="AD110" s="4">
        <f t="shared" si="71"/>
        <v>0</v>
      </c>
      <c r="AE110" s="4">
        <f t="shared" si="72"/>
        <v>0</v>
      </c>
      <c r="AF110" s="4">
        <f t="shared" si="73"/>
        <v>0</v>
      </c>
      <c r="AG110" s="4">
        <f t="shared" si="74"/>
        <v>0</v>
      </c>
      <c r="AH110" s="4">
        <f t="shared" si="75"/>
        <v>0</v>
      </c>
      <c r="AI110" s="4">
        <f t="shared" si="76"/>
        <v>0</v>
      </c>
      <c r="AJ110" s="4">
        <f t="shared" si="77"/>
        <v>0</v>
      </c>
      <c r="AK110" s="4">
        <f t="shared" si="78"/>
        <v>0</v>
      </c>
      <c r="AL110" s="4">
        <f t="shared" si="79"/>
        <v>0</v>
      </c>
      <c r="AM110" s="4">
        <f t="shared" si="80"/>
        <v>0</v>
      </c>
      <c r="AN110" s="4">
        <f t="shared" si="81"/>
        <v>0</v>
      </c>
      <c r="AP110" s="2"/>
      <c r="AQ110" s="1">
        <v>28</v>
      </c>
      <c r="AR110" s="2">
        <v>0</v>
      </c>
      <c r="AS110" s="2">
        <v>0</v>
      </c>
      <c r="AT110" s="2">
        <v>0.04</v>
      </c>
      <c r="AU110" s="2">
        <v>0.04</v>
      </c>
      <c r="AV110" s="2">
        <v>0.04</v>
      </c>
      <c r="AW110" s="2">
        <v>0.04</v>
      </c>
      <c r="AX110" s="2">
        <v>0.04</v>
      </c>
      <c r="AY110" s="2">
        <v>0.04</v>
      </c>
      <c r="AZ110" s="2">
        <v>0.04</v>
      </c>
      <c r="BA110" s="2">
        <v>0.04</v>
      </c>
      <c r="BB110" s="2">
        <v>0.04</v>
      </c>
      <c r="BC110" s="2">
        <v>0.04</v>
      </c>
      <c r="BD110" s="2">
        <v>0.04</v>
      </c>
      <c r="BE110" s="2">
        <v>0.04</v>
      </c>
      <c r="BF110" s="2">
        <v>0.04</v>
      </c>
      <c r="BG110" s="2">
        <v>0.04</v>
      </c>
      <c r="BH110" s="2">
        <v>0.04</v>
      </c>
      <c r="BI110" s="2">
        <v>0.04</v>
      </c>
      <c r="BJ110" s="2">
        <v>0.04</v>
      </c>
      <c r="BK110" s="2">
        <v>0.04</v>
      </c>
      <c r="BL110" s="2">
        <v>0.04</v>
      </c>
      <c r="BM110" s="2">
        <v>0.04</v>
      </c>
      <c r="BN110" s="2">
        <v>0.04</v>
      </c>
      <c r="BO110" s="2">
        <v>0.04</v>
      </c>
      <c r="BP110" s="2">
        <v>0.04</v>
      </c>
      <c r="BQ110" s="2">
        <v>0.04</v>
      </c>
      <c r="BR110" s="2">
        <v>0.04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</row>
    <row r="111" spans="3:78" outlineLevel="1">
      <c r="C111" t="s">
        <v>567</v>
      </c>
      <c r="E111" s="133">
        <f t="shared" si="46"/>
        <v>0</v>
      </c>
      <c r="F111" s="4">
        <f t="shared" si="47"/>
        <v>0</v>
      </c>
      <c r="G111" s="4">
        <f t="shared" si="48"/>
        <v>0</v>
      </c>
      <c r="H111" s="4">
        <f t="shared" si="49"/>
        <v>0</v>
      </c>
      <c r="I111" s="4">
        <f t="shared" si="50"/>
        <v>0</v>
      </c>
      <c r="J111" s="4">
        <f t="shared" si="51"/>
        <v>0</v>
      </c>
      <c r="K111" s="4">
        <f t="shared" si="52"/>
        <v>0</v>
      </c>
      <c r="L111" s="4">
        <f t="shared" si="53"/>
        <v>0</v>
      </c>
      <c r="M111" s="4">
        <f t="shared" si="54"/>
        <v>0</v>
      </c>
      <c r="N111" s="4">
        <f t="shared" si="55"/>
        <v>0</v>
      </c>
      <c r="O111" s="4">
        <f t="shared" si="56"/>
        <v>0</v>
      </c>
      <c r="P111" s="4">
        <f t="shared" si="57"/>
        <v>0</v>
      </c>
      <c r="Q111" s="4">
        <f t="shared" si="58"/>
        <v>0</v>
      </c>
      <c r="R111" s="4">
        <f t="shared" si="59"/>
        <v>0</v>
      </c>
      <c r="S111" s="4">
        <f t="shared" si="60"/>
        <v>0</v>
      </c>
      <c r="T111" s="4">
        <f t="shared" si="61"/>
        <v>0</v>
      </c>
      <c r="U111" s="4">
        <f t="shared" si="62"/>
        <v>0</v>
      </c>
      <c r="V111" s="4">
        <f t="shared" si="63"/>
        <v>0</v>
      </c>
      <c r="W111" s="4">
        <f t="shared" si="64"/>
        <v>0</v>
      </c>
      <c r="X111" s="4">
        <f t="shared" si="65"/>
        <v>0</v>
      </c>
      <c r="Y111" s="4">
        <f t="shared" si="66"/>
        <v>0</v>
      </c>
      <c r="Z111" s="4">
        <f t="shared" si="67"/>
        <v>0</v>
      </c>
      <c r="AA111" s="4">
        <f t="shared" si="68"/>
        <v>0</v>
      </c>
      <c r="AB111" s="4">
        <f t="shared" si="69"/>
        <v>0</v>
      </c>
      <c r="AC111" s="4">
        <f t="shared" si="70"/>
        <v>0</v>
      </c>
      <c r="AD111" s="4">
        <f t="shared" si="71"/>
        <v>0</v>
      </c>
      <c r="AE111" s="4">
        <f t="shared" si="72"/>
        <v>0</v>
      </c>
      <c r="AF111" s="4">
        <f t="shared" si="73"/>
        <v>0</v>
      </c>
      <c r="AG111" s="4">
        <f t="shared" si="74"/>
        <v>0</v>
      </c>
      <c r="AH111" s="4">
        <f t="shared" si="75"/>
        <v>0</v>
      </c>
      <c r="AI111" s="4">
        <f t="shared" si="76"/>
        <v>0</v>
      </c>
      <c r="AJ111" s="4">
        <f t="shared" si="77"/>
        <v>0</v>
      </c>
      <c r="AK111" s="4">
        <f t="shared" si="78"/>
        <v>0</v>
      </c>
      <c r="AL111" s="4">
        <f t="shared" si="79"/>
        <v>0</v>
      </c>
      <c r="AM111" s="4">
        <f t="shared" si="80"/>
        <v>0</v>
      </c>
      <c r="AN111" s="4">
        <f t="shared" si="81"/>
        <v>0</v>
      </c>
      <c r="AP111" s="2"/>
      <c r="AQ111" s="1">
        <v>29</v>
      </c>
      <c r="AR111" s="2">
        <v>0</v>
      </c>
      <c r="AS111" s="2">
        <v>0</v>
      </c>
      <c r="AT111" s="2">
        <v>0</v>
      </c>
      <c r="AU111" s="2">
        <v>0.04</v>
      </c>
      <c r="AV111" s="2">
        <v>0.04</v>
      </c>
      <c r="AW111" s="2">
        <v>0.04</v>
      </c>
      <c r="AX111" s="2">
        <v>0.04</v>
      </c>
      <c r="AY111" s="2">
        <v>0.04</v>
      </c>
      <c r="AZ111" s="2">
        <v>0.04</v>
      </c>
      <c r="BA111" s="2">
        <v>0.04</v>
      </c>
      <c r="BB111" s="2">
        <v>0.04</v>
      </c>
      <c r="BC111" s="2">
        <v>0.04</v>
      </c>
      <c r="BD111" s="2">
        <v>0.04</v>
      </c>
      <c r="BE111" s="2">
        <v>0.04</v>
      </c>
      <c r="BF111" s="2">
        <v>0.04</v>
      </c>
      <c r="BG111" s="2">
        <v>0.04</v>
      </c>
      <c r="BH111" s="2">
        <v>0.04</v>
      </c>
      <c r="BI111" s="2">
        <v>0.04</v>
      </c>
      <c r="BJ111" s="2">
        <v>0.04</v>
      </c>
      <c r="BK111" s="2">
        <v>0.04</v>
      </c>
      <c r="BL111" s="2">
        <v>0.04</v>
      </c>
      <c r="BM111" s="2">
        <v>0.04</v>
      </c>
      <c r="BN111" s="2">
        <v>0.04</v>
      </c>
      <c r="BO111" s="2">
        <v>0.04</v>
      </c>
      <c r="BP111" s="2">
        <v>0.04</v>
      </c>
      <c r="BQ111" s="2">
        <v>0.04</v>
      </c>
      <c r="BR111" s="2">
        <v>0.04</v>
      </c>
      <c r="BS111" s="2">
        <v>0.04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</row>
    <row r="112" spans="3:78" outlineLevel="1">
      <c r="C112" t="s">
        <v>568</v>
      </c>
      <c r="E112" s="133">
        <f t="shared" si="46"/>
        <v>0</v>
      </c>
      <c r="F112" s="4">
        <f t="shared" si="47"/>
        <v>0</v>
      </c>
      <c r="G112" s="4">
        <f t="shared" si="48"/>
        <v>0</v>
      </c>
      <c r="H112" s="4">
        <f t="shared" si="49"/>
        <v>0</v>
      </c>
      <c r="I112" s="4">
        <f t="shared" si="50"/>
        <v>0</v>
      </c>
      <c r="J112" s="4">
        <f t="shared" si="51"/>
        <v>0</v>
      </c>
      <c r="K112" s="4">
        <f t="shared" si="52"/>
        <v>0</v>
      </c>
      <c r="L112" s="4">
        <f t="shared" si="53"/>
        <v>0</v>
      </c>
      <c r="M112" s="4">
        <f t="shared" si="54"/>
        <v>0</v>
      </c>
      <c r="N112" s="4">
        <f t="shared" si="55"/>
        <v>0</v>
      </c>
      <c r="O112" s="4">
        <f t="shared" si="56"/>
        <v>0</v>
      </c>
      <c r="P112" s="4">
        <f t="shared" si="57"/>
        <v>0</v>
      </c>
      <c r="Q112" s="4">
        <f t="shared" si="58"/>
        <v>0</v>
      </c>
      <c r="R112" s="4">
        <f t="shared" si="59"/>
        <v>0</v>
      </c>
      <c r="S112" s="4">
        <f t="shared" si="60"/>
        <v>0</v>
      </c>
      <c r="T112" s="4">
        <f t="shared" si="61"/>
        <v>0</v>
      </c>
      <c r="U112" s="4">
        <f t="shared" si="62"/>
        <v>0</v>
      </c>
      <c r="V112" s="4">
        <f t="shared" si="63"/>
        <v>0</v>
      </c>
      <c r="W112" s="4">
        <f t="shared" si="64"/>
        <v>0</v>
      </c>
      <c r="X112" s="4">
        <f t="shared" si="65"/>
        <v>0</v>
      </c>
      <c r="Y112" s="4">
        <f t="shared" si="66"/>
        <v>0</v>
      </c>
      <c r="Z112" s="4">
        <f t="shared" si="67"/>
        <v>0</v>
      </c>
      <c r="AA112" s="4">
        <f t="shared" si="68"/>
        <v>0</v>
      </c>
      <c r="AB112" s="4">
        <f t="shared" si="69"/>
        <v>0</v>
      </c>
      <c r="AC112" s="4">
        <f t="shared" si="70"/>
        <v>0</v>
      </c>
      <c r="AD112" s="4">
        <f t="shared" si="71"/>
        <v>0</v>
      </c>
      <c r="AE112" s="4">
        <f t="shared" si="72"/>
        <v>0</v>
      </c>
      <c r="AF112" s="4">
        <f t="shared" si="73"/>
        <v>0</v>
      </c>
      <c r="AG112" s="4">
        <f t="shared" si="74"/>
        <v>0</v>
      </c>
      <c r="AH112" s="4">
        <f t="shared" si="75"/>
        <v>0</v>
      </c>
      <c r="AI112" s="4">
        <f t="shared" si="76"/>
        <v>0</v>
      </c>
      <c r="AJ112" s="4">
        <f t="shared" si="77"/>
        <v>0</v>
      </c>
      <c r="AK112" s="4">
        <f t="shared" si="78"/>
        <v>0</v>
      </c>
      <c r="AL112" s="4">
        <f t="shared" si="79"/>
        <v>0</v>
      </c>
      <c r="AM112" s="4">
        <f t="shared" si="80"/>
        <v>0</v>
      </c>
      <c r="AN112" s="4">
        <f t="shared" si="81"/>
        <v>0</v>
      </c>
      <c r="AP112" s="2"/>
      <c r="AQ112" s="1">
        <v>30</v>
      </c>
      <c r="AR112" s="2">
        <v>0</v>
      </c>
      <c r="AS112" s="2">
        <v>0</v>
      </c>
      <c r="AT112" s="2">
        <v>0</v>
      </c>
      <c r="AU112" s="2">
        <v>0</v>
      </c>
      <c r="AV112" s="2">
        <v>0.04</v>
      </c>
      <c r="AW112" s="2">
        <v>0.04</v>
      </c>
      <c r="AX112" s="2">
        <v>0.04</v>
      </c>
      <c r="AY112" s="2">
        <v>0.04</v>
      </c>
      <c r="AZ112" s="2">
        <v>0.04</v>
      </c>
      <c r="BA112" s="2">
        <v>0.04</v>
      </c>
      <c r="BB112" s="2">
        <v>0.04</v>
      </c>
      <c r="BC112" s="2">
        <v>0.04</v>
      </c>
      <c r="BD112" s="2">
        <v>0.04</v>
      </c>
      <c r="BE112" s="2">
        <v>0.04</v>
      </c>
      <c r="BF112" s="2">
        <v>0.04</v>
      </c>
      <c r="BG112" s="2">
        <v>0.04</v>
      </c>
      <c r="BH112" s="2">
        <v>0.04</v>
      </c>
      <c r="BI112" s="2">
        <v>0.04</v>
      </c>
      <c r="BJ112" s="2">
        <v>0.04</v>
      </c>
      <c r="BK112" s="2">
        <v>0.04</v>
      </c>
      <c r="BL112" s="2">
        <v>0.04</v>
      </c>
      <c r="BM112" s="2">
        <v>0.04</v>
      </c>
      <c r="BN112" s="2">
        <v>0.04</v>
      </c>
      <c r="BO112" s="2">
        <v>0.04</v>
      </c>
      <c r="BP112" s="2">
        <v>0.04</v>
      </c>
      <c r="BQ112" s="2">
        <v>0.04</v>
      </c>
      <c r="BR112" s="2">
        <v>0.04</v>
      </c>
      <c r="BS112" s="2">
        <v>0.04</v>
      </c>
      <c r="BT112" s="2">
        <v>0.04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</row>
    <row r="113" spans="1:78" outlineLevel="1">
      <c r="C113" t="s">
        <v>569</v>
      </c>
      <c r="E113" s="133">
        <f t="shared" si="46"/>
        <v>0</v>
      </c>
      <c r="F113" s="4">
        <f t="shared" si="47"/>
        <v>0</v>
      </c>
      <c r="G113" s="4">
        <f t="shared" si="48"/>
        <v>0</v>
      </c>
      <c r="H113" s="4">
        <f t="shared" si="49"/>
        <v>0</v>
      </c>
      <c r="I113" s="4">
        <f t="shared" si="50"/>
        <v>0</v>
      </c>
      <c r="J113" s="4">
        <f t="shared" si="51"/>
        <v>0</v>
      </c>
      <c r="K113" s="4">
        <f t="shared" si="52"/>
        <v>0</v>
      </c>
      <c r="L113" s="4">
        <f t="shared" si="53"/>
        <v>0</v>
      </c>
      <c r="M113" s="4">
        <f t="shared" si="54"/>
        <v>0</v>
      </c>
      <c r="N113" s="4">
        <f t="shared" si="55"/>
        <v>0</v>
      </c>
      <c r="O113" s="4">
        <f t="shared" si="56"/>
        <v>0</v>
      </c>
      <c r="P113" s="4">
        <f t="shared" si="57"/>
        <v>0</v>
      </c>
      <c r="Q113" s="4">
        <f t="shared" si="58"/>
        <v>0</v>
      </c>
      <c r="R113" s="4">
        <f t="shared" si="59"/>
        <v>0</v>
      </c>
      <c r="S113" s="4">
        <f t="shared" si="60"/>
        <v>0</v>
      </c>
      <c r="T113" s="4">
        <f t="shared" si="61"/>
        <v>0</v>
      </c>
      <c r="U113" s="4">
        <f t="shared" si="62"/>
        <v>0</v>
      </c>
      <c r="V113" s="4">
        <f t="shared" si="63"/>
        <v>0</v>
      </c>
      <c r="W113" s="4">
        <f t="shared" si="64"/>
        <v>0</v>
      </c>
      <c r="X113" s="4">
        <f t="shared" si="65"/>
        <v>0</v>
      </c>
      <c r="Y113" s="4">
        <f t="shared" si="66"/>
        <v>0</v>
      </c>
      <c r="Z113" s="4">
        <f t="shared" si="67"/>
        <v>0</v>
      </c>
      <c r="AA113" s="4">
        <f t="shared" si="68"/>
        <v>0</v>
      </c>
      <c r="AB113" s="4">
        <f t="shared" si="69"/>
        <v>0</v>
      </c>
      <c r="AC113" s="4">
        <f t="shared" si="70"/>
        <v>0</v>
      </c>
      <c r="AD113" s="4">
        <f t="shared" si="71"/>
        <v>0</v>
      </c>
      <c r="AE113" s="4">
        <f t="shared" si="72"/>
        <v>0</v>
      </c>
      <c r="AF113" s="4">
        <f t="shared" si="73"/>
        <v>0</v>
      </c>
      <c r="AG113" s="4">
        <f t="shared" si="74"/>
        <v>0</v>
      </c>
      <c r="AH113" s="4">
        <f t="shared" si="75"/>
        <v>0</v>
      </c>
      <c r="AI113" s="4">
        <f t="shared" si="76"/>
        <v>0</v>
      </c>
      <c r="AJ113" s="4">
        <f t="shared" si="77"/>
        <v>0</v>
      </c>
      <c r="AK113" s="4">
        <f t="shared" si="78"/>
        <v>0</v>
      </c>
      <c r="AL113" s="4">
        <f t="shared" si="79"/>
        <v>0</v>
      </c>
      <c r="AM113" s="4">
        <f t="shared" si="80"/>
        <v>0</v>
      </c>
      <c r="AN113" s="4">
        <f t="shared" si="81"/>
        <v>0</v>
      </c>
      <c r="AP113" s="2"/>
      <c r="AQ113" s="1">
        <v>31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0.04</v>
      </c>
      <c r="AX113" s="2">
        <v>0.04</v>
      </c>
      <c r="AY113" s="2">
        <v>0.04</v>
      </c>
      <c r="AZ113" s="2">
        <v>0.04</v>
      </c>
      <c r="BA113" s="2">
        <v>0.04</v>
      </c>
      <c r="BB113" s="2">
        <v>0.04</v>
      </c>
      <c r="BC113" s="2">
        <v>0.04</v>
      </c>
      <c r="BD113" s="2">
        <v>0.04</v>
      </c>
      <c r="BE113" s="2">
        <v>0.04</v>
      </c>
      <c r="BF113" s="2">
        <v>0.04</v>
      </c>
      <c r="BG113" s="2">
        <v>0.04</v>
      </c>
      <c r="BH113" s="2">
        <v>0.04</v>
      </c>
      <c r="BI113" s="2">
        <v>0.04</v>
      </c>
      <c r="BJ113" s="2">
        <v>0.04</v>
      </c>
      <c r="BK113" s="2">
        <v>0.04</v>
      </c>
      <c r="BL113" s="2">
        <v>0.04</v>
      </c>
      <c r="BM113" s="2">
        <v>0.04</v>
      </c>
      <c r="BN113" s="2">
        <v>0.04</v>
      </c>
      <c r="BO113" s="2">
        <v>0.04</v>
      </c>
      <c r="BP113" s="2">
        <v>0.04</v>
      </c>
      <c r="BQ113" s="2">
        <v>0.04</v>
      </c>
      <c r="BR113" s="2">
        <v>0.04</v>
      </c>
      <c r="BS113" s="2">
        <v>0.04</v>
      </c>
      <c r="BT113" s="2">
        <v>0.04</v>
      </c>
      <c r="BU113" s="2">
        <v>0.04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</row>
    <row r="114" spans="1:78" outlineLevel="1">
      <c r="C114" t="s">
        <v>570</v>
      </c>
      <c r="E114" s="133">
        <f t="shared" si="46"/>
        <v>0</v>
      </c>
      <c r="F114" s="4">
        <f t="shared" si="47"/>
        <v>0</v>
      </c>
      <c r="G114" s="4">
        <f t="shared" si="48"/>
        <v>0</v>
      </c>
      <c r="H114" s="4">
        <f t="shared" si="49"/>
        <v>0</v>
      </c>
      <c r="I114" s="4">
        <f t="shared" si="50"/>
        <v>0</v>
      </c>
      <c r="J114" s="4">
        <f t="shared" si="51"/>
        <v>0</v>
      </c>
      <c r="K114" s="4">
        <f t="shared" si="52"/>
        <v>0</v>
      </c>
      <c r="L114" s="4">
        <f t="shared" si="53"/>
        <v>0</v>
      </c>
      <c r="M114" s="4">
        <f t="shared" si="54"/>
        <v>0</v>
      </c>
      <c r="N114" s="4">
        <f t="shared" si="55"/>
        <v>0</v>
      </c>
      <c r="O114" s="4">
        <f t="shared" si="56"/>
        <v>0</v>
      </c>
      <c r="P114" s="4">
        <f t="shared" si="57"/>
        <v>0</v>
      </c>
      <c r="Q114" s="4">
        <f t="shared" si="58"/>
        <v>0</v>
      </c>
      <c r="R114" s="4">
        <f t="shared" si="59"/>
        <v>0</v>
      </c>
      <c r="S114" s="4">
        <f t="shared" si="60"/>
        <v>0</v>
      </c>
      <c r="T114" s="4">
        <f t="shared" si="61"/>
        <v>0</v>
      </c>
      <c r="U114" s="4">
        <f t="shared" si="62"/>
        <v>0</v>
      </c>
      <c r="V114" s="4">
        <f t="shared" si="63"/>
        <v>0</v>
      </c>
      <c r="W114" s="4">
        <f t="shared" si="64"/>
        <v>0</v>
      </c>
      <c r="X114" s="4">
        <f t="shared" si="65"/>
        <v>0</v>
      </c>
      <c r="Y114" s="4">
        <f t="shared" si="66"/>
        <v>0</v>
      </c>
      <c r="Z114" s="4">
        <f t="shared" si="67"/>
        <v>0</v>
      </c>
      <c r="AA114" s="4">
        <f t="shared" si="68"/>
        <v>0</v>
      </c>
      <c r="AB114" s="4">
        <f t="shared" si="69"/>
        <v>0</v>
      </c>
      <c r="AC114" s="4">
        <f t="shared" si="70"/>
        <v>0</v>
      </c>
      <c r="AD114" s="4">
        <f t="shared" si="71"/>
        <v>0</v>
      </c>
      <c r="AE114" s="4">
        <f t="shared" si="72"/>
        <v>0</v>
      </c>
      <c r="AF114" s="4">
        <f t="shared" si="73"/>
        <v>0</v>
      </c>
      <c r="AG114" s="4">
        <f t="shared" si="74"/>
        <v>0</v>
      </c>
      <c r="AH114" s="4">
        <f t="shared" si="75"/>
        <v>0</v>
      </c>
      <c r="AI114" s="4">
        <f t="shared" si="76"/>
        <v>0</v>
      </c>
      <c r="AJ114" s="4">
        <f t="shared" si="77"/>
        <v>0</v>
      </c>
      <c r="AK114" s="4">
        <f t="shared" si="78"/>
        <v>0</v>
      </c>
      <c r="AL114" s="4">
        <f t="shared" si="79"/>
        <v>0</v>
      </c>
      <c r="AM114" s="4">
        <f t="shared" si="80"/>
        <v>0</v>
      </c>
      <c r="AN114" s="4">
        <f t="shared" si="81"/>
        <v>0</v>
      </c>
      <c r="AP114" s="2"/>
      <c r="AQ114" s="1">
        <v>32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0.04</v>
      </c>
      <c r="AY114" s="2">
        <v>0.04</v>
      </c>
      <c r="AZ114" s="2">
        <v>0.04</v>
      </c>
      <c r="BA114" s="2">
        <v>0.04</v>
      </c>
      <c r="BB114" s="2">
        <v>0.04</v>
      </c>
      <c r="BC114" s="2">
        <v>0.04</v>
      </c>
      <c r="BD114" s="2">
        <v>0.04</v>
      </c>
      <c r="BE114" s="2">
        <v>0.04</v>
      </c>
      <c r="BF114" s="2">
        <v>0.04</v>
      </c>
      <c r="BG114" s="2">
        <v>0.04</v>
      </c>
      <c r="BH114" s="2">
        <v>0.04</v>
      </c>
      <c r="BI114" s="2">
        <v>0.04</v>
      </c>
      <c r="BJ114" s="2">
        <v>0.04</v>
      </c>
      <c r="BK114" s="2">
        <v>0.04</v>
      </c>
      <c r="BL114" s="2">
        <v>0.04</v>
      </c>
      <c r="BM114" s="2">
        <v>0.04</v>
      </c>
      <c r="BN114" s="2">
        <v>0.04</v>
      </c>
      <c r="BO114" s="2">
        <v>0.04</v>
      </c>
      <c r="BP114" s="2">
        <v>0.04</v>
      </c>
      <c r="BQ114" s="2">
        <v>0.04</v>
      </c>
      <c r="BR114" s="2">
        <v>0.04</v>
      </c>
      <c r="BS114" s="2">
        <v>0.04</v>
      </c>
      <c r="BT114" s="2">
        <v>0.04</v>
      </c>
      <c r="BU114" s="2">
        <v>0.04</v>
      </c>
      <c r="BV114" s="2">
        <v>0.04</v>
      </c>
      <c r="BW114" s="2">
        <v>0</v>
      </c>
      <c r="BX114" s="2">
        <v>0</v>
      </c>
      <c r="BY114" s="2">
        <v>0</v>
      </c>
      <c r="BZ114" s="2">
        <v>0</v>
      </c>
    </row>
    <row r="115" spans="1:78" outlineLevel="1">
      <c r="C115" t="s">
        <v>571</v>
      </c>
      <c r="E115" s="133">
        <f t="shared" si="46"/>
        <v>0</v>
      </c>
      <c r="F115" s="4">
        <f t="shared" si="47"/>
        <v>0</v>
      </c>
      <c r="G115" s="4">
        <f t="shared" si="48"/>
        <v>0</v>
      </c>
      <c r="H115" s="4">
        <f t="shared" si="49"/>
        <v>0</v>
      </c>
      <c r="I115" s="4">
        <f t="shared" si="50"/>
        <v>0</v>
      </c>
      <c r="J115" s="4">
        <f t="shared" si="51"/>
        <v>0</v>
      </c>
      <c r="K115" s="4">
        <f t="shared" si="52"/>
        <v>0</v>
      </c>
      <c r="L115" s="4">
        <f t="shared" si="53"/>
        <v>0</v>
      </c>
      <c r="M115" s="4">
        <f t="shared" si="54"/>
        <v>0</v>
      </c>
      <c r="N115" s="4">
        <f t="shared" si="55"/>
        <v>0</v>
      </c>
      <c r="O115" s="4">
        <f t="shared" si="56"/>
        <v>0</v>
      </c>
      <c r="P115" s="4">
        <f t="shared" si="57"/>
        <v>0</v>
      </c>
      <c r="Q115" s="4">
        <f t="shared" si="58"/>
        <v>0</v>
      </c>
      <c r="R115" s="4">
        <f t="shared" si="59"/>
        <v>0</v>
      </c>
      <c r="S115" s="4">
        <f t="shared" si="60"/>
        <v>0</v>
      </c>
      <c r="T115" s="4">
        <f t="shared" si="61"/>
        <v>0</v>
      </c>
      <c r="U115" s="4">
        <f t="shared" si="62"/>
        <v>0</v>
      </c>
      <c r="V115" s="4">
        <f t="shared" si="63"/>
        <v>0</v>
      </c>
      <c r="W115" s="4">
        <f t="shared" si="64"/>
        <v>0</v>
      </c>
      <c r="X115" s="4">
        <f t="shared" si="65"/>
        <v>0</v>
      </c>
      <c r="Y115" s="4">
        <f t="shared" si="66"/>
        <v>0</v>
      </c>
      <c r="Z115" s="4">
        <f t="shared" si="67"/>
        <v>0</v>
      </c>
      <c r="AA115" s="4">
        <f t="shared" si="68"/>
        <v>0</v>
      </c>
      <c r="AB115" s="4">
        <f t="shared" si="69"/>
        <v>0</v>
      </c>
      <c r="AC115" s="4">
        <f t="shared" si="70"/>
        <v>0</v>
      </c>
      <c r="AD115" s="4">
        <f t="shared" si="71"/>
        <v>0</v>
      </c>
      <c r="AE115" s="4">
        <f t="shared" si="72"/>
        <v>0</v>
      </c>
      <c r="AF115" s="4">
        <f t="shared" si="73"/>
        <v>0</v>
      </c>
      <c r="AG115" s="4">
        <f t="shared" si="74"/>
        <v>0</v>
      </c>
      <c r="AH115" s="4">
        <f t="shared" si="75"/>
        <v>0</v>
      </c>
      <c r="AI115" s="4">
        <f t="shared" si="76"/>
        <v>0</v>
      </c>
      <c r="AJ115" s="4">
        <f t="shared" si="77"/>
        <v>0</v>
      </c>
      <c r="AK115" s="4">
        <f t="shared" si="78"/>
        <v>0</v>
      </c>
      <c r="AL115" s="4">
        <f t="shared" si="79"/>
        <v>0</v>
      </c>
      <c r="AM115" s="4">
        <f t="shared" si="80"/>
        <v>0</v>
      </c>
      <c r="AN115" s="4">
        <f t="shared" si="81"/>
        <v>0</v>
      </c>
      <c r="AP115" s="2"/>
      <c r="AQ115" s="1">
        <v>33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0.04</v>
      </c>
      <c r="AZ115" s="2">
        <v>0.04</v>
      </c>
      <c r="BA115" s="2">
        <v>0.04</v>
      </c>
      <c r="BB115" s="2">
        <v>0.04</v>
      </c>
      <c r="BC115" s="2">
        <v>0.04</v>
      </c>
      <c r="BD115" s="2">
        <v>0.04</v>
      </c>
      <c r="BE115" s="2">
        <v>0.04</v>
      </c>
      <c r="BF115" s="2">
        <v>0.04</v>
      </c>
      <c r="BG115" s="2">
        <v>0.04</v>
      </c>
      <c r="BH115" s="2">
        <v>0.04</v>
      </c>
      <c r="BI115" s="2">
        <v>0.04</v>
      </c>
      <c r="BJ115" s="2">
        <v>0.04</v>
      </c>
      <c r="BK115" s="2">
        <v>0.04</v>
      </c>
      <c r="BL115" s="2">
        <v>0.04</v>
      </c>
      <c r="BM115" s="2">
        <v>0.04</v>
      </c>
      <c r="BN115" s="2">
        <v>0.04</v>
      </c>
      <c r="BO115" s="2">
        <v>0.04</v>
      </c>
      <c r="BP115" s="2">
        <v>0.04</v>
      </c>
      <c r="BQ115" s="2">
        <v>0.04</v>
      </c>
      <c r="BR115" s="2">
        <v>0.04</v>
      </c>
      <c r="BS115" s="2">
        <v>0.04</v>
      </c>
      <c r="BT115" s="2">
        <v>0.04</v>
      </c>
      <c r="BU115" s="2">
        <v>0.04</v>
      </c>
      <c r="BV115" s="2">
        <v>0.04</v>
      </c>
      <c r="BW115" s="2">
        <v>0.04</v>
      </c>
      <c r="BX115" s="2">
        <v>0</v>
      </c>
      <c r="BY115" s="2">
        <v>0</v>
      </c>
      <c r="BZ115" s="2">
        <v>0</v>
      </c>
    </row>
    <row r="116" spans="1:78" outlineLevel="1">
      <c r="C116" t="s">
        <v>572</v>
      </c>
      <c r="E116" s="133">
        <f t="shared" si="46"/>
        <v>0</v>
      </c>
      <c r="F116" s="4">
        <f t="shared" si="47"/>
        <v>0</v>
      </c>
      <c r="G116" s="4">
        <f t="shared" si="48"/>
        <v>0</v>
      </c>
      <c r="H116" s="4">
        <f t="shared" si="49"/>
        <v>0</v>
      </c>
      <c r="I116" s="4">
        <f t="shared" si="50"/>
        <v>0</v>
      </c>
      <c r="J116" s="4">
        <f t="shared" si="51"/>
        <v>0</v>
      </c>
      <c r="K116" s="4">
        <f t="shared" si="52"/>
        <v>0</v>
      </c>
      <c r="L116" s="4">
        <f t="shared" si="53"/>
        <v>0</v>
      </c>
      <c r="M116" s="4">
        <f t="shared" si="54"/>
        <v>0</v>
      </c>
      <c r="N116" s="4">
        <f t="shared" si="55"/>
        <v>0</v>
      </c>
      <c r="O116" s="4">
        <f t="shared" si="56"/>
        <v>0</v>
      </c>
      <c r="P116" s="4">
        <f t="shared" si="57"/>
        <v>0</v>
      </c>
      <c r="Q116" s="4">
        <f t="shared" si="58"/>
        <v>0</v>
      </c>
      <c r="R116" s="4">
        <f t="shared" si="59"/>
        <v>0</v>
      </c>
      <c r="S116" s="4">
        <f t="shared" si="60"/>
        <v>0</v>
      </c>
      <c r="T116" s="4">
        <f t="shared" si="61"/>
        <v>0</v>
      </c>
      <c r="U116" s="4">
        <f t="shared" si="62"/>
        <v>0</v>
      </c>
      <c r="V116" s="4">
        <f t="shared" si="63"/>
        <v>0</v>
      </c>
      <c r="W116" s="4">
        <f t="shared" si="64"/>
        <v>0</v>
      </c>
      <c r="X116" s="4">
        <f t="shared" si="65"/>
        <v>0</v>
      </c>
      <c r="Y116" s="4">
        <f t="shared" si="66"/>
        <v>0</v>
      </c>
      <c r="Z116" s="4">
        <f t="shared" si="67"/>
        <v>0</v>
      </c>
      <c r="AA116" s="4">
        <f t="shared" si="68"/>
        <v>0</v>
      </c>
      <c r="AB116" s="4">
        <f t="shared" si="69"/>
        <v>0</v>
      </c>
      <c r="AC116" s="4">
        <f t="shared" si="70"/>
        <v>0</v>
      </c>
      <c r="AD116" s="4">
        <f t="shared" si="71"/>
        <v>0</v>
      </c>
      <c r="AE116" s="4">
        <f t="shared" si="72"/>
        <v>0</v>
      </c>
      <c r="AF116" s="4">
        <f t="shared" si="73"/>
        <v>0</v>
      </c>
      <c r="AG116" s="4">
        <f t="shared" si="74"/>
        <v>0</v>
      </c>
      <c r="AH116" s="4">
        <f t="shared" si="75"/>
        <v>0</v>
      </c>
      <c r="AI116" s="4">
        <f t="shared" si="76"/>
        <v>0</v>
      </c>
      <c r="AJ116" s="4">
        <f t="shared" si="77"/>
        <v>0</v>
      </c>
      <c r="AK116" s="4">
        <f t="shared" si="78"/>
        <v>0</v>
      </c>
      <c r="AL116" s="4">
        <f t="shared" si="79"/>
        <v>0</v>
      </c>
      <c r="AM116" s="4">
        <f t="shared" si="80"/>
        <v>0</v>
      </c>
      <c r="AN116" s="4">
        <f t="shared" si="81"/>
        <v>0</v>
      </c>
      <c r="AP116" s="2"/>
      <c r="AQ116" s="1">
        <v>34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0.04</v>
      </c>
      <c r="BA116" s="2">
        <v>0.04</v>
      </c>
      <c r="BB116" s="2">
        <v>0.04</v>
      </c>
      <c r="BC116" s="2">
        <v>0.04</v>
      </c>
      <c r="BD116" s="2">
        <v>0.04</v>
      </c>
      <c r="BE116" s="2">
        <v>0.04</v>
      </c>
      <c r="BF116" s="2">
        <v>0.04</v>
      </c>
      <c r="BG116" s="2">
        <v>0.04</v>
      </c>
      <c r="BH116" s="2">
        <v>0.04</v>
      </c>
      <c r="BI116" s="2">
        <v>0.04</v>
      </c>
      <c r="BJ116" s="2">
        <v>0.04</v>
      </c>
      <c r="BK116" s="2">
        <v>0.04</v>
      </c>
      <c r="BL116" s="2">
        <v>0.04</v>
      </c>
      <c r="BM116" s="2">
        <v>0.04</v>
      </c>
      <c r="BN116" s="2">
        <v>0.04</v>
      </c>
      <c r="BO116" s="2">
        <v>0.04</v>
      </c>
      <c r="BP116" s="2">
        <v>0.04</v>
      </c>
      <c r="BQ116" s="2">
        <v>0.04</v>
      </c>
      <c r="BR116" s="2">
        <v>0.04</v>
      </c>
      <c r="BS116" s="2">
        <v>0.04</v>
      </c>
      <c r="BT116" s="2">
        <v>0.04</v>
      </c>
      <c r="BU116" s="2">
        <v>0.04</v>
      </c>
      <c r="BV116" s="2">
        <v>0.04</v>
      </c>
      <c r="BW116" s="2">
        <v>0.04</v>
      </c>
      <c r="BX116" s="2">
        <v>0.04</v>
      </c>
      <c r="BY116" s="2">
        <v>0</v>
      </c>
      <c r="BZ116" s="2">
        <v>0</v>
      </c>
    </row>
    <row r="117" spans="1:78" outlineLevel="1">
      <c r="C117" t="s">
        <v>573</v>
      </c>
      <c r="E117" s="133">
        <f t="shared" si="46"/>
        <v>0</v>
      </c>
      <c r="F117" s="4">
        <f t="shared" si="47"/>
        <v>0</v>
      </c>
      <c r="G117" s="4">
        <f t="shared" si="48"/>
        <v>0</v>
      </c>
      <c r="H117" s="4">
        <f t="shared" si="49"/>
        <v>0</v>
      </c>
      <c r="I117" s="4">
        <f t="shared" si="50"/>
        <v>0</v>
      </c>
      <c r="J117" s="4">
        <f t="shared" si="51"/>
        <v>0</v>
      </c>
      <c r="K117" s="4">
        <f t="shared" si="52"/>
        <v>0</v>
      </c>
      <c r="L117" s="4">
        <f t="shared" si="53"/>
        <v>0</v>
      </c>
      <c r="M117" s="4">
        <f t="shared" si="54"/>
        <v>0</v>
      </c>
      <c r="N117" s="4">
        <f t="shared" si="55"/>
        <v>0</v>
      </c>
      <c r="O117" s="4">
        <f t="shared" si="56"/>
        <v>0</v>
      </c>
      <c r="P117" s="4">
        <f t="shared" si="57"/>
        <v>0</v>
      </c>
      <c r="Q117" s="4">
        <f t="shared" si="58"/>
        <v>0</v>
      </c>
      <c r="R117" s="4">
        <f t="shared" si="59"/>
        <v>0</v>
      </c>
      <c r="S117" s="4">
        <f t="shared" si="60"/>
        <v>0</v>
      </c>
      <c r="T117" s="4">
        <f t="shared" si="61"/>
        <v>0</v>
      </c>
      <c r="U117" s="4">
        <f t="shared" si="62"/>
        <v>0</v>
      </c>
      <c r="V117" s="4">
        <f t="shared" si="63"/>
        <v>0</v>
      </c>
      <c r="W117" s="4">
        <f t="shared" si="64"/>
        <v>0</v>
      </c>
      <c r="X117" s="4">
        <f t="shared" si="65"/>
        <v>0</v>
      </c>
      <c r="Y117" s="4">
        <f t="shared" si="66"/>
        <v>0</v>
      </c>
      <c r="Z117" s="4">
        <f t="shared" si="67"/>
        <v>0</v>
      </c>
      <c r="AA117" s="4">
        <f t="shared" si="68"/>
        <v>0</v>
      </c>
      <c r="AB117" s="4">
        <f t="shared" si="69"/>
        <v>0</v>
      </c>
      <c r="AC117" s="4">
        <f t="shared" si="70"/>
        <v>0</v>
      </c>
      <c r="AD117" s="4">
        <f t="shared" si="71"/>
        <v>0</v>
      </c>
      <c r="AE117" s="4">
        <f t="shared" si="72"/>
        <v>0</v>
      </c>
      <c r="AF117" s="4">
        <f t="shared" si="73"/>
        <v>0</v>
      </c>
      <c r="AG117" s="4">
        <f t="shared" si="74"/>
        <v>0</v>
      </c>
      <c r="AH117" s="4">
        <f t="shared" si="75"/>
        <v>0</v>
      </c>
      <c r="AI117" s="4">
        <f t="shared" si="76"/>
        <v>0</v>
      </c>
      <c r="AJ117" s="4">
        <f t="shared" si="77"/>
        <v>0</v>
      </c>
      <c r="AK117" s="4">
        <f t="shared" si="78"/>
        <v>0</v>
      </c>
      <c r="AL117" s="4">
        <f t="shared" si="79"/>
        <v>0</v>
      </c>
      <c r="AM117" s="4">
        <f t="shared" si="80"/>
        <v>0</v>
      </c>
      <c r="AN117" s="4">
        <f t="shared" si="81"/>
        <v>0</v>
      </c>
      <c r="AQ117" s="1">
        <v>35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0.04</v>
      </c>
      <c r="BB117" s="2">
        <v>0.04</v>
      </c>
      <c r="BC117" s="2">
        <v>0.04</v>
      </c>
      <c r="BD117" s="2">
        <v>0.04</v>
      </c>
      <c r="BE117" s="2">
        <v>0.04</v>
      </c>
      <c r="BF117" s="2">
        <v>0.04</v>
      </c>
      <c r="BG117" s="2">
        <v>0.04</v>
      </c>
      <c r="BH117" s="2">
        <v>0.04</v>
      </c>
      <c r="BI117" s="2">
        <v>0.04</v>
      </c>
      <c r="BJ117" s="2">
        <v>0.04</v>
      </c>
      <c r="BK117" s="2">
        <v>0.04</v>
      </c>
      <c r="BL117" s="2">
        <v>0.04</v>
      </c>
      <c r="BM117" s="2">
        <v>0.04</v>
      </c>
      <c r="BN117" s="2">
        <v>0.04</v>
      </c>
      <c r="BO117" s="2">
        <v>0.04</v>
      </c>
      <c r="BP117" s="2">
        <v>0.04</v>
      </c>
      <c r="BQ117" s="2">
        <v>0.04</v>
      </c>
      <c r="BR117" s="2">
        <v>0.04</v>
      </c>
      <c r="BS117" s="2">
        <v>0.04</v>
      </c>
      <c r="BT117" s="2">
        <v>0.04</v>
      </c>
      <c r="BU117" s="2">
        <v>0.04</v>
      </c>
      <c r="BV117" s="2">
        <v>0.04</v>
      </c>
      <c r="BW117" s="2">
        <v>0.04</v>
      </c>
      <c r="BX117" s="2">
        <v>0.04</v>
      </c>
      <c r="BY117" s="2">
        <v>0.04</v>
      </c>
      <c r="BZ117" s="2">
        <v>0</v>
      </c>
    </row>
    <row r="118" spans="1:78" outlineLevel="1">
      <c r="C118" t="s">
        <v>574</v>
      </c>
      <c r="E118" s="133">
        <f t="shared" si="46"/>
        <v>0</v>
      </c>
      <c r="F118" s="4">
        <f t="shared" si="47"/>
        <v>0</v>
      </c>
      <c r="G118" s="4">
        <f t="shared" si="48"/>
        <v>0</v>
      </c>
      <c r="H118" s="4">
        <f t="shared" si="49"/>
        <v>0</v>
      </c>
      <c r="I118" s="4">
        <f t="shared" si="50"/>
        <v>0</v>
      </c>
      <c r="J118" s="4">
        <f t="shared" si="51"/>
        <v>0</v>
      </c>
      <c r="K118" s="4">
        <f t="shared" si="52"/>
        <v>0</v>
      </c>
      <c r="L118" s="4">
        <f t="shared" si="53"/>
        <v>0</v>
      </c>
      <c r="M118" s="4">
        <f t="shared" si="54"/>
        <v>0</v>
      </c>
      <c r="N118" s="4">
        <f t="shared" si="55"/>
        <v>0</v>
      </c>
      <c r="O118" s="4">
        <f t="shared" si="56"/>
        <v>0</v>
      </c>
      <c r="P118" s="4">
        <f t="shared" si="57"/>
        <v>0</v>
      </c>
      <c r="Q118" s="4">
        <f t="shared" si="58"/>
        <v>0</v>
      </c>
      <c r="R118" s="4">
        <f t="shared" si="59"/>
        <v>0</v>
      </c>
      <c r="S118" s="4">
        <f t="shared" si="60"/>
        <v>0</v>
      </c>
      <c r="T118" s="4">
        <f t="shared" si="61"/>
        <v>0</v>
      </c>
      <c r="U118" s="4">
        <f t="shared" si="62"/>
        <v>0</v>
      </c>
      <c r="V118" s="4">
        <f t="shared" si="63"/>
        <v>0</v>
      </c>
      <c r="W118" s="4">
        <f t="shared" si="64"/>
        <v>0</v>
      </c>
      <c r="X118" s="4">
        <f t="shared" si="65"/>
        <v>0</v>
      </c>
      <c r="Y118" s="4">
        <f t="shared" si="66"/>
        <v>0</v>
      </c>
      <c r="Z118" s="4">
        <f t="shared" si="67"/>
        <v>0</v>
      </c>
      <c r="AA118" s="4">
        <f t="shared" si="68"/>
        <v>0</v>
      </c>
      <c r="AB118" s="4">
        <f t="shared" si="69"/>
        <v>0</v>
      </c>
      <c r="AC118" s="4">
        <f t="shared" si="70"/>
        <v>0</v>
      </c>
      <c r="AD118" s="4">
        <f t="shared" si="71"/>
        <v>0</v>
      </c>
      <c r="AE118" s="4">
        <f t="shared" si="72"/>
        <v>0</v>
      </c>
      <c r="AF118" s="4">
        <f t="shared" si="73"/>
        <v>0</v>
      </c>
      <c r="AG118" s="4">
        <f t="shared" si="74"/>
        <v>0</v>
      </c>
      <c r="AH118" s="4">
        <f t="shared" si="75"/>
        <v>0</v>
      </c>
      <c r="AI118" s="4">
        <f t="shared" si="76"/>
        <v>0</v>
      </c>
      <c r="AJ118" s="4">
        <f t="shared" si="77"/>
        <v>0</v>
      </c>
      <c r="AK118" s="4">
        <f t="shared" si="78"/>
        <v>0</v>
      </c>
      <c r="AL118" s="4">
        <f t="shared" si="79"/>
        <v>0</v>
      </c>
      <c r="AM118" s="4">
        <f t="shared" si="80"/>
        <v>0</v>
      </c>
      <c r="AN118" s="4">
        <f t="shared" si="81"/>
        <v>0</v>
      </c>
    </row>
    <row r="119" spans="1:78" outlineLevel="1"/>
    <row r="121" spans="1:78" s="170" customFormat="1" ht="18.75" outlineLevel="1">
      <c r="A121" s="56"/>
      <c r="B121" s="415"/>
      <c r="C121" s="415" t="s">
        <v>577</v>
      </c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</row>
    <row r="122" spans="1:78" outlineLevel="1"/>
    <row r="123" spans="1:78" ht="16.5" customHeight="1" outlineLevel="1">
      <c r="C123" s="237">
        <v>0</v>
      </c>
      <c r="D123" t="s">
        <v>578</v>
      </c>
    </row>
    <row r="124" spans="1:78" outlineLevel="1"/>
    <row r="125" spans="1:78" outlineLevel="1">
      <c r="F125" s="128" t="s">
        <v>449</v>
      </c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</row>
    <row r="126" spans="1:78" ht="15.75" outlineLevel="1">
      <c r="C126" s="178" t="s">
        <v>579</v>
      </c>
      <c r="F126" s="165">
        <v>1</v>
      </c>
      <c r="G126" s="165">
        <v>2</v>
      </c>
      <c r="H126" s="165">
        <v>3</v>
      </c>
      <c r="I126" s="165">
        <v>4</v>
      </c>
      <c r="J126" s="165">
        <v>5</v>
      </c>
      <c r="K126" s="165">
        <v>6</v>
      </c>
      <c r="L126" s="165">
        <v>7</v>
      </c>
      <c r="M126" s="165">
        <v>8</v>
      </c>
      <c r="N126" s="165">
        <v>9</v>
      </c>
      <c r="O126" s="165">
        <v>10</v>
      </c>
      <c r="P126" s="165">
        <v>11</v>
      </c>
      <c r="Q126" s="165">
        <v>12</v>
      </c>
      <c r="R126" s="165">
        <v>13</v>
      </c>
      <c r="S126" s="165">
        <v>14</v>
      </c>
      <c r="T126" s="165">
        <v>15</v>
      </c>
      <c r="U126" s="165">
        <v>16</v>
      </c>
      <c r="V126" s="165">
        <v>17</v>
      </c>
      <c r="W126" s="165">
        <v>18</v>
      </c>
      <c r="X126" s="165">
        <v>19</v>
      </c>
      <c r="Y126" s="165">
        <v>20</v>
      </c>
      <c r="Z126" s="165">
        <v>21</v>
      </c>
      <c r="AA126" s="165">
        <v>22</v>
      </c>
      <c r="AB126" s="165">
        <v>23</v>
      </c>
      <c r="AC126" s="165">
        <v>24</v>
      </c>
      <c r="AD126" s="165">
        <v>25</v>
      </c>
      <c r="AE126" s="165">
        <v>26</v>
      </c>
      <c r="AF126" s="165">
        <v>27</v>
      </c>
      <c r="AG126" s="165">
        <v>28</v>
      </c>
      <c r="AH126" s="165">
        <v>29</v>
      </c>
      <c r="AI126" s="165">
        <v>30</v>
      </c>
      <c r="AJ126" s="165">
        <v>31</v>
      </c>
      <c r="AK126" s="165">
        <v>32</v>
      </c>
      <c r="AL126" s="165">
        <v>33</v>
      </c>
      <c r="AM126" s="165">
        <v>34</v>
      </c>
      <c r="AN126" s="165">
        <v>35</v>
      </c>
    </row>
    <row r="127" spans="1:78" outlineLevel="1">
      <c r="C127" t="s">
        <v>580</v>
      </c>
      <c r="D127" s="16" t="e">
        <f ca="1">E127/$E$129</f>
        <v>#DIV/0!</v>
      </c>
      <c r="E127" s="4">
        <f ca="1">SUM(F127:AN127)</f>
        <v>0</v>
      </c>
      <c r="F127" s="4">
        <f t="shared" ref="F127:AN127" si="82">IFERROR(HLOOKUP(F126,$E$151:$AM$155,3,),0)</f>
        <v>0</v>
      </c>
      <c r="G127" s="4">
        <f t="shared" si="82"/>
        <v>0</v>
      </c>
      <c r="H127" s="4">
        <f t="shared" si="82"/>
        <v>0</v>
      </c>
      <c r="I127" s="4">
        <f t="shared" si="82"/>
        <v>0</v>
      </c>
      <c r="J127" s="4">
        <f ca="1">IFERROR(HLOOKUP(J126,$E$151:$AM$155,3,),0)</f>
        <v>0</v>
      </c>
      <c r="K127" s="4">
        <f t="shared" si="82"/>
        <v>0</v>
      </c>
      <c r="L127" s="4">
        <f t="shared" si="82"/>
        <v>0</v>
      </c>
      <c r="M127" s="4">
        <f t="shared" si="82"/>
        <v>0</v>
      </c>
      <c r="N127" s="4">
        <f t="shared" si="82"/>
        <v>0</v>
      </c>
      <c r="O127" s="4">
        <f t="shared" ca="1" si="82"/>
        <v>0</v>
      </c>
      <c r="P127" s="4">
        <f t="shared" si="82"/>
        <v>0</v>
      </c>
      <c r="Q127" s="4">
        <f t="shared" si="82"/>
        <v>0</v>
      </c>
      <c r="R127" s="4">
        <f t="shared" si="82"/>
        <v>0</v>
      </c>
      <c r="S127" s="4">
        <f t="shared" si="82"/>
        <v>0</v>
      </c>
      <c r="T127" s="4">
        <f t="shared" ca="1" si="82"/>
        <v>0</v>
      </c>
      <c r="U127" s="4">
        <f t="shared" si="82"/>
        <v>0</v>
      </c>
      <c r="V127" s="4">
        <f t="shared" si="82"/>
        <v>0</v>
      </c>
      <c r="W127" s="4">
        <f t="shared" si="82"/>
        <v>0</v>
      </c>
      <c r="X127" s="4">
        <f t="shared" si="82"/>
        <v>0</v>
      </c>
      <c r="Y127" s="4">
        <f t="shared" ca="1" si="82"/>
        <v>0</v>
      </c>
      <c r="Z127" s="4">
        <f t="shared" si="82"/>
        <v>0</v>
      </c>
      <c r="AA127" s="4">
        <f t="shared" si="82"/>
        <v>0</v>
      </c>
      <c r="AB127" s="4">
        <f t="shared" si="82"/>
        <v>0</v>
      </c>
      <c r="AC127" s="4">
        <f t="shared" si="82"/>
        <v>0</v>
      </c>
      <c r="AD127" s="4">
        <f t="shared" ca="1" si="82"/>
        <v>0</v>
      </c>
      <c r="AE127" s="4">
        <f t="shared" si="82"/>
        <v>0</v>
      </c>
      <c r="AF127" s="4">
        <f t="shared" si="82"/>
        <v>0</v>
      </c>
      <c r="AG127" s="4">
        <f t="shared" si="82"/>
        <v>0</v>
      </c>
      <c r="AH127" s="4">
        <f t="shared" si="82"/>
        <v>0</v>
      </c>
      <c r="AI127" s="4">
        <f t="shared" ca="1" si="82"/>
        <v>0</v>
      </c>
      <c r="AJ127" s="4">
        <f t="shared" si="82"/>
        <v>0</v>
      </c>
      <c r="AK127" s="4">
        <f t="shared" si="82"/>
        <v>0</v>
      </c>
      <c r="AL127" s="4">
        <f t="shared" si="82"/>
        <v>0</v>
      </c>
      <c r="AM127" s="4">
        <f t="shared" si="82"/>
        <v>0</v>
      </c>
      <c r="AN127" s="4">
        <f t="shared" si="82"/>
        <v>0</v>
      </c>
    </row>
    <row r="128" spans="1:78" outlineLevel="1">
      <c r="C128" t="s">
        <v>462</v>
      </c>
      <c r="D128" s="16" t="e">
        <f ca="1">E128/$E$129</f>
        <v>#DIV/0!</v>
      </c>
      <c r="E128" s="4">
        <f ca="1">SUM(F128:AN128)</f>
        <v>0</v>
      </c>
      <c r="F128" s="4">
        <f t="shared" ref="F128:AN128" si="83">IFERROR(HLOOKUP(F126,$E$158:$AM$162,3,),0)</f>
        <v>0</v>
      </c>
      <c r="G128" s="4">
        <f t="shared" si="83"/>
        <v>0</v>
      </c>
      <c r="H128" s="4">
        <f t="shared" si="83"/>
        <v>0</v>
      </c>
      <c r="I128" s="4">
        <f t="shared" si="83"/>
        <v>0</v>
      </c>
      <c r="J128" s="4">
        <f t="shared" si="83"/>
        <v>0</v>
      </c>
      <c r="K128" s="4">
        <f t="shared" si="83"/>
        <v>0</v>
      </c>
      <c r="L128" s="4">
        <f t="shared" si="83"/>
        <v>0</v>
      </c>
      <c r="M128" s="4">
        <f t="shared" si="83"/>
        <v>0</v>
      </c>
      <c r="N128" s="4">
        <f t="shared" si="83"/>
        <v>0</v>
      </c>
      <c r="O128" s="4">
        <f t="shared" ca="1" si="83"/>
        <v>0</v>
      </c>
      <c r="P128" s="4">
        <f t="shared" si="83"/>
        <v>0</v>
      </c>
      <c r="Q128" s="4">
        <f t="shared" si="83"/>
        <v>0</v>
      </c>
      <c r="R128" s="4">
        <f t="shared" si="83"/>
        <v>0</v>
      </c>
      <c r="S128" s="4">
        <f t="shared" si="83"/>
        <v>0</v>
      </c>
      <c r="T128" s="4">
        <f t="shared" si="83"/>
        <v>0</v>
      </c>
      <c r="U128" s="4">
        <f t="shared" si="83"/>
        <v>0</v>
      </c>
      <c r="V128" s="4">
        <f t="shared" si="83"/>
        <v>0</v>
      </c>
      <c r="W128" s="4">
        <f t="shared" si="83"/>
        <v>0</v>
      </c>
      <c r="X128" s="4">
        <f t="shared" si="83"/>
        <v>0</v>
      </c>
      <c r="Y128" s="4">
        <f t="shared" ca="1" si="83"/>
        <v>0</v>
      </c>
      <c r="Z128" s="4">
        <f t="shared" si="83"/>
        <v>0</v>
      </c>
      <c r="AA128" s="4">
        <f t="shared" si="83"/>
        <v>0</v>
      </c>
      <c r="AB128" s="4">
        <f t="shared" si="83"/>
        <v>0</v>
      </c>
      <c r="AC128" s="4">
        <f t="shared" si="83"/>
        <v>0</v>
      </c>
      <c r="AD128" s="4">
        <f t="shared" si="83"/>
        <v>0</v>
      </c>
      <c r="AE128" s="4">
        <f t="shared" si="83"/>
        <v>0</v>
      </c>
      <c r="AF128" s="4">
        <f t="shared" si="83"/>
        <v>0</v>
      </c>
      <c r="AG128" s="4">
        <f t="shared" si="83"/>
        <v>0</v>
      </c>
      <c r="AH128" s="4">
        <f t="shared" si="83"/>
        <v>0</v>
      </c>
      <c r="AI128" s="4">
        <f t="shared" ca="1" si="83"/>
        <v>0</v>
      </c>
      <c r="AJ128" s="4">
        <f t="shared" si="83"/>
        <v>0</v>
      </c>
      <c r="AK128" s="4">
        <f t="shared" si="83"/>
        <v>0</v>
      </c>
      <c r="AL128" s="4">
        <f t="shared" si="83"/>
        <v>0</v>
      </c>
      <c r="AM128" s="4">
        <f t="shared" si="83"/>
        <v>0</v>
      </c>
      <c r="AN128" s="4">
        <f t="shared" si="83"/>
        <v>0</v>
      </c>
    </row>
    <row r="129" spans="2:40" outlineLevel="1">
      <c r="C129" s="166" t="s">
        <v>293</v>
      </c>
      <c r="D129" s="179" t="e">
        <f ca="1">SUM(D127:D128)</f>
        <v>#DIV/0!</v>
      </c>
      <c r="E129" s="166">
        <f ca="1">SUM(E127:E128)</f>
        <v>0</v>
      </c>
      <c r="F129" s="166">
        <f>SUM(F127:F128)</f>
        <v>0</v>
      </c>
      <c r="G129" s="166">
        <f t="shared" ref="G129:AM129" si="84">SUM(G127:G128)</f>
        <v>0</v>
      </c>
      <c r="H129" s="166">
        <f t="shared" si="84"/>
        <v>0</v>
      </c>
      <c r="I129" s="166">
        <f t="shared" si="84"/>
        <v>0</v>
      </c>
      <c r="J129" s="166">
        <f ca="1">SUM(J127:J128)</f>
        <v>0</v>
      </c>
      <c r="K129" s="166">
        <f t="shared" si="84"/>
        <v>0</v>
      </c>
      <c r="L129" s="166">
        <f t="shared" si="84"/>
        <v>0</v>
      </c>
      <c r="M129" s="166">
        <f t="shared" si="84"/>
        <v>0</v>
      </c>
      <c r="N129" s="166">
        <f t="shared" si="84"/>
        <v>0</v>
      </c>
      <c r="O129" s="166">
        <f ca="1">SUM(O127:O128)</f>
        <v>0</v>
      </c>
      <c r="P129" s="166">
        <f t="shared" si="84"/>
        <v>0</v>
      </c>
      <c r="Q129" s="166">
        <f t="shared" si="84"/>
        <v>0</v>
      </c>
      <c r="R129" s="166">
        <f t="shared" si="84"/>
        <v>0</v>
      </c>
      <c r="S129" s="166">
        <f t="shared" si="84"/>
        <v>0</v>
      </c>
      <c r="T129" s="166">
        <f ca="1">SUM(T127:T128)</f>
        <v>0</v>
      </c>
      <c r="U129" s="166">
        <f t="shared" si="84"/>
        <v>0</v>
      </c>
      <c r="V129" s="166">
        <f t="shared" si="84"/>
        <v>0</v>
      </c>
      <c r="W129" s="166">
        <f t="shared" si="84"/>
        <v>0</v>
      </c>
      <c r="X129" s="166">
        <f t="shared" si="84"/>
        <v>0</v>
      </c>
      <c r="Y129" s="166">
        <f ca="1">SUM(Y127:Y128)</f>
        <v>0</v>
      </c>
      <c r="Z129" s="166">
        <f t="shared" si="84"/>
        <v>0</v>
      </c>
      <c r="AA129" s="166">
        <f t="shared" si="84"/>
        <v>0</v>
      </c>
      <c r="AB129" s="166">
        <f t="shared" si="84"/>
        <v>0</v>
      </c>
      <c r="AC129" s="166">
        <f t="shared" si="84"/>
        <v>0</v>
      </c>
      <c r="AD129" s="166">
        <f ca="1">SUM(AD127:AD128)</f>
        <v>0</v>
      </c>
      <c r="AE129" s="166">
        <f t="shared" si="84"/>
        <v>0</v>
      </c>
      <c r="AF129" s="166">
        <f t="shared" si="84"/>
        <v>0</v>
      </c>
      <c r="AG129" s="166">
        <f t="shared" si="84"/>
        <v>0</v>
      </c>
      <c r="AH129" s="166">
        <f t="shared" si="84"/>
        <v>0</v>
      </c>
      <c r="AI129" s="166">
        <f ca="1">SUM(AI127:AI128)</f>
        <v>0</v>
      </c>
      <c r="AJ129" s="166">
        <f t="shared" si="84"/>
        <v>0</v>
      </c>
      <c r="AK129" s="166">
        <f t="shared" si="84"/>
        <v>0</v>
      </c>
      <c r="AL129" s="166">
        <f t="shared" si="84"/>
        <v>0</v>
      </c>
      <c r="AM129" s="166">
        <f t="shared" si="84"/>
        <v>0</v>
      </c>
      <c r="AN129" s="166">
        <f>SUM(AN127:AN128)</f>
        <v>0</v>
      </c>
    </row>
    <row r="130" spans="2:40" outlineLevel="1">
      <c r="C130" s="134" t="s">
        <v>581</v>
      </c>
      <c r="D130" s="167" t="e">
        <f ca="1">E130/E129</f>
        <v>#DIV/0!</v>
      </c>
      <c r="E130" s="136">
        <f ca="1">SUM(F130:AN130)</f>
        <v>0</v>
      </c>
      <c r="F130" s="136">
        <f ca="1">SUM(F168,F209)</f>
        <v>0</v>
      </c>
      <c r="G130" s="136">
        <f t="shared" ref="G130:AN130" ca="1" si="85">SUM(G168,G209)</f>
        <v>0</v>
      </c>
      <c r="H130" s="136">
        <f t="shared" ca="1" si="85"/>
        <v>0</v>
      </c>
      <c r="I130" s="136">
        <f t="shared" ca="1" si="85"/>
        <v>0</v>
      </c>
      <c r="J130" s="136">
        <f t="shared" ca="1" si="85"/>
        <v>0</v>
      </c>
      <c r="K130" s="136">
        <f t="shared" ca="1" si="85"/>
        <v>0</v>
      </c>
      <c r="L130" s="136">
        <f t="shared" ca="1" si="85"/>
        <v>0</v>
      </c>
      <c r="M130" s="136">
        <f t="shared" ca="1" si="85"/>
        <v>0</v>
      </c>
      <c r="N130" s="136">
        <f t="shared" ca="1" si="85"/>
        <v>0</v>
      </c>
      <c r="O130" s="136">
        <f t="shared" ca="1" si="85"/>
        <v>0</v>
      </c>
      <c r="P130" s="136">
        <f t="shared" ca="1" si="85"/>
        <v>0</v>
      </c>
      <c r="Q130" s="136">
        <f t="shared" ca="1" si="85"/>
        <v>0</v>
      </c>
      <c r="R130" s="136">
        <f t="shared" ca="1" si="85"/>
        <v>0</v>
      </c>
      <c r="S130" s="136">
        <f t="shared" ca="1" si="85"/>
        <v>0</v>
      </c>
      <c r="T130" s="136">
        <f t="shared" ca="1" si="85"/>
        <v>0</v>
      </c>
      <c r="U130" s="136">
        <f t="shared" ca="1" si="85"/>
        <v>0</v>
      </c>
      <c r="V130" s="136">
        <f t="shared" ca="1" si="85"/>
        <v>0</v>
      </c>
      <c r="W130" s="136">
        <f t="shared" ca="1" si="85"/>
        <v>0</v>
      </c>
      <c r="X130" s="136">
        <f t="shared" ca="1" si="85"/>
        <v>0</v>
      </c>
      <c r="Y130" s="136">
        <f t="shared" ca="1" si="85"/>
        <v>0</v>
      </c>
      <c r="Z130" s="136">
        <f t="shared" ca="1" si="85"/>
        <v>0</v>
      </c>
      <c r="AA130" s="136">
        <f t="shared" ca="1" si="85"/>
        <v>0</v>
      </c>
      <c r="AB130" s="136">
        <f t="shared" ca="1" si="85"/>
        <v>0</v>
      </c>
      <c r="AC130" s="136">
        <f t="shared" ca="1" si="85"/>
        <v>0</v>
      </c>
      <c r="AD130" s="136">
        <f ca="1">SUM(AD168,AD209)</f>
        <v>0</v>
      </c>
      <c r="AE130" s="136">
        <f t="shared" ca="1" si="85"/>
        <v>0</v>
      </c>
      <c r="AF130" s="136">
        <f t="shared" ca="1" si="85"/>
        <v>0</v>
      </c>
      <c r="AG130" s="136">
        <f t="shared" ca="1" si="85"/>
        <v>0</v>
      </c>
      <c r="AH130" s="136">
        <f t="shared" ca="1" si="85"/>
        <v>0</v>
      </c>
      <c r="AI130" s="136">
        <f t="shared" ca="1" si="85"/>
        <v>0</v>
      </c>
      <c r="AJ130" s="136">
        <f t="shared" ca="1" si="85"/>
        <v>0</v>
      </c>
      <c r="AK130" s="136">
        <f t="shared" ca="1" si="85"/>
        <v>0</v>
      </c>
      <c r="AL130" s="136">
        <f t="shared" ca="1" si="85"/>
        <v>0</v>
      </c>
      <c r="AM130" s="136">
        <f t="shared" ca="1" si="85"/>
        <v>0</v>
      </c>
      <c r="AN130" s="136">
        <f t="shared" ca="1" si="85"/>
        <v>0</v>
      </c>
    </row>
    <row r="131" spans="2:40" outlineLevel="1"/>
    <row r="132" spans="2:40" outlineLevel="1"/>
    <row r="133" spans="2:40" ht="18.75" outlineLevel="1">
      <c r="B133" s="177" t="s">
        <v>534</v>
      </c>
      <c r="C133" s="176" t="s">
        <v>582</v>
      </c>
    </row>
    <row r="134" spans="2:40" outlineLevel="2"/>
    <row r="135" spans="2:40" outlineLevel="2">
      <c r="C135" s="148"/>
      <c r="D135" s="430" t="s">
        <v>583</v>
      </c>
      <c r="E135" s="430"/>
    </row>
    <row r="136" spans="2:40" outlineLevel="2">
      <c r="D136" s="131" t="s">
        <v>584</v>
      </c>
      <c r="E136" s="131" t="s">
        <v>585</v>
      </c>
    </row>
    <row r="137" spans="2:40" outlineLevel="2">
      <c r="C137" s="149" t="s">
        <v>580</v>
      </c>
      <c r="D137" s="150">
        <v>5</v>
      </c>
      <c r="E137" s="151">
        <v>5</v>
      </c>
    </row>
    <row r="138" spans="2:40" outlineLevel="2">
      <c r="C138" s="149" t="s">
        <v>462</v>
      </c>
      <c r="D138" s="150">
        <v>10</v>
      </c>
      <c r="E138" s="151">
        <v>10</v>
      </c>
    </row>
    <row r="139" spans="2:40" outlineLevel="2"/>
    <row r="140" spans="2:40" outlineLevel="2">
      <c r="C140" s="152" t="s">
        <v>586</v>
      </c>
    </row>
    <row r="141" spans="2:40" outlineLevel="2">
      <c r="C141" s="131" t="s">
        <v>482</v>
      </c>
      <c r="D141" s="131" t="s">
        <v>587</v>
      </c>
      <c r="E141" s="131" t="s">
        <v>588</v>
      </c>
      <c r="F141" s="131" t="s">
        <v>589</v>
      </c>
      <c r="G141" s="131" t="s">
        <v>590</v>
      </c>
      <c r="H141" s="131" t="s">
        <v>591</v>
      </c>
      <c r="I141" s="131" t="s">
        <v>592</v>
      </c>
      <c r="J141" s="131" t="s">
        <v>593</v>
      </c>
      <c r="K141" s="131" t="s">
        <v>594</v>
      </c>
      <c r="L141" s="131" t="s">
        <v>595</v>
      </c>
      <c r="M141" s="131" t="s">
        <v>596</v>
      </c>
      <c r="N141" s="131" t="s">
        <v>597</v>
      </c>
      <c r="O141" s="131" t="s">
        <v>598</v>
      </c>
      <c r="P141" s="131" t="s">
        <v>599</v>
      </c>
      <c r="Q141" s="131" t="s">
        <v>600</v>
      </c>
      <c r="R141" s="131" t="s">
        <v>601</v>
      </c>
      <c r="S141" s="131" t="s">
        <v>602</v>
      </c>
      <c r="T141" s="131" t="s">
        <v>603</v>
      </c>
      <c r="U141" s="131" t="s">
        <v>604</v>
      </c>
      <c r="V141" s="131" t="s">
        <v>605</v>
      </c>
      <c r="W141" s="131" t="s">
        <v>606</v>
      </c>
      <c r="X141" s="131" t="s">
        <v>607</v>
      </c>
      <c r="Y141" s="131" t="s">
        <v>608</v>
      </c>
      <c r="Z141" s="131" t="s">
        <v>609</v>
      </c>
      <c r="AA141" s="131" t="s">
        <v>610</v>
      </c>
      <c r="AB141" s="131" t="s">
        <v>611</v>
      </c>
      <c r="AC141" s="131" t="s">
        <v>612</v>
      </c>
      <c r="AD141" s="131" t="s">
        <v>613</v>
      </c>
      <c r="AE141" s="131" t="s">
        <v>614</v>
      </c>
      <c r="AF141" s="131" t="s">
        <v>615</v>
      </c>
      <c r="AG141" s="131" t="s">
        <v>616</v>
      </c>
      <c r="AH141" s="131" t="s">
        <v>617</v>
      </c>
      <c r="AI141" s="131" t="s">
        <v>618</v>
      </c>
      <c r="AJ141" s="131" t="s">
        <v>619</v>
      </c>
      <c r="AK141" s="131" t="s">
        <v>620</v>
      </c>
      <c r="AL141" s="131" t="s">
        <v>621</v>
      </c>
      <c r="AM141" s="131" t="s">
        <v>622</v>
      </c>
    </row>
    <row r="142" spans="2:40" outlineLevel="2">
      <c r="C142" s="131" t="str">
        <f>C137</f>
        <v>Instalações, Móveis e Eletrodomésticos</v>
      </c>
      <c r="D142" s="153">
        <f>D137</f>
        <v>5</v>
      </c>
      <c r="E142" s="155">
        <f>D142</f>
        <v>5</v>
      </c>
      <c r="F142" s="155">
        <f>IF(E142=0,0,IF(E142+$E137&lt;'Premissas Gerais'!$G$6,E142+$E137,0))</f>
        <v>10</v>
      </c>
      <c r="G142" s="155">
        <f>IF(F142=0,0,IF(F142+$E137&lt;'Premissas Gerais'!$G$6,F142+$E137,0))</f>
        <v>15</v>
      </c>
      <c r="H142" s="155">
        <f>IF(G142=0,0,IF(G142+$E137&lt;'Premissas Gerais'!$G$6,G142+$E137,0))</f>
        <v>20</v>
      </c>
      <c r="I142" s="155">
        <f>IF(H142=0,0,IF(H142+$E137&lt;'Premissas Gerais'!$G$6,H142+$E137,0))</f>
        <v>25</v>
      </c>
      <c r="J142" s="155">
        <f>IF(I142=0,0,IF(I142+$E137&lt;'Premissas Gerais'!$G$6,I142+$E137,0))</f>
        <v>30</v>
      </c>
      <c r="K142" s="155">
        <f>IF(J142=0,0,IF(J142+$E137&lt;'Premissas Gerais'!$G$6,J142+$E137,0))</f>
        <v>0</v>
      </c>
      <c r="L142" s="155">
        <f>IF(K142=0,0,IF(K142+$E137&lt;'Premissas Gerais'!$G$6,K142+$E137,0))</f>
        <v>0</v>
      </c>
      <c r="M142" s="155">
        <f>IF(L142=0,0,IF(L142+$E137&lt;'Premissas Gerais'!$G$6,L142+$E137,0))</f>
        <v>0</v>
      </c>
      <c r="N142" s="155">
        <f>IF(M142=0,0,IF(M142+$E137&lt;'Premissas Gerais'!$G$6,M142+$E137,0))</f>
        <v>0</v>
      </c>
      <c r="O142" s="155">
        <f>IF(N142=0,0,IF(N142+$E137&lt;'Premissas Gerais'!$G$6,N142+$E137,0))</f>
        <v>0</v>
      </c>
      <c r="P142" s="155">
        <f>IF(O142=0,0,IF(O142+$E137&lt;'Premissas Gerais'!$G$6,O142+$E137,0))</f>
        <v>0</v>
      </c>
      <c r="Q142" s="155">
        <f>IF(P142=0,0,IF(P142+$E137&lt;'Premissas Gerais'!$G$6,P142+$E137,0))</f>
        <v>0</v>
      </c>
      <c r="R142" s="155">
        <f>IF(Q142=0,0,IF(Q142+$E137&lt;'Premissas Gerais'!$G$6,Q142+$E137,0))</f>
        <v>0</v>
      </c>
      <c r="S142" s="155">
        <f>IF(R142=0,0,IF(R142+$E137&lt;'Premissas Gerais'!$G$6,R142+$E137,0))</f>
        <v>0</v>
      </c>
      <c r="T142" s="155">
        <f>IF(S142=0,0,IF(S142+$E137&lt;'Premissas Gerais'!$G$6,S142+$E137,0))</f>
        <v>0</v>
      </c>
      <c r="U142" s="155">
        <f>IF(T142=0,0,IF(T142+$E137&lt;'Premissas Gerais'!$G$6,T142+$E137,0))</f>
        <v>0</v>
      </c>
      <c r="V142" s="155">
        <f>IF(U142=0,0,IF(U142+$E137&lt;'Premissas Gerais'!$G$6,U142+$E137,0))</f>
        <v>0</v>
      </c>
      <c r="W142" s="155">
        <f>IF(V142=0,0,IF(V142+$E137&lt;'Premissas Gerais'!$G$6,V142+$E137,0))</f>
        <v>0</v>
      </c>
      <c r="X142" s="155">
        <f>IF(W142=0,0,IF(W142+$E137&lt;'Premissas Gerais'!$G$6,W142+$E137,0))</f>
        <v>0</v>
      </c>
      <c r="Y142" s="155">
        <f>IF(X142=0,0,IF(X142+$E137&lt;'Premissas Gerais'!$G$6,X142+$E137,0))</f>
        <v>0</v>
      </c>
      <c r="Z142" s="155">
        <f>IF(Y142=0,0,IF(Y142+$E137&lt;'Premissas Gerais'!$G$6,Y142+$E137,0))</f>
        <v>0</v>
      </c>
      <c r="AA142" s="155">
        <f>IF(Z142=0,0,IF(Z142+$E137&lt;'Premissas Gerais'!$G$6,Z142+$E137,0))</f>
        <v>0</v>
      </c>
      <c r="AB142" s="155">
        <f>IF(AA142=0,0,IF(AA142+$E137&lt;'Premissas Gerais'!$G$6,AA142+$E137,0))</f>
        <v>0</v>
      </c>
      <c r="AC142" s="155">
        <f>IF(AB142=0,0,IF(AB142+$E137&lt;'Premissas Gerais'!$G$6,AB142+$E137,0))</f>
        <v>0</v>
      </c>
      <c r="AD142" s="155">
        <f>IF(AC142=0,0,IF(AC142+$E137&lt;'Premissas Gerais'!$G$6,AC142+$E137,0))</f>
        <v>0</v>
      </c>
      <c r="AE142" s="155">
        <f>IF(AD142=0,0,IF(AD142+$E137&lt;'Premissas Gerais'!$G$6,AD142+$E137,0))</f>
        <v>0</v>
      </c>
      <c r="AF142" s="155">
        <f>IF(AE142=0,0,IF(AE142+$E137&lt;'Premissas Gerais'!$G$6,AE142+$E137,0))</f>
        <v>0</v>
      </c>
      <c r="AG142" s="155">
        <f>IF(AF142=0,0,IF(AF142+$E137&lt;'Premissas Gerais'!$G$6,AF142+$E137,0))</f>
        <v>0</v>
      </c>
      <c r="AH142" s="155">
        <f>IF(AG142=0,0,IF(AG142+$E137&lt;'Premissas Gerais'!$G$6,AG142+$E137,0))</f>
        <v>0</v>
      </c>
      <c r="AI142" s="155">
        <f>IF(AH142=0,0,IF(AH142+$E137&lt;'Premissas Gerais'!$G$6,AH142+$E137,0))</f>
        <v>0</v>
      </c>
      <c r="AJ142" s="155">
        <f>IF(AI142=0,0,IF(AI142+$E137&lt;'Premissas Gerais'!$G$6,AI142+$E137,0))</f>
        <v>0</v>
      </c>
      <c r="AK142" s="155">
        <f>IF(AJ142=0,0,IF(AJ142+$E137&lt;'Premissas Gerais'!$G$6,AJ142+$E137,0))</f>
        <v>0</v>
      </c>
      <c r="AL142" s="155">
        <f>IF(AK142=0,0,IF(AK142+$E137&lt;'Premissas Gerais'!$G$6,AK142+$E137,0))</f>
        <v>0</v>
      </c>
      <c r="AM142" s="155">
        <f>IF(AL142=0,0,IF(AL142+$E137&lt;'Premissas Gerais'!$G$6,AL142+$E137,0))</f>
        <v>0</v>
      </c>
    </row>
    <row r="143" spans="2:40" outlineLevel="2">
      <c r="C143" s="131" t="str">
        <f>C138</f>
        <v>Edificações</v>
      </c>
      <c r="D143" s="153">
        <f>D138</f>
        <v>10</v>
      </c>
      <c r="E143" s="155">
        <f>D143</f>
        <v>10</v>
      </c>
      <c r="F143" s="155">
        <f>IF(E143=0,0,IF(E143+$E138&lt;'Premissas Gerais'!$G$6-2,E143+$E138,0))</f>
        <v>20</v>
      </c>
      <c r="G143" s="155">
        <f>IF(F143=0,0,IF(F143+$E138&lt;'Premissas Gerais'!$G$6-2,F143+$E138,0))</f>
        <v>30</v>
      </c>
      <c r="H143" s="155">
        <f>IF(G143=0,0,IF(G143+$E138&lt;'Premissas Gerais'!$G$6-2,G143+$E138,0))</f>
        <v>0</v>
      </c>
      <c r="I143" s="155">
        <f>IF(H143=0,0,IF(H143+$E138&lt;'Premissas Gerais'!$G$6-2,H143+$E138,0))</f>
        <v>0</v>
      </c>
      <c r="J143" s="155">
        <f>IF(I143=0,0,IF(I143+$E138&lt;'Premissas Gerais'!$G$6-2,I143+$E138,0))</f>
        <v>0</v>
      </c>
      <c r="K143" s="155">
        <f>IF(J143=0,0,IF(J143+$E138&lt;'Premissas Gerais'!$G$6-2,J143+$E138,0))</f>
        <v>0</v>
      </c>
      <c r="L143" s="155">
        <f>IF(K143=0,0,IF(K143+$E138&lt;'Premissas Gerais'!$G$6-2,K143+$E138,0))</f>
        <v>0</v>
      </c>
      <c r="M143" s="155">
        <f>IF(L143=0,0,IF(L143+$E138&lt;'Premissas Gerais'!$G$6-2,L143+$E138,0))</f>
        <v>0</v>
      </c>
      <c r="N143" s="155">
        <f>IF(M143=0,0,IF(M143+$E138&lt;'Premissas Gerais'!$G$6-2,M143+$E138,0))</f>
        <v>0</v>
      </c>
      <c r="O143" s="155">
        <f>IF(N143=0,0,IF(N143+$E138&lt;'Premissas Gerais'!$G$6-2,N143+$E138,0))</f>
        <v>0</v>
      </c>
      <c r="P143" s="155">
        <f>IF(O143=0,0,IF(O143+$E138&lt;'Premissas Gerais'!$G$6-2,O143+$E138,0))</f>
        <v>0</v>
      </c>
      <c r="Q143" s="155">
        <f>IF(P143=0,0,IF(P143+$E138&lt;'Premissas Gerais'!$G$6-2,P143+$E138,0))</f>
        <v>0</v>
      </c>
      <c r="R143" s="155">
        <f>IF(Q143=0,0,IF(Q143+$E138&lt;'Premissas Gerais'!$G$6-2,Q143+$E138,0))</f>
        <v>0</v>
      </c>
      <c r="S143" s="155">
        <f>IF(R143=0,0,IF(R143+$E138&lt;'Premissas Gerais'!$G$6-2,R143+$E138,0))</f>
        <v>0</v>
      </c>
      <c r="T143" s="155">
        <f>IF(S143=0,0,IF(S143+$E138&lt;'Premissas Gerais'!$G$6-2,S143+$E138,0))</f>
        <v>0</v>
      </c>
      <c r="U143" s="155">
        <f>IF(T143=0,0,IF(T143+$E138&lt;'Premissas Gerais'!$G$6-2,T143+$E138,0))</f>
        <v>0</v>
      </c>
      <c r="V143" s="155">
        <f>IF(U143=0,0,IF(U143+$E138&lt;'Premissas Gerais'!$G$6-2,U143+$E138,0))</f>
        <v>0</v>
      </c>
      <c r="W143" s="155">
        <f>IF(V143=0,0,IF(V143+$E138&lt;'Premissas Gerais'!$G$6-2,V143+$E138,0))</f>
        <v>0</v>
      </c>
      <c r="X143" s="155">
        <f>IF(W143=0,0,IF(W143+$E138&lt;'Premissas Gerais'!$G$6-2,W143+$E138,0))</f>
        <v>0</v>
      </c>
      <c r="Y143" s="155">
        <f>IF(X143=0,0,IF(X143+$E138&lt;'Premissas Gerais'!$G$6-2,X143+$E138,0))</f>
        <v>0</v>
      </c>
      <c r="Z143" s="155">
        <f>IF(Y143=0,0,IF(Y143+$E138&lt;'Premissas Gerais'!$G$6-2,Y143+$E138,0))</f>
        <v>0</v>
      </c>
      <c r="AA143" s="155">
        <f>IF(Z143=0,0,IF(Z143+$E138&lt;'Premissas Gerais'!$G$6-2,Z143+$E138,0))</f>
        <v>0</v>
      </c>
      <c r="AB143" s="155">
        <f>IF(AA143=0,0,IF(AA143+$E138&lt;'Premissas Gerais'!$G$6-2,AA143+$E138,0))</f>
        <v>0</v>
      </c>
      <c r="AC143" s="155">
        <f>IF(AB143=0,0,IF(AB143+$E138&lt;'Premissas Gerais'!$G$6-2,AB143+$E138,0))</f>
        <v>0</v>
      </c>
      <c r="AD143" s="155">
        <f>IF(AC143=0,0,IF(AC143+$E138&lt;'Premissas Gerais'!$G$6-2,AC143+$E138,0))</f>
        <v>0</v>
      </c>
      <c r="AE143" s="155">
        <f>IF(AD143=0,0,IF(AD143+$E138&lt;'Premissas Gerais'!$G$6-2,AD143+$E138,0))</f>
        <v>0</v>
      </c>
      <c r="AF143" s="155">
        <f>IF(AE143=0,0,IF(AE143+$E138&lt;'Premissas Gerais'!$G$6-2,AE143+$E138,0))</f>
        <v>0</v>
      </c>
      <c r="AG143" s="155">
        <f>IF(AF143=0,0,IF(AF143+$E138&lt;'Premissas Gerais'!$G$6-2,AF143+$E138,0))</f>
        <v>0</v>
      </c>
      <c r="AH143" s="155">
        <f>IF(AG143=0,0,IF(AG143+$E138&lt;'Premissas Gerais'!$G$6-2,AG143+$E138,0))</f>
        <v>0</v>
      </c>
      <c r="AI143" s="155">
        <f>IF(AH143=0,0,IF(AH143+$E138&lt;'Premissas Gerais'!$G$6-2,AH143+$E138,0))</f>
        <v>0</v>
      </c>
      <c r="AJ143" s="155">
        <f>IF(AI143=0,0,IF(AI143+$E138&lt;'Premissas Gerais'!$G$6-2,AI143+$E138,0))</f>
        <v>0</v>
      </c>
      <c r="AK143" s="155">
        <f>IF(AJ143=0,0,IF(AJ143+$E138&lt;'Premissas Gerais'!$G$6-2,AJ143+$E138,0))</f>
        <v>0</v>
      </c>
      <c r="AL143" s="155">
        <f>IF(AK143=0,0,IF(AK143+$E138&lt;'Premissas Gerais'!$G$6-2,AK143+$E138,0))</f>
        <v>0</v>
      </c>
      <c r="AM143" s="155">
        <f>IF(AL143=0,0,IF(AL143+$E138&lt;'Premissas Gerais'!$G$6-2,AL143+$E138,0))</f>
        <v>0</v>
      </c>
    </row>
    <row r="144" spans="2:40" outlineLevel="2"/>
    <row r="145" spans="3:39" outlineLevel="2">
      <c r="D145" s="156" t="s">
        <v>199</v>
      </c>
      <c r="E145" s="156" t="s">
        <v>227</v>
      </c>
      <c r="F145" s="156" t="s">
        <v>623</v>
      </c>
      <c r="G145" s="156" t="s">
        <v>624</v>
      </c>
    </row>
    <row r="146" spans="3:39" outlineLevel="2">
      <c r="C146" s="149" t="str">
        <f>C137</f>
        <v>Instalações, Móveis e Eletrodomésticos</v>
      </c>
      <c r="D146" s="7">
        <f>$C$123*SUM(D20,D22)</f>
        <v>0</v>
      </c>
      <c r="E146" s="157" t="e">
        <f>D146/$D$148</f>
        <v>#DIV/0!</v>
      </c>
      <c r="F146" s="5">
        <f>35 -COUNTIF(E142:AM142,0)</f>
        <v>6</v>
      </c>
      <c r="G146" s="5">
        <f ca="1">SUM($E$155:OFFSET($E$155,,$F$146-1))</f>
        <v>21</v>
      </c>
    </row>
    <row r="147" spans="3:39" outlineLevel="2">
      <c r="C147" s="149" t="str">
        <f>C138</f>
        <v>Edificações</v>
      </c>
      <c r="D147" s="158">
        <f>$C$123*D21</f>
        <v>0</v>
      </c>
      <c r="E147" s="157" t="e">
        <f>D147/$D$148</f>
        <v>#DIV/0!</v>
      </c>
      <c r="F147" s="5">
        <f>35 -COUNTIF(E143:AM143,0)</f>
        <v>3</v>
      </c>
      <c r="G147" s="164">
        <f ca="1">SUM($E$162:OFFSET($E$162,,$F$147-1))</f>
        <v>6</v>
      </c>
    </row>
    <row r="148" spans="3:39" outlineLevel="2">
      <c r="C148" s="149" t="s">
        <v>625</v>
      </c>
      <c r="D148" s="159">
        <f>SUM(D146:D147)</f>
        <v>0</v>
      </c>
      <c r="E148" s="160" t="e">
        <f>D148/D148</f>
        <v>#DIV/0!</v>
      </c>
      <c r="F148" s="161">
        <f>SUM(F146:F147)</f>
        <v>9</v>
      </c>
      <c r="G148" s="161" t="s">
        <v>489</v>
      </c>
    </row>
    <row r="149" spans="3:39" outlineLevel="2">
      <c r="D149" s="162" t="s">
        <v>626</v>
      </c>
    </row>
    <row r="150" spans="3:39" outlineLevel="2"/>
    <row r="151" spans="3:39" outlineLevel="2">
      <c r="C151" s="163" t="s">
        <v>109</v>
      </c>
      <c r="E151" s="154">
        <f t="shared" ref="E151:AM151" si="86">E142</f>
        <v>5</v>
      </c>
      <c r="F151" s="154">
        <f t="shared" si="86"/>
        <v>10</v>
      </c>
      <c r="G151" s="154">
        <f t="shared" si="86"/>
        <v>15</v>
      </c>
      <c r="H151" s="154">
        <f t="shared" si="86"/>
        <v>20</v>
      </c>
      <c r="I151" s="154">
        <f t="shared" si="86"/>
        <v>25</v>
      </c>
      <c r="J151" s="154">
        <f t="shared" si="86"/>
        <v>30</v>
      </c>
      <c r="K151" s="154">
        <f t="shared" si="86"/>
        <v>0</v>
      </c>
      <c r="L151" s="154">
        <f t="shared" si="86"/>
        <v>0</v>
      </c>
      <c r="M151" s="154">
        <f t="shared" si="86"/>
        <v>0</v>
      </c>
      <c r="N151" s="154">
        <f t="shared" si="86"/>
        <v>0</v>
      </c>
      <c r="O151" s="154">
        <f t="shared" si="86"/>
        <v>0</v>
      </c>
      <c r="P151" s="154">
        <f t="shared" si="86"/>
        <v>0</v>
      </c>
      <c r="Q151" s="154">
        <f t="shared" si="86"/>
        <v>0</v>
      </c>
      <c r="R151" s="154">
        <f t="shared" si="86"/>
        <v>0</v>
      </c>
      <c r="S151" s="154">
        <f t="shared" si="86"/>
        <v>0</v>
      </c>
      <c r="T151" s="154">
        <f t="shared" si="86"/>
        <v>0</v>
      </c>
      <c r="U151" s="154">
        <f t="shared" si="86"/>
        <v>0</v>
      </c>
      <c r="V151" s="154">
        <f t="shared" si="86"/>
        <v>0</v>
      </c>
      <c r="W151" s="154">
        <f t="shared" si="86"/>
        <v>0</v>
      </c>
      <c r="X151" s="154">
        <f t="shared" si="86"/>
        <v>0</v>
      </c>
      <c r="Y151" s="154">
        <f t="shared" si="86"/>
        <v>0</v>
      </c>
      <c r="Z151" s="154">
        <f t="shared" si="86"/>
        <v>0</v>
      </c>
      <c r="AA151" s="154">
        <f t="shared" si="86"/>
        <v>0</v>
      </c>
      <c r="AB151" s="154">
        <f t="shared" si="86"/>
        <v>0</v>
      </c>
      <c r="AC151" s="154">
        <f t="shared" si="86"/>
        <v>0</v>
      </c>
      <c r="AD151" s="154">
        <f t="shared" si="86"/>
        <v>0</v>
      </c>
      <c r="AE151" s="154">
        <f t="shared" si="86"/>
        <v>0</v>
      </c>
      <c r="AF151" s="154">
        <f t="shared" si="86"/>
        <v>0</v>
      </c>
      <c r="AG151" s="154">
        <f t="shared" si="86"/>
        <v>0</v>
      </c>
      <c r="AH151" s="154">
        <f t="shared" si="86"/>
        <v>0</v>
      </c>
      <c r="AI151" s="154">
        <f t="shared" si="86"/>
        <v>0</v>
      </c>
      <c r="AJ151" s="154">
        <f t="shared" si="86"/>
        <v>0</v>
      </c>
      <c r="AK151" s="154">
        <f t="shared" si="86"/>
        <v>0</v>
      </c>
      <c r="AL151" s="154">
        <f t="shared" si="86"/>
        <v>0</v>
      </c>
      <c r="AM151" s="154">
        <f t="shared" si="86"/>
        <v>0</v>
      </c>
    </row>
    <row r="152" spans="3:39" outlineLevel="2">
      <c r="C152" s="163" t="s">
        <v>627</v>
      </c>
      <c r="E152">
        <v>1</v>
      </c>
      <c r="F152">
        <v>2</v>
      </c>
      <c r="G152">
        <v>3</v>
      </c>
      <c r="H152">
        <v>4</v>
      </c>
      <c r="I152">
        <v>5</v>
      </c>
      <c r="J152">
        <v>6</v>
      </c>
      <c r="K152">
        <v>7</v>
      </c>
      <c r="L152">
        <v>8</v>
      </c>
      <c r="M152">
        <v>9</v>
      </c>
      <c r="N152">
        <v>10</v>
      </c>
      <c r="O152">
        <v>11</v>
      </c>
      <c r="P152">
        <v>12</v>
      </c>
      <c r="Q152">
        <v>13</v>
      </c>
      <c r="R152">
        <v>14</v>
      </c>
      <c r="S152">
        <v>15</v>
      </c>
      <c r="T152">
        <v>16</v>
      </c>
      <c r="U152">
        <v>17</v>
      </c>
      <c r="V152">
        <v>18</v>
      </c>
      <c r="W152">
        <v>19</v>
      </c>
      <c r="X152">
        <v>20</v>
      </c>
      <c r="Y152">
        <v>21</v>
      </c>
      <c r="Z152">
        <v>22</v>
      </c>
      <c r="AA152">
        <v>23</v>
      </c>
      <c r="AB152">
        <v>24</v>
      </c>
      <c r="AC152">
        <v>25</v>
      </c>
      <c r="AD152">
        <v>26</v>
      </c>
      <c r="AE152">
        <v>27</v>
      </c>
      <c r="AF152">
        <v>28</v>
      </c>
      <c r="AG152">
        <v>29</v>
      </c>
      <c r="AH152">
        <v>30</v>
      </c>
      <c r="AI152">
        <v>31</v>
      </c>
      <c r="AJ152">
        <v>32</v>
      </c>
      <c r="AK152">
        <v>33</v>
      </c>
      <c r="AL152">
        <v>34</v>
      </c>
      <c r="AM152">
        <v>35</v>
      </c>
    </row>
    <row r="153" spans="3:39" outlineLevel="2">
      <c r="C153" s="163" t="s">
        <v>628</v>
      </c>
      <c r="E153" s="3">
        <f t="shared" ref="E153:AM153" ca="1" si="87">IF(E154=1,$D146/$G146*E155,0)</f>
        <v>0</v>
      </c>
      <c r="F153" s="3">
        <f t="shared" ca="1" si="87"/>
        <v>0</v>
      </c>
      <c r="G153" s="3">
        <f t="shared" ca="1" si="87"/>
        <v>0</v>
      </c>
      <c r="H153" s="3">
        <f t="shared" ca="1" si="87"/>
        <v>0</v>
      </c>
      <c r="I153" s="3">
        <f t="shared" ca="1" si="87"/>
        <v>0</v>
      </c>
      <c r="J153" s="3">
        <f t="shared" ca="1" si="87"/>
        <v>0</v>
      </c>
      <c r="K153" s="3">
        <f t="shared" si="87"/>
        <v>0</v>
      </c>
      <c r="L153" s="3">
        <f t="shared" si="87"/>
        <v>0</v>
      </c>
      <c r="M153" s="3">
        <f t="shared" si="87"/>
        <v>0</v>
      </c>
      <c r="N153" s="3">
        <f t="shared" si="87"/>
        <v>0</v>
      </c>
      <c r="O153" s="3">
        <f t="shared" si="87"/>
        <v>0</v>
      </c>
      <c r="P153" s="3">
        <f t="shared" si="87"/>
        <v>0</v>
      </c>
      <c r="Q153" s="3">
        <f t="shared" si="87"/>
        <v>0</v>
      </c>
      <c r="R153" s="3">
        <f t="shared" si="87"/>
        <v>0</v>
      </c>
      <c r="S153" s="3">
        <f t="shared" si="87"/>
        <v>0</v>
      </c>
      <c r="T153" s="3">
        <f t="shared" si="87"/>
        <v>0</v>
      </c>
      <c r="U153" s="3">
        <f t="shared" si="87"/>
        <v>0</v>
      </c>
      <c r="V153" s="3">
        <f t="shared" si="87"/>
        <v>0</v>
      </c>
      <c r="W153" s="3">
        <f t="shared" si="87"/>
        <v>0</v>
      </c>
      <c r="X153" s="3">
        <f t="shared" si="87"/>
        <v>0</v>
      </c>
      <c r="Y153" s="3">
        <f t="shared" si="87"/>
        <v>0</v>
      </c>
      <c r="Z153" s="3">
        <f t="shared" si="87"/>
        <v>0</v>
      </c>
      <c r="AA153" s="3">
        <f t="shared" si="87"/>
        <v>0</v>
      </c>
      <c r="AB153" s="3">
        <f t="shared" si="87"/>
        <v>0</v>
      </c>
      <c r="AC153" s="3">
        <f t="shared" si="87"/>
        <v>0</v>
      </c>
      <c r="AD153" s="3">
        <f t="shared" si="87"/>
        <v>0</v>
      </c>
      <c r="AE153" s="3">
        <f t="shared" si="87"/>
        <v>0</v>
      </c>
      <c r="AF153" s="3">
        <f t="shared" si="87"/>
        <v>0</v>
      </c>
      <c r="AG153" s="3">
        <f t="shared" si="87"/>
        <v>0</v>
      </c>
      <c r="AH153" s="3">
        <f t="shared" si="87"/>
        <v>0</v>
      </c>
      <c r="AI153" s="3">
        <f t="shared" si="87"/>
        <v>0</v>
      </c>
      <c r="AJ153" s="3">
        <f t="shared" si="87"/>
        <v>0</v>
      </c>
      <c r="AK153" s="3">
        <f t="shared" si="87"/>
        <v>0</v>
      </c>
      <c r="AL153" s="3">
        <f t="shared" si="87"/>
        <v>0</v>
      </c>
      <c r="AM153" s="3">
        <f t="shared" si="87"/>
        <v>0</v>
      </c>
    </row>
    <row r="154" spans="3:39" outlineLevel="2">
      <c r="C154" s="163" t="s">
        <v>629</v>
      </c>
      <c r="E154">
        <f t="shared" ref="E154:AM154" si="88">IF(E152&lt;=$F146,1,0)</f>
        <v>1</v>
      </c>
      <c r="F154">
        <f t="shared" si="88"/>
        <v>1</v>
      </c>
      <c r="G154">
        <f t="shared" si="88"/>
        <v>1</v>
      </c>
      <c r="H154">
        <f t="shared" si="88"/>
        <v>1</v>
      </c>
      <c r="I154">
        <f t="shared" si="88"/>
        <v>1</v>
      </c>
      <c r="J154">
        <f t="shared" si="88"/>
        <v>1</v>
      </c>
      <c r="K154">
        <f t="shared" si="88"/>
        <v>0</v>
      </c>
      <c r="L154">
        <f t="shared" si="88"/>
        <v>0</v>
      </c>
      <c r="M154">
        <f t="shared" si="88"/>
        <v>0</v>
      </c>
      <c r="N154">
        <f t="shared" si="88"/>
        <v>0</v>
      </c>
      <c r="O154">
        <f t="shared" si="88"/>
        <v>0</v>
      </c>
      <c r="P154">
        <f t="shared" si="88"/>
        <v>0</v>
      </c>
      <c r="Q154">
        <f t="shared" si="88"/>
        <v>0</v>
      </c>
      <c r="R154">
        <f t="shared" si="88"/>
        <v>0</v>
      </c>
      <c r="S154">
        <f t="shared" si="88"/>
        <v>0</v>
      </c>
      <c r="T154">
        <f t="shared" si="88"/>
        <v>0</v>
      </c>
      <c r="U154">
        <f t="shared" si="88"/>
        <v>0</v>
      </c>
      <c r="V154">
        <f t="shared" si="88"/>
        <v>0</v>
      </c>
      <c r="W154">
        <f t="shared" si="88"/>
        <v>0</v>
      </c>
      <c r="X154">
        <f t="shared" si="88"/>
        <v>0</v>
      </c>
      <c r="Y154">
        <f t="shared" si="88"/>
        <v>0</v>
      </c>
      <c r="Z154">
        <f t="shared" si="88"/>
        <v>0</v>
      </c>
      <c r="AA154">
        <f t="shared" si="88"/>
        <v>0</v>
      </c>
      <c r="AB154">
        <f t="shared" si="88"/>
        <v>0</v>
      </c>
      <c r="AC154">
        <f t="shared" si="88"/>
        <v>0</v>
      </c>
      <c r="AD154">
        <f t="shared" si="88"/>
        <v>0</v>
      </c>
      <c r="AE154">
        <f t="shared" si="88"/>
        <v>0</v>
      </c>
      <c r="AF154">
        <f t="shared" si="88"/>
        <v>0</v>
      </c>
      <c r="AG154">
        <f t="shared" si="88"/>
        <v>0</v>
      </c>
      <c r="AH154">
        <f t="shared" si="88"/>
        <v>0</v>
      </c>
      <c r="AI154">
        <f t="shared" si="88"/>
        <v>0</v>
      </c>
      <c r="AJ154">
        <f t="shared" si="88"/>
        <v>0</v>
      </c>
      <c r="AK154">
        <f t="shared" si="88"/>
        <v>0</v>
      </c>
      <c r="AL154">
        <f t="shared" si="88"/>
        <v>0</v>
      </c>
      <c r="AM154">
        <f t="shared" si="88"/>
        <v>0</v>
      </c>
    </row>
    <row r="155" spans="3:39" outlineLevel="2">
      <c r="C155" s="163" t="s">
        <v>630</v>
      </c>
      <c r="E155">
        <v>1</v>
      </c>
      <c r="F155">
        <v>2</v>
      </c>
      <c r="G155">
        <v>3</v>
      </c>
      <c r="H155">
        <v>4</v>
      </c>
      <c r="I155">
        <v>5</v>
      </c>
      <c r="J155">
        <v>6</v>
      </c>
      <c r="K155">
        <v>7</v>
      </c>
      <c r="L155">
        <v>8</v>
      </c>
      <c r="M155">
        <v>9</v>
      </c>
      <c r="N155">
        <v>10</v>
      </c>
      <c r="O155">
        <v>11</v>
      </c>
      <c r="P155">
        <v>12</v>
      </c>
      <c r="Q155">
        <v>13</v>
      </c>
      <c r="R155">
        <v>14</v>
      </c>
      <c r="S155">
        <v>15</v>
      </c>
      <c r="T155">
        <v>16</v>
      </c>
      <c r="U155">
        <v>17</v>
      </c>
      <c r="V155">
        <v>18</v>
      </c>
      <c r="W155">
        <v>19</v>
      </c>
      <c r="X155">
        <v>20</v>
      </c>
      <c r="Y155">
        <v>21</v>
      </c>
      <c r="Z155">
        <v>22</v>
      </c>
      <c r="AA155">
        <v>23</v>
      </c>
      <c r="AB155">
        <v>24</v>
      </c>
      <c r="AC155">
        <v>25</v>
      </c>
      <c r="AD155">
        <v>26</v>
      </c>
      <c r="AE155">
        <v>27</v>
      </c>
      <c r="AF155">
        <v>28</v>
      </c>
      <c r="AG155">
        <v>29</v>
      </c>
      <c r="AH155">
        <v>30</v>
      </c>
      <c r="AI155">
        <v>31</v>
      </c>
      <c r="AJ155">
        <v>32</v>
      </c>
      <c r="AK155">
        <v>33</v>
      </c>
      <c r="AL155">
        <v>34</v>
      </c>
      <c r="AM155">
        <v>35</v>
      </c>
    </row>
    <row r="156" spans="3:39" outlineLevel="2"/>
    <row r="157" spans="3:39" outlineLevel="2"/>
    <row r="158" spans="3:39" outlineLevel="2">
      <c r="C158" s="163" t="s">
        <v>109</v>
      </c>
      <c r="E158" s="154">
        <f t="shared" ref="E158:AM158" si="89">E143</f>
        <v>10</v>
      </c>
      <c r="F158" s="154">
        <f t="shared" si="89"/>
        <v>20</v>
      </c>
      <c r="G158" s="154">
        <f t="shared" si="89"/>
        <v>30</v>
      </c>
      <c r="H158" s="154">
        <f t="shared" si="89"/>
        <v>0</v>
      </c>
      <c r="I158" s="154">
        <f t="shared" si="89"/>
        <v>0</v>
      </c>
      <c r="J158" s="154">
        <f t="shared" si="89"/>
        <v>0</v>
      </c>
      <c r="K158" s="154">
        <f t="shared" si="89"/>
        <v>0</v>
      </c>
      <c r="L158" s="154">
        <f t="shared" si="89"/>
        <v>0</v>
      </c>
      <c r="M158" s="154">
        <f t="shared" si="89"/>
        <v>0</v>
      </c>
      <c r="N158" s="154">
        <f t="shared" si="89"/>
        <v>0</v>
      </c>
      <c r="O158" s="154">
        <f t="shared" si="89"/>
        <v>0</v>
      </c>
      <c r="P158" s="154">
        <f t="shared" si="89"/>
        <v>0</v>
      </c>
      <c r="Q158" s="154">
        <f t="shared" si="89"/>
        <v>0</v>
      </c>
      <c r="R158" s="154">
        <f t="shared" si="89"/>
        <v>0</v>
      </c>
      <c r="S158" s="154">
        <f t="shared" si="89"/>
        <v>0</v>
      </c>
      <c r="T158" s="154">
        <f t="shared" si="89"/>
        <v>0</v>
      </c>
      <c r="U158" s="154">
        <f t="shared" si="89"/>
        <v>0</v>
      </c>
      <c r="V158" s="154">
        <f t="shared" si="89"/>
        <v>0</v>
      </c>
      <c r="W158" s="154">
        <f t="shared" si="89"/>
        <v>0</v>
      </c>
      <c r="X158" s="154">
        <f t="shared" si="89"/>
        <v>0</v>
      </c>
      <c r="Y158" s="154">
        <f t="shared" si="89"/>
        <v>0</v>
      </c>
      <c r="Z158" s="154">
        <f t="shared" si="89"/>
        <v>0</v>
      </c>
      <c r="AA158" s="154">
        <f t="shared" si="89"/>
        <v>0</v>
      </c>
      <c r="AB158" s="154">
        <f t="shared" si="89"/>
        <v>0</v>
      </c>
      <c r="AC158" s="154">
        <f t="shared" si="89"/>
        <v>0</v>
      </c>
      <c r="AD158" s="154">
        <f t="shared" si="89"/>
        <v>0</v>
      </c>
      <c r="AE158" s="154">
        <f t="shared" si="89"/>
        <v>0</v>
      </c>
      <c r="AF158" s="154">
        <f t="shared" si="89"/>
        <v>0</v>
      </c>
      <c r="AG158" s="154">
        <f t="shared" si="89"/>
        <v>0</v>
      </c>
      <c r="AH158" s="154">
        <f t="shared" si="89"/>
        <v>0</v>
      </c>
      <c r="AI158" s="154">
        <f t="shared" si="89"/>
        <v>0</v>
      </c>
      <c r="AJ158" s="154">
        <f t="shared" si="89"/>
        <v>0</v>
      </c>
      <c r="AK158" s="154">
        <f t="shared" si="89"/>
        <v>0</v>
      </c>
      <c r="AL158" s="154">
        <f t="shared" si="89"/>
        <v>0</v>
      </c>
      <c r="AM158" s="154">
        <f t="shared" si="89"/>
        <v>0</v>
      </c>
    </row>
    <row r="159" spans="3:39" outlineLevel="2">
      <c r="C159" s="163" t="s">
        <v>627</v>
      </c>
      <c r="E159">
        <v>1</v>
      </c>
      <c r="F159">
        <v>2</v>
      </c>
      <c r="G159">
        <v>3</v>
      </c>
      <c r="H159">
        <v>4</v>
      </c>
      <c r="I159">
        <v>5</v>
      </c>
      <c r="J159">
        <v>6</v>
      </c>
      <c r="K159">
        <v>7</v>
      </c>
      <c r="L159">
        <v>8</v>
      </c>
      <c r="M159">
        <v>9</v>
      </c>
      <c r="N159">
        <v>10</v>
      </c>
      <c r="O159">
        <v>11</v>
      </c>
      <c r="P159">
        <v>12</v>
      </c>
      <c r="Q159">
        <v>13</v>
      </c>
      <c r="R159">
        <v>14</v>
      </c>
      <c r="S159">
        <v>15</v>
      </c>
      <c r="T159">
        <v>16</v>
      </c>
      <c r="U159">
        <v>17</v>
      </c>
      <c r="V159">
        <v>18</v>
      </c>
      <c r="W159">
        <v>19</v>
      </c>
      <c r="X159">
        <v>20</v>
      </c>
      <c r="Y159">
        <v>21</v>
      </c>
      <c r="Z159">
        <v>22</v>
      </c>
      <c r="AA159">
        <v>23</v>
      </c>
      <c r="AB159">
        <v>24</v>
      </c>
      <c r="AC159">
        <v>25</v>
      </c>
      <c r="AD159">
        <v>26</v>
      </c>
      <c r="AE159">
        <v>27</v>
      </c>
      <c r="AF159">
        <v>28</v>
      </c>
      <c r="AG159">
        <v>29</v>
      </c>
      <c r="AH159">
        <v>30</v>
      </c>
      <c r="AI159">
        <v>31</v>
      </c>
      <c r="AJ159">
        <v>32</v>
      </c>
      <c r="AK159">
        <v>33</v>
      </c>
      <c r="AL159">
        <v>34</v>
      </c>
      <c r="AM159">
        <v>35</v>
      </c>
    </row>
    <row r="160" spans="3:39" outlineLevel="2">
      <c r="C160" s="163" t="s">
        <v>628</v>
      </c>
      <c r="E160" s="3">
        <f ca="1">IF(E161=1,($D$147/$G$147)*E162,0)</f>
        <v>0</v>
      </c>
      <c r="F160" s="3">
        <f ca="1">IF(F161=1,($D$147/$G$147)*F162,0)</f>
        <v>0</v>
      </c>
      <c r="G160" s="3">
        <f t="shared" ref="G160:AM160" ca="1" si="90">IF(G161=1,$D$147/$G$147*G162,0)</f>
        <v>0</v>
      </c>
      <c r="H160" s="3">
        <f t="shared" si="90"/>
        <v>0</v>
      </c>
      <c r="I160" s="3">
        <f t="shared" si="90"/>
        <v>0</v>
      </c>
      <c r="J160" s="3">
        <f t="shared" si="90"/>
        <v>0</v>
      </c>
      <c r="K160" s="3">
        <f t="shared" si="90"/>
        <v>0</v>
      </c>
      <c r="L160" s="3">
        <f t="shared" si="90"/>
        <v>0</v>
      </c>
      <c r="M160" s="3">
        <f t="shared" si="90"/>
        <v>0</v>
      </c>
      <c r="N160" s="3">
        <f t="shared" si="90"/>
        <v>0</v>
      </c>
      <c r="O160" s="3">
        <f t="shared" si="90"/>
        <v>0</v>
      </c>
      <c r="P160" s="3">
        <f t="shared" si="90"/>
        <v>0</v>
      </c>
      <c r="Q160" s="3">
        <f t="shared" si="90"/>
        <v>0</v>
      </c>
      <c r="R160" s="3">
        <f t="shared" si="90"/>
        <v>0</v>
      </c>
      <c r="S160" s="3">
        <f t="shared" si="90"/>
        <v>0</v>
      </c>
      <c r="T160" s="3">
        <f t="shared" si="90"/>
        <v>0</v>
      </c>
      <c r="U160" s="3">
        <f t="shared" si="90"/>
        <v>0</v>
      </c>
      <c r="V160" s="3">
        <f t="shared" si="90"/>
        <v>0</v>
      </c>
      <c r="W160" s="3">
        <f t="shared" si="90"/>
        <v>0</v>
      </c>
      <c r="X160" s="3">
        <f t="shared" si="90"/>
        <v>0</v>
      </c>
      <c r="Y160" s="3">
        <f t="shared" si="90"/>
        <v>0</v>
      </c>
      <c r="Z160" s="3">
        <f t="shared" si="90"/>
        <v>0</v>
      </c>
      <c r="AA160" s="3">
        <f t="shared" si="90"/>
        <v>0</v>
      </c>
      <c r="AB160" s="3">
        <f t="shared" si="90"/>
        <v>0</v>
      </c>
      <c r="AC160" s="3">
        <f t="shared" si="90"/>
        <v>0</v>
      </c>
      <c r="AD160" s="3">
        <f t="shared" si="90"/>
        <v>0</v>
      </c>
      <c r="AE160" s="3">
        <f t="shared" si="90"/>
        <v>0</v>
      </c>
      <c r="AF160" s="3">
        <f t="shared" si="90"/>
        <v>0</v>
      </c>
      <c r="AG160" s="3">
        <f t="shared" si="90"/>
        <v>0</v>
      </c>
      <c r="AH160" s="3">
        <f t="shared" si="90"/>
        <v>0</v>
      </c>
      <c r="AI160" s="3">
        <f t="shared" si="90"/>
        <v>0</v>
      </c>
      <c r="AJ160" s="3">
        <f t="shared" si="90"/>
        <v>0</v>
      </c>
      <c r="AK160" s="3">
        <f t="shared" si="90"/>
        <v>0</v>
      </c>
      <c r="AL160" s="3">
        <f t="shared" si="90"/>
        <v>0</v>
      </c>
      <c r="AM160" s="3">
        <f t="shared" si="90"/>
        <v>0</v>
      </c>
    </row>
    <row r="161" spans="2:78" outlineLevel="2">
      <c r="C161" s="163" t="s">
        <v>629</v>
      </c>
      <c r="E161">
        <f t="shared" ref="E161:AM161" si="91">IF(E159&lt;=$F147,1,0)</f>
        <v>1</v>
      </c>
      <c r="F161">
        <f t="shared" si="91"/>
        <v>1</v>
      </c>
      <c r="G161">
        <f t="shared" si="91"/>
        <v>1</v>
      </c>
      <c r="H161">
        <f t="shared" si="91"/>
        <v>0</v>
      </c>
      <c r="I161">
        <f t="shared" si="91"/>
        <v>0</v>
      </c>
      <c r="J161">
        <f t="shared" si="91"/>
        <v>0</v>
      </c>
      <c r="K161">
        <f t="shared" si="91"/>
        <v>0</v>
      </c>
      <c r="L161">
        <f t="shared" si="91"/>
        <v>0</v>
      </c>
      <c r="M161">
        <f t="shared" si="91"/>
        <v>0</v>
      </c>
      <c r="N161">
        <f t="shared" si="91"/>
        <v>0</v>
      </c>
      <c r="O161">
        <f t="shared" si="91"/>
        <v>0</v>
      </c>
      <c r="P161">
        <f t="shared" si="91"/>
        <v>0</v>
      </c>
      <c r="Q161">
        <f t="shared" si="91"/>
        <v>0</v>
      </c>
      <c r="R161">
        <f t="shared" si="91"/>
        <v>0</v>
      </c>
      <c r="S161">
        <f t="shared" si="91"/>
        <v>0</v>
      </c>
      <c r="T161">
        <f t="shared" si="91"/>
        <v>0</v>
      </c>
      <c r="U161">
        <f t="shared" si="91"/>
        <v>0</v>
      </c>
      <c r="V161">
        <f t="shared" si="91"/>
        <v>0</v>
      </c>
      <c r="W161">
        <f t="shared" si="91"/>
        <v>0</v>
      </c>
      <c r="X161">
        <f t="shared" si="91"/>
        <v>0</v>
      </c>
      <c r="Y161">
        <f t="shared" si="91"/>
        <v>0</v>
      </c>
      <c r="Z161">
        <f t="shared" si="91"/>
        <v>0</v>
      </c>
      <c r="AA161">
        <f t="shared" si="91"/>
        <v>0</v>
      </c>
      <c r="AB161">
        <f t="shared" si="91"/>
        <v>0</v>
      </c>
      <c r="AC161">
        <f t="shared" si="91"/>
        <v>0</v>
      </c>
      <c r="AD161">
        <f t="shared" si="91"/>
        <v>0</v>
      </c>
      <c r="AE161">
        <f t="shared" si="91"/>
        <v>0</v>
      </c>
      <c r="AF161">
        <f t="shared" si="91"/>
        <v>0</v>
      </c>
      <c r="AG161">
        <f t="shared" si="91"/>
        <v>0</v>
      </c>
      <c r="AH161">
        <f t="shared" si="91"/>
        <v>0</v>
      </c>
      <c r="AI161">
        <f t="shared" si="91"/>
        <v>0</v>
      </c>
      <c r="AJ161">
        <f t="shared" si="91"/>
        <v>0</v>
      </c>
      <c r="AK161">
        <f t="shared" si="91"/>
        <v>0</v>
      </c>
      <c r="AL161">
        <f t="shared" si="91"/>
        <v>0</v>
      </c>
      <c r="AM161">
        <f t="shared" si="91"/>
        <v>0</v>
      </c>
    </row>
    <row r="162" spans="2:78" outlineLevel="2">
      <c r="C162" s="163" t="s">
        <v>630</v>
      </c>
      <c r="E162">
        <v>1</v>
      </c>
      <c r="F162">
        <v>2</v>
      </c>
      <c r="G162">
        <v>3</v>
      </c>
      <c r="H162">
        <v>4</v>
      </c>
      <c r="I162">
        <v>5</v>
      </c>
      <c r="J162">
        <v>6</v>
      </c>
      <c r="K162">
        <v>7</v>
      </c>
      <c r="L162">
        <v>8</v>
      </c>
      <c r="M162">
        <v>9</v>
      </c>
      <c r="N162">
        <v>10</v>
      </c>
      <c r="O162">
        <v>11</v>
      </c>
      <c r="P162">
        <v>12</v>
      </c>
      <c r="Q162">
        <v>13</v>
      </c>
      <c r="R162">
        <v>14</v>
      </c>
      <c r="S162">
        <v>15</v>
      </c>
      <c r="T162">
        <v>16</v>
      </c>
      <c r="U162">
        <v>17</v>
      </c>
      <c r="V162">
        <v>18</v>
      </c>
      <c r="W162">
        <v>19</v>
      </c>
      <c r="X162">
        <v>20</v>
      </c>
      <c r="Y162">
        <v>21</v>
      </c>
      <c r="Z162">
        <v>22</v>
      </c>
      <c r="AA162">
        <v>23</v>
      </c>
      <c r="AB162">
        <v>24</v>
      </c>
      <c r="AC162">
        <v>25</v>
      </c>
      <c r="AD162">
        <v>26</v>
      </c>
      <c r="AE162">
        <v>27</v>
      </c>
      <c r="AF162">
        <v>28</v>
      </c>
      <c r="AG162">
        <v>29</v>
      </c>
      <c r="AH162">
        <v>30</v>
      </c>
      <c r="AI162">
        <v>31</v>
      </c>
      <c r="AJ162">
        <v>32</v>
      </c>
      <c r="AK162">
        <v>33</v>
      </c>
      <c r="AL162">
        <v>34</v>
      </c>
      <c r="AM162">
        <v>35</v>
      </c>
    </row>
    <row r="163" spans="2:78" outlineLevel="1"/>
    <row r="164" spans="2:78" ht="18.75" outlineLevel="1">
      <c r="B164" s="177" t="s">
        <v>534</v>
      </c>
      <c r="C164" s="178" t="s">
        <v>631</v>
      </c>
    </row>
    <row r="165" spans="2:78" outlineLevel="1"/>
    <row r="166" spans="2:78" outlineLevel="1">
      <c r="AP166" s="50" t="s">
        <v>632</v>
      </c>
      <c r="AQ166" t="s">
        <v>633</v>
      </c>
      <c r="AR166" s="50">
        <f t="shared" ref="AR166:BZ166" si="92">IF(F127=0,0,1)</f>
        <v>0</v>
      </c>
      <c r="AS166" s="50">
        <f t="shared" si="92"/>
        <v>0</v>
      </c>
      <c r="AT166" s="50">
        <f t="shared" si="92"/>
        <v>0</v>
      </c>
      <c r="AU166" s="50">
        <f t="shared" si="92"/>
        <v>0</v>
      </c>
      <c r="AV166" s="50">
        <f t="shared" ca="1" si="92"/>
        <v>0</v>
      </c>
      <c r="AW166" s="50">
        <f t="shared" si="92"/>
        <v>0</v>
      </c>
      <c r="AX166" s="50">
        <f t="shared" si="92"/>
        <v>0</v>
      </c>
      <c r="AY166" s="50">
        <f t="shared" si="92"/>
        <v>0</v>
      </c>
      <c r="AZ166" s="50">
        <f t="shared" si="92"/>
        <v>0</v>
      </c>
      <c r="BA166" s="50">
        <f t="shared" ca="1" si="92"/>
        <v>0</v>
      </c>
      <c r="BB166" s="50">
        <f t="shared" si="92"/>
        <v>0</v>
      </c>
      <c r="BC166" s="50">
        <f t="shared" si="92"/>
        <v>0</v>
      </c>
      <c r="BD166" s="50">
        <f t="shared" si="92"/>
        <v>0</v>
      </c>
      <c r="BE166" s="50">
        <f t="shared" si="92"/>
        <v>0</v>
      </c>
      <c r="BF166" s="50">
        <f t="shared" ca="1" si="92"/>
        <v>0</v>
      </c>
      <c r="BG166" s="50">
        <f t="shared" si="92"/>
        <v>0</v>
      </c>
      <c r="BH166" s="50">
        <f t="shared" si="92"/>
        <v>0</v>
      </c>
      <c r="BI166" s="50">
        <f t="shared" si="92"/>
        <v>0</v>
      </c>
      <c r="BJ166" s="50">
        <f t="shared" si="92"/>
        <v>0</v>
      </c>
      <c r="BK166" s="50">
        <f t="shared" ca="1" si="92"/>
        <v>0</v>
      </c>
      <c r="BL166" s="50">
        <f t="shared" si="92"/>
        <v>0</v>
      </c>
      <c r="BM166" s="50">
        <f t="shared" si="92"/>
        <v>0</v>
      </c>
      <c r="BN166" s="50">
        <f t="shared" si="92"/>
        <v>0</v>
      </c>
      <c r="BO166" s="50">
        <f t="shared" si="92"/>
        <v>0</v>
      </c>
      <c r="BP166" s="50">
        <f t="shared" ca="1" si="92"/>
        <v>0</v>
      </c>
      <c r="BQ166" s="50">
        <f t="shared" si="92"/>
        <v>0</v>
      </c>
      <c r="BR166" s="50">
        <f t="shared" si="92"/>
        <v>0</v>
      </c>
      <c r="BS166" s="50">
        <f t="shared" si="92"/>
        <v>0</v>
      </c>
      <c r="BT166" s="50">
        <f t="shared" si="92"/>
        <v>0</v>
      </c>
      <c r="BU166" s="50">
        <f t="shared" ca="1" si="92"/>
        <v>0</v>
      </c>
      <c r="BV166" s="50">
        <f t="shared" si="92"/>
        <v>0</v>
      </c>
      <c r="BW166" s="50">
        <f t="shared" si="92"/>
        <v>0</v>
      </c>
      <c r="BX166" s="50">
        <f t="shared" si="92"/>
        <v>0</v>
      </c>
      <c r="BY166" s="50">
        <f t="shared" si="92"/>
        <v>0</v>
      </c>
      <c r="BZ166" s="50">
        <f t="shared" si="92"/>
        <v>0</v>
      </c>
    </row>
    <row r="167" spans="2:78" ht="15.75" outlineLevel="1">
      <c r="C167" s="142" t="s">
        <v>538</v>
      </c>
      <c r="F167" s="140">
        <v>1</v>
      </c>
      <c r="G167" s="140">
        <v>2</v>
      </c>
      <c r="H167" s="140">
        <v>3</v>
      </c>
      <c r="I167" s="140">
        <v>4</v>
      </c>
      <c r="J167" s="140">
        <v>5</v>
      </c>
      <c r="K167" s="140">
        <v>6</v>
      </c>
      <c r="L167" s="140">
        <v>7</v>
      </c>
      <c r="M167" s="140">
        <v>8</v>
      </c>
      <c r="N167" s="140">
        <v>9</v>
      </c>
      <c r="O167" s="140">
        <v>10</v>
      </c>
      <c r="P167" s="140">
        <v>11</v>
      </c>
      <c r="Q167" s="140">
        <v>12</v>
      </c>
      <c r="R167" s="140">
        <v>13</v>
      </c>
      <c r="S167" s="140">
        <v>14</v>
      </c>
      <c r="T167" s="140">
        <v>15</v>
      </c>
      <c r="U167" s="140">
        <v>16</v>
      </c>
      <c r="V167" s="140">
        <v>17</v>
      </c>
      <c r="W167" s="140">
        <v>18</v>
      </c>
      <c r="X167" s="140">
        <v>19</v>
      </c>
      <c r="Y167" s="140">
        <v>20</v>
      </c>
      <c r="Z167" s="140">
        <v>21</v>
      </c>
      <c r="AA167" s="140">
        <v>22</v>
      </c>
      <c r="AB167" s="140">
        <v>23</v>
      </c>
      <c r="AC167" s="140">
        <v>24</v>
      </c>
      <c r="AD167" s="140">
        <v>25</v>
      </c>
      <c r="AE167" s="140">
        <v>26</v>
      </c>
      <c r="AF167" s="140">
        <v>27</v>
      </c>
      <c r="AG167" s="140">
        <v>28</v>
      </c>
      <c r="AH167" s="140">
        <v>29</v>
      </c>
      <c r="AI167" s="140">
        <v>30</v>
      </c>
      <c r="AJ167" s="140">
        <v>31</v>
      </c>
      <c r="AK167" s="140">
        <v>32</v>
      </c>
      <c r="AL167" s="140">
        <v>33</v>
      </c>
      <c r="AM167" s="140">
        <v>34</v>
      </c>
      <c r="AN167" s="140">
        <v>35</v>
      </c>
      <c r="AR167" s="1">
        <v>1</v>
      </c>
      <c r="AS167" s="1">
        <v>2</v>
      </c>
      <c r="AT167" s="1">
        <v>3</v>
      </c>
      <c r="AU167" s="1">
        <v>4</v>
      </c>
      <c r="AV167" s="1">
        <v>5</v>
      </c>
      <c r="AW167" s="1">
        <v>6</v>
      </c>
      <c r="AX167" s="1">
        <v>7</v>
      </c>
      <c r="AY167" s="1">
        <v>8</v>
      </c>
      <c r="AZ167" s="1">
        <v>9</v>
      </c>
      <c r="BA167" s="1">
        <v>10</v>
      </c>
      <c r="BB167" s="1">
        <v>11</v>
      </c>
      <c r="BC167" s="1">
        <v>12</v>
      </c>
      <c r="BD167" s="1">
        <v>13</v>
      </c>
      <c r="BE167" s="1">
        <v>14</v>
      </c>
      <c r="BF167" s="1">
        <v>15</v>
      </c>
      <c r="BG167" s="1">
        <v>16</v>
      </c>
      <c r="BH167" s="1">
        <v>17</v>
      </c>
      <c r="BI167" s="1">
        <v>18</v>
      </c>
      <c r="BJ167" s="1">
        <v>19</v>
      </c>
      <c r="BK167" s="1">
        <v>20</v>
      </c>
      <c r="BL167" s="1">
        <v>21</v>
      </c>
      <c r="BM167" s="1">
        <v>22</v>
      </c>
      <c r="BN167" s="1">
        <v>23</v>
      </c>
      <c r="BO167" s="1">
        <v>24</v>
      </c>
      <c r="BP167" s="1">
        <v>25</v>
      </c>
      <c r="BQ167" s="1">
        <v>26</v>
      </c>
      <c r="BR167" s="1">
        <v>27</v>
      </c>
      <c r="BS167" s="1">
        <v>28</v>
      </c>
      <c r="BT167" s="1">
        <v>29</v>
      </c>
      <c r="BU167" s="1">
        <v>30</v>
      </c>
      <c r="BV167" s="1">
        <v>31</v>
      </c>
      <c r="BW167" s="1">
        <v>32</v>
      </c>
      <c r="BX167" s="1">
        <v>33</v>
      </c>
      <c r="BY167" s="1">
        <v>34</v>
      </c>
      <c r="BZ167" s="1">
        <v>35</v>
      </c>
    </row>
    <row r="168" spans="2:78" ht="15.75" outlineLevel="1">
      <c r="C168" s="142" t="s">
        <v>539</v>
      </c>
      <c r="F168" s="144">
        <f t="array" aca="1" ref="F168:AN168" ca="1">TRANSPOSE(E170:E204)</f>
        <v>0</v>
      </c>
      <c r="G168" s="144">
        <f ca="1"/>
        <v>0</v>
      </c>
      <c r="H168" s="144">
        <f ca="1"/>
        <v>0</v>
      </c>
      <c r="I168" s="144">
        <f ca="1"/>
        <v>0</v>
      </c>
      <c r="J168" s="144">
        <f ca="1"/>
        <v>0</v>
      </c>
      <c r="K168" s="144">
        <f ca="1"/>
        <v>0</v>
      </c>
      <c r="L168" s="144">
        <f ca="1"/>
        <v>0</v>
      </c>
      <c r="M168" s="144">
        <f ca="1"/>
        <v>0</v>
      </c>
      <c r="N168" s="144">
        <f ca="1"/>
        <v>0</v>
      </c>
      <c r="O168" s="144">
        <f ca="1"/>
        <v>0</v>
      </c>
      <c r="P168" s="144">
        <f ca="1"/>
        <v>0</v>
      </c>
      <c r="Q168" s="144">
        <f ca="1"/>
        <v>0</v>
      </c>
      <c r="R168" s="144">
        <f ca="1"/>
        <v>0</v>
      </c>
      <c r="S168" s="144">
        <f ca="1"/>
        <v>0</v>
      </c>
      <c r="T168" s="144">
        <f ca="1"/>
        <v>0</v>
      </c>
      <c r="U168" s="144">
        <f ca="1"/>
        <v>0</v>
      </c>
      <c r="V168" s="144">
        <f ca="1"/>
        <v>0</v>
      </c>
      <c r="W168" s="144">
        <f ca="1"/>
        <v>0</v>
      </c>
      <c r="X168" s="144">
        <f ca="1"/>
        <v>0</v>
      </c>
      <c r="Y168" s="144">
        <f ca="1"/>
        <v>0</v>
      </c>
      <c r="Z168" s="144">
        <f ca="1"/>
        <v>0</v>
      </c>
      <c r="AA168" s="144">
        <f ca="1"/>
        <v>0</v>
      </c>
      <c r="AB168" s="144">
        <f ca="1"/>
        <v>0</v>
      </c>
      <c r="AC168" s="144">
        <f ca="1"/>
        <v>0</v>
      </c>
      <c r="AD168" s="144">
        <f ca="1"/>
        <v>0</v>
      </c>
      <c r="AE168" s="144">
        <f ca="1"/>
        <v>0</v>
      </c>
      <c r="AF168" s="144">
        <f ca="1"/>
        <v>0</v>
      </c>
      <c r="AG168" s="144">
        <f ca="1"/>
        <v>0</v>
      </c>
      <c r="AH168" s="144">
        <f ca="1"/>
        <v>0</v>
      </c>
      <c r="AI168" s="144">
        <f ca="1"/>
        <v>0</v>
      </c>
      <c r="AJ168" s="144">
        <f ca="1"/>
        <v>0</v>
      </c>
      <c r="AK168" s="144">
        <f ca="1"/>
        <v>0</v>
      </c>
      <c r="AL168" s="144">
        <f ca="1"/>
        <v>0</v>
      </c>
      <c r="AM168" s="144">
        <f ca="1"/>
        <v>0</v>
      </c>
      <c r="AN168" s="144">
        <f ca="1"/>
        <v>0</v>
      </c>
    </row>
    <row r="169" spans="2:78" outlineLevel="1">
      <c r="AP169" s="180">
        <f>IF(AQ169&lt;='Premissas Gerais'!$G$6,1,0)</f>
        <v>1</v>
      </c>
      <c r="AQ169" s="1">
        <v>1</v>
      </c>
      <c r="AR169" s="2">
        <f>IF($AQ169&lt;='Premissas Gerais'!$G$6,(IF(OR(AR$167&gt;=$AQ169,AR$166=0),0,IF(SUM(AR$168:AR168)&lt;1,10%,0))),0%)</f>
        <v>0</v>
      </c>
      <c r="AS169" s="2">
        <f>IF($AQ169&lt;='Premissas Gerais'!$G$6,(IF(OR(AS$167&gt;=$AQ169,AS$166=0),0,IF(SUM(AS$168:AS168)&lt;1,10%,0))),0%)</f>
        <v>0</v>
      </c>
      <c r="AT169" s="2">
        <f>IF($AQ169&lt;='Premissas Gerais'!$G$6,(IF(OR(AT$167&gt;=$AQ169,AT$166=0),0,IF(SUM(AT$168:AT168)&lt;1,10%,0))),0%)</f>
        <v>0</v>
      </c>
      <c r="AU169" s="2">
        <f>IF($AQ169&lt;='Premissas Gerais'!$G$6,(IF(OR(AU$167&gt;=$AQ169,AU$166=0),0,IF(SUM(AU$168:AU168)&lt;1,10%,0))),0%)</f>
        <v>0</v>
      </c>
      <c r="AV169" s="2">
        <f ca="1">IF($AQ169&lt;='Premissas Gerais'!$G$6,(IF(OR(AV$167&gt;=$AQ169,AV$166=0),0,IF(SUM(AV$168:AV168)&lt;1,10%,0))),0%)</f>
        <v>0</v>
      </c>
      <c r="AW169" s="2">
        <f>IF($AQ169&lt;='Premissas Gerais'!$G$6,(IF(OR(AW$167&gt;=$AQ169,AW$166=0),0,IF(SUM(AW$168:AW168)&lt;1,10%,0))),0%)</f>
        <v>0</v>
      </c>
      <c r="AX169" s="2">
        <f>IF($AQ169&lt;='Premissas Gerais'!$G$6,(IF(OR(AX$167&gt;=$AQ169,AX$166=0),0,IF(SUM(AX$168:AX168)&lt;1,10%,0))),0%)</f>
        <v>0</v>
      </c>
      <c r="AY169" s="2">
        <f>IF($AQ169&lt;='Premissas Gerais'!$G$6,(IF(OR(AY$167&gt;=$AQ169,AY$166=0),0,IF(SUM(AY$168:AY168)&lt;1,10%,0))),0%)</f>
        <v>0</v>
      </c>
      <c r="AZ169" s="2">
        <f>IF($AQ169&lt;='Premissas Gerais'!$G$6,(IF(OR(AZ$167&gt;=$AQ169,AZ$166=0),0,IF(SUM(AZ$168:AZ168)&lt;1,10%,0))),0%)</f>
        <v>0</v>
      </c>
      <c r="BA169" s="2">
        <f ca="1">IF($AQ169&lt;='Premissas Gerais'!$G$6,(IF(OR(BA$167&gt;=$AQ169,BA$166=0),0,IF(SUM(BA$168:BA168)&lt;1,10%,0))),0%)</f>
        <v>0</v>
      </c>
      <c r="BB169" s="2">
        <f>IF($AQ169&lt;='Premissas Gerais'!$G$6,(IF(OR(BB$167&gt;=$AQ169,BB$166=0),0,IF(SUM(BB$168:BB168)&lt;1,10%,0))),0%)</f>
        <v>0</v>
      </c>
      <c r="BC169" s="2">
        <f>IF($AQ169&lt;='Premissas Gerais'!$G$6,(IF(OR(BC$167&gt;=$AQ169,BC$166=0),0,IF(SUM(BC$168:BC168)&lt;1,10%,0))),0%)</f>
        <v>0</v>
      </c>
      <c r="BD169" s="2">
        <f>IF($AQ169&lt;='Premissas Gerais'!$G$6,(IF(OR(BD$167&gt;=$AQ169,BD$166=0),0,IF(SUM(BD$168:BD168)&lt;1,10%,0))),0%)</f>
        <v>0</v>
      </c>
      <c r="BE169" s="2">
        <f>IF($AQ169&lt;='Premissas Gerais'!$G$6,(IF(OR(BE$167&gt;=$AQ169,BE$166=0),0,IF(SUM(BE$168:BE168)&lt;1,10%,0))),0%)</f>
        <v>0</v>
      </c>
      <c r="BF169" s="2">
        <f ca="1">IF($AQ169&lt;='Premissas Gerais'!$G$6,(IF(OR(BF$167&gt;=$AQ169,BF$166=0),0,IF(SUM(BF$168:BF168)&lt;1,10%,0))),0%)</f>
        <v>0</v>
      </c>
      <c r="BG169" s="2">
        <f>IF($AQ169&lt;='Premissas Gerais'!$G$6,(IF(OR(BG$167&gt;=$AQ169,BG$166=0),0,IF(SUM(BG$168:BG168)&lt;1,10%,0))),0%)</f>
        <v>0</v>
      </c>
      <c r="BH169" s="2">
        <f>IF($AQ169&lt;='Premissas Gerais'!$G$6,(IF(OR(BH$167&gt;=$AQ169,BH$166=0),0,IF(SUM(BH$168:BH168)&lt;1,10%,0))),0%)</f>
        <v>0</v>
      </c>
      <c r="BI169" s="2">
        <f>IF($AQ169&lt;='Premissas Gerais'!$G$6,(IF(OR(BI$167&gt;=$AQ169,BI$166=0),0,IF(SUM(BI$168:BI168)&lt;1,10%,0))),0%)</f>
        <v>0</v>
      </c>
      <c r="BJ169" s="2">
        <f>IF($AQ169&lt;='Premissas Gerais'!$G$6,(IF(OR(BJ$167&gt;=$AQ169,BJ$166=0),0,IF(SUM(BJ$168:BJ168)&lt;1,10%,0))),0%)</f>
        <v>0</v>
      </c>
      <c r="BK169" s="2">
        <f ca="1">IF($AQ169&lt;='Premissas Gerais'!$G$6,(IF(OR(BK$167&gt;=$AQ169,BK$166=0),0,IF(SUM(BK$168:BK168)&lt;1,10%,0))),0%)</f>
        <v>0</v>
      </c>
      <c r="BL169" s="2">
        <f>IF($AQ169&lt;='Premissas Gerais'!$G$6,(IF(OR(BL$167&gt;=$AQ169,BL$166=0),0,IF(SUM(BL$168:BL168)&lt;1,10%,0))),0%)</f>
        <v>0</v>
      </c>
      <c r="BM169" s="2">
        <f>IF($AQ169&lt;='Premissas Gerais'!$G$6,(IF(OR(BM$167&gt;=$AQ169,BM$166=0),0,IF(SUM(BM$168:BM168)&lt;1,10%,0))),0%)</f>
        <v>0</v>
      </c>
      <c r="BN169" s="2">
        <f>IF($AQ169&lt;='Premissas Gerais'!$G$6,(IF(OR(BN$167&gt;=$AQ169,BN$166=0),0,IF(SUM(BN$168:BN168)&lt;1,10%,0))),0%)</f>
        <v>0</v>
      </c>
      <c r="BO169" s="2">
        <f>IF($AQ169&lt;='Premissas Gerais'!$G$6,(IF(OR(BO$167&gt;=$AQ169,BO$166=0),0,IF(SUM(BO$168:BO168)&lt;1,10%,0))),0%)</f>
        <v>0</v>
      </c>
      <c r="BP169" s="2">
        <f ca="1">IF($AQ169&lt;='Premissas Gerais'!$G$6,(IF(OR(BP$167&gt;=$AQ169,BP$166=0),0,IF(SUM(BP$168:BP168)&lt;1,10%,0))),0%)</f>
        <v>0</v>
      </c>
      <c r="BQ169" s="2">
        <f>IF($AQ169&lt;='Premissas Gerais'!$G$6,(IF(OR(BQ$167&gt;=$AQ169,BQ$166=0),0,IF(SUM(BQ$168:BQ168)&lt;1,10%,0))),0%)</f>
        <v>0</v>
      </c>
      <c r="BR169" s="2">
        <f>IF($AQ169&lt;='Premissas Gerais'!$G$6,(IF(OR(BR$167&gt;=$AQ169,BR$166=0),0,IF(SUM(BR$168:BR168)&lt;1,10%,0))),0%)</f>
        <v>0</v>
      </c>
      <c r="BS169" s="2">
        <f>IF($AQ169&lt;='Premissas Gerais'!$G$6,(IF(OR(BS$167&gt;=$AQ169,BS$166=0),0,IF(SUM(BS$168:BS168)&lt;1,10%,0))),0%)</f>
        <v>0</v>
      </c>
      <c r="BT169" s="2">
        <f>IF($AQ169&lt;='Premissas Gerais'!$G$6,(IF(OR(BT$167&gt;=$AQ169,BT$166=0),0,IF(SUM(BT$168:BT168)&lt;1,10%,0))),0%)</f>
        <v>0</v>
      </c>
      <c r="BU169" s="2">
        <f ca="1">IF($AQ169&lt;='Premissas Gerais'!$G$6,(IF(OR(BU$167&gt;=$AQ169,BU$166=0),0,IF(SUM(BU$168:BU168)&lt;1,10%,0))),0%)</f>
        <v>0</v>
      </c>
      <c r="BV169" s="2">
        <f>IF($AQ169&lt;='Premissas Gerais'!$G$6,(IF(OR(BV$167&gt;=$AQ169,BV$166=0),0,IF(SUM(BV$168:BV168)&lt;1,10%,0))),0%)</f>
        <v>0</v>
      </c>
      <c r="BW169" s="2">
        <f>IF($AQ169&lt;='Premissas Gerais'!$G$6,(IF(OR(BW$167&gt;=$AQ169,BW$166=0),0,IF(SUM(BW$168:BW168)&lt;1,10%,0))),0%)</f>
        <v>0</v>
      </c>
      <c r="BX169" s="2">
        <f>IF($AQ169&lt;='Premissas Gerais'!$G$6,(IF(OR(BX$167&gt;=$AQ169,BX$166=0),0,IF(SUM(BX$168:BX168)&lt;1,10%,0))),0%)</f>
        <v>0</v>
      </c>
      <c r="BY169" s="2">
        <f>IF($AQ169&lt;='Premissas Gerais'!$G$6,(IF(OR(BY$167&gt;=$AQ169,BY$166=0),0,IF(SUM(BY$168:BY168)&lt;1,10%,0))),0%)</f>
        <v>0</v>
      </c>
      <c r="BZ169" s="2">
        <f>IF($AQ169&lt;='Premissas Gerais'!$G$6,(IF(OR(BZ$167&gt;=$AQ169,BZ$166=0),0,IF(SUM(BZ$168:BZ168)&lt;1,10%,0))),0%)</f>
        <v>0</v>
      </c>
    </row>
    <row r="170" spans="2:78" outlineLevel="1">
      <c r="C170" s="155">
        <v>1</v>
      </c>
      <c r="E170" s="133">
        <f ca="1">SUM(F170:AN170)</f>
        <v>0</v>
      </c>
      <c r="F170" s="4">
        <f t="shared" ref="F170:F204" si="93">AR169*F$127</f>
        <v>0</v>
      </c>
      <c r="G170" s="4">
        <f t="shared" ref="G170:G204" si="94">AS169*G$127</f>
        <v>0</v>
      </c>
      <c r="H170" s="4">
        <f t="shared" ref="H170:H204" si="95">AT169*H$127</f>
        <v>0</v>
      </c>
      <c r="I170" s="4">
        <f t="shared" ref="I170:I204" si="96">AU169*I$127</f>
        <v>0</v>
      </c>
      <c r="J170" s="4">
        <f t="shared" ref="J170:J204" ca="1" si="97">AV169*J$127</f>
        <v>0</v>
      </c>
      <c r="K170" s="4">
        <f t="shared" ref="K170:K204" si="98">AW169*K$127</f>
        <v>0</v>
      </c>
      <c r="L170" s="4">
        <f t="shared" ref="L170:L204" si="99">AX169*L$127</f>
        <v>0</v>
      </c>
      <c r="M170" s="4">
        <f t="shared" ref="M170:M204" si="100">AY169*M$127</f>
        <v>0</v>
      </c>
      <c r="N170" s="4">
        <f t="shared" ref="N170:N204" si="101">AZ169*N$127</f>
        <v>0</v>
      </c>
      <c r="O170" s="4">
        <f t="shared" ref="O170:O204" ca="1" si="102">BA169*O$127</f>
        <v>0</v>
      </c>
      <c r="P170" s="4">
        <f t="shared" ref="P170:P204" si="103">BB169*P$127</f>
        <v>0</v>
      </c>
      <c r="Q170" s="4">
        <f t="shared" ref="Q170:Q204" si="104">BC169*Q$127</f>
        <v>0</v>
      </c>
      <c r="R170" s="4">
        <f t="shared" ref="R170:R204" si="105">BD169*R$127</f>
        <v>0</v>
      </c>
      <c r="S170" s="4">
        <f t="shared" ref="S170:S204" si="106">BE169*S$127</f>
        <v>0</v>
      </c>
      <c r="T170" s="4">
        <f t="shared" ref="T170:T204" ca="1" si="107">BF169*T$127</f>
        <v>0</v>
      </c>
      <c r="U170" s="4">
        <f t="shared" ref="U170:U204" si="108">BG169*U$127</f>
        <v>0</v>
      </c>
      <c r="V170" s="4">
        <f t="shared" ref="V170:V204" si="109">BH169*V$127</f>
        <v>0</v>
      </c>
      <c r="W170" s="4">
        <f t="shared" ref="W170:W204" si="110">BI169*W$127</f>
        <v>0</v>
      </c>
      <c r="X170" s="4">
        <f t="shared" ref="X170:X204" si="111">BJ169*X$127</f>
        <v>0</v>
      </c>
      <c r="Y170" s="4">
        <f t="shared" ref="Y170:Y204" ca="1" si="112">BK169*Y$127</f>
        <v>0</v>
      </c>
      <c r="Z170" s="4">
        <f t="shared" ref="Z170:Z204" si="113">BL169*Z$127</f>
        <v>0</v>
      </c>
      <c r="AA170" s="4">
        <f t="shared" ref="AA170:AA204" si="114">BM169*AA$127</f>
        <v>0</v>
      </c>
      <c r="AB170" s="4">
        <f t="shared" ref="AB170:AB204" si="115">BN169*AB$127</f>
        <v>0</v>
      </c>
      <c r="AC170" s="4">
        <f t="shared" ref="AC170:AC204" si="116">BO169*AC$127</f>
        <v>0</v>
      </c>
      <c r="AD170" s="4">
        <f t="shared" ref="AD170:AD204" ca="1" si="117">BP169*AD$127</f>
        <v>0</v>
      </c>
      <c r="AE170" s="4">
        <f t="shared" ref="AE170:AE204" si="118">BQ169*AE$127</f>
        <v>0</v>
      </c>
      <c r="AF170" s="4">
        <f t="shared" ref="AF170:AF204" si="119">BR169*AF$127</f>
        <v>0</v>
      </c>
      <c r="AG170" s="4">
        <f t="shared" ref="AG170:AG204" si="120">BS169*AG$127</f>
        <v>0</v>
      </c>
      <c r="AH170" s="4">
        <f t="shared" ref="AH170:AH204" si="121">BT169*AH$127</f>
        <v>0</v>
      </c>
      <c r="AI170" s="4">
        <f t="shared" ref="AI170:AI204" ca="1" si="122">BU169*AI$127</f>
        <v>0</v>
      </c>
      <c r="AJ170" s="4">
        <f t="shared" ref="AJ170:AJ204" si="123">BV169*AJ$127</f>
        <v>0</v>
      </c>
      <c r="AK170" s="4">
        <f t="shared" ref="AK170:AK204" si="124">BW169*AK$127</f>
        <v>0</v>
      </c>
      <c r="AL170" s="4">
        <f t="shared" ref="AL170:AL204" si="125">BX169*AL$127</f>
        <v>0</v>
      </c>
      <c r="AM170" s="4">
        <f t="shared" ref="AM170:AM204" si="126">BY169*AM$127</f>
        <v>0</v>
      </c>
      <c r="AN170" s="4">
        <f t="shared" ref="AN170:AN204" si="127">BZ169*AN$127</f>
        <v>0</v>
      </c>
      <c r="AP170" s="180">
        <f>IF(AQ170&lt;='Premissas Gerais'!$G$6,1,0)</f>
        <v>1</v>
      </c>
      <c r="AQ170" s="1">
        <v>2</v>
      </c>
      <c r="AR170" s="2">
        <f>IF($AQ170&lt;='Premissas Gerais'!$G$6,(IF(OR(AR$167&gt;=$AQ170,AR$166=0),0,IF(SUM(AR$168:AR169)&lt;1,10%,0))),0%)</f>
        <v>0</v>
      </c>
      <c r="AS170" s="2">
        <f>IF($AQ170&lt;='Premissas Gerais'!$G$6,(IF(OR(AS$167&gt;=$AQ170,AS$166=0),0,IF(SUM(AS$168:AS169)&lt;1,10%,0))),0%)</f>
        <v>0</v>
      </c>
      <c r="AT170" s="2">
        <f>IF($AQ170&lt;='Premissas Gerais'!$G$6,(IF(OR(AT$167&gt;=$AQ170,AT$166=0),0,IF(SUM(AT$168:AT169)&lt;1,10%,0))),0%)</f>
        <v>0</v>
      </c>
      <c r="AU170" s="2">
        <f>IF($AQ170&lt;='Premissas Gerais'!$G$6,(IF(OR(AU$167&gt;=$AQ170,AU$166=0),0,IF(SUM(AU$168:AU169)&lt;1,10%,0))),0%)</f>
        <v>0</v>
      </c>
      <c r="AV170" s="2">
        <f ca="1">IF($AQ170&lt;='Premissas Gerais'!$G$6,(IF(OR(AV$167&gt;=$AQ170,AV$166=0),0,IF(SUM(AV$168:AV169)&lt;1,10%,0))),0%)</f>
        <v>0</v>
      </c>
      <c r="AW170" s="2">
        <f>IF($AQ170&lt;='Premissas Gerais'!$G$6,(IF(OR(AW$167&gt;=$AQ170,AW$166=0),0,IF(SUM(AW$168:AW169)&lt;1,10%,0))),0%)</f>
        <v>0</v>
      </c>
      <c r="AX170" s="2">
        <f>IF($AQ170&lt;='Premissas Gerais'!$G$6,(IF(OR(AX$167&gt;=$AQ170,AX$166=0),0,IF(SUM(AX$168:AX169)&lt;1,10%,0))),0%)</f>
        <v>0</v>
      </c>
      <c r="AY170" s="2">
        <f>IF($AQ170&lt;='Premissas Gerais'!$G$6,(IF(OR(AY$167&gt;=$AQ170,AY$166=0),0,IF(SUM(AY$168:AY169)&lt;1,10%,0))),0%)</f>
        <v>0</v>
      </c>
      <c r="AZ170" s="2">
        <f>IF($AQ170&lt;='Premissas Gerais'!$G$6,(IF(OR(AZ$167&gt;=$AQ170,AZ$166=0),0,IF(SUM(AZ$168:AZ169)&lt;1,10%,0))),0%)</f>
        <v>0</v>
      </c>
      <c r="BA170" s="2">
        <f ca="1">IF($AQ170&lt;='Premissas Gerais'!$G$6,(IF(OR(BA$167&gt;=$AQ170,BA$166=0),0,IF(SUM(BA$168:BA169)&lt;1,10%,0))),0%)</f>
        <v>0</v>
      </c>
      <c r="BB170" s="2">
        <f>IF($AQ170&lt;='Premissas Gerais'!$G$6,(IF(OR(BB$167&gt;=$AQ170,BB$166=0),0,IF(SUM(BB$168:BB169)&lt;1,10%,0))),0%)</f>
        <v>0</v>
      </c>
      <c r="BC170" s="2">
        <f>IF($AQ170&lt;='Premissas Gerais'!$G$6,(IF(OR(BC$167&gt;=$AQ170,BC$166=0),0,IF(SUM(BC$168:BC169)&lt;1,10%,0))),0%)</f>
        <v>0</v>
      </c>
      <c r="BD170" s="2">
        <f>IF($AQ170&lt;='Premissas Gerais'!$G$6,(IF(OR(BD$167&gt;=$AQ170,BD$166=0),0,IF(SUM(BD$168:BD169)&lt;1,10%,0))),0%)</f>
        <v>0</v>
      </c>
      <c r="BE170" s="2">
        <f>IF($AQ170&lt;='Premissas Gerais'!$G$6,(IF(OR(BE$167&gt;=$AQ170,BE$166=0),0,IF(SUM(BE$168:BE169)&lt;1,10%,0))),0%)</f>
        <v>0</v>
      </c>
      <c r="BF170" s="2">
        <f ca="1">IF($AQ170&lt;='Premissas Gerais'!$G$6,(IF(OR(BF$167&gt;=$AQ170,BF$166=0),0,IF(SUM(BF$168:BF169)&lt;1,10%,0))),0%)</f>
        <v>0</v>
      </c>
      <c r="BG170" s="2">
        <f>IF($AQ170&lt;='Premissas Gerais'!$G$6,(IF(OR(BG$167&gt;=$AQ170,BG$166=0),0,IF(SUM(BG$168:BG169)&lt;1,10%,0))),0%)</f>
        <v>0</v>
      </c>
      <c r="BH170" s="2">
        <f>IF($AQ170&lt;='Premissas Gerais'!$G$6,(IF(OR(BH$167&gt;=$AQ170,BH$166=0),0,IF(SUM(BH$168:BH169)&lt;1,10%,0))),0%)</f>
        <v>0</v>
      </c>
      <c r="BI170" s="2">
        <f>IF($AQ170&lt;='Premissas Gerais'!$G$6,(IF(OR(BI$167&gt;=$AQ170,BI$166=0),0,IF(SUM(BI$168:BI169)&lt;1,10%,0))),0%)</f>
        <v>0</v>
      </c>
      <c r="BJ170" s="2">
        <f>IF($AQ170&lt;='Premissas Gerais'!$G$6,(IF(OR(BJ$167&gt;=$AQ170,BJ$166=0),0,IF(SUM(BJ$168:BJ169)&lt;1,10%,0))),0%)</f>
        <v>0</v>
      </c>
      <c r="BK170" s="2">
        <f ca="1">IF($AQ170&lt;='Premissas Gerais'!$G$6,(IF(OR(BK$167&gt;=$AQ170,BK$166=0),0,IF(SUM(BK$168:BK169)&lt;1,10%,0))),0%)</f>
        <v>0</v>
      </c>
      <c r="BL170" s="2">
        <f>IF($AQ170&lt;='Premissas Gerais'!$G$6,(IF(OR(BL$167&gt;=$AQ170,BL$166=0),0,IF(SUM(BL$168:BL169)&lt;1,10%,0))),0%)</f>
        <v>0</v>
      </c>
      <c r="BM170" s="2">
        <f>IF($AQ170&lt;='Premissas Gerais'!$G$6,(IF(OR(BM$167&gt;=$AQ170,BM$166=0),0,IF(SUM(BM$168:BM169)&lt;1,10%,0))),0%)</f>
        <v>0</v>
      </c>
      <c r="BN170" s="2">
        <f>IF($AQ170&lt;='Premissas Gerais'!$G$6,(IF(OR(BN$167&gt;=$AQ170,BN$166=0),0,IF(SUM(BN$168:BN169)&lt;1,10%,0))),0%)</f>
        <v>0</v>
      </c>
      <c r="BO170" s="2">
        <f>IF($AQ170&lt;='Premissas Gerais'!$G$6,(IF(OR(BO$167&gt;=$AQ170,BO$166=0),0,IF(SUM(BO$168:BO169)&lt;1,10%,0))),0%)</f>
        <v>0</v>
      </c>
      <c r="BP170" s="2">
        <f ca="1">IF($AQ170&lt;='Premissas Gerais'!$G$6,(IF(OR(BP$167&gt;=$AQ170,BP$166=0),0,IF(SUM(BP$168:BP169)&lt;1,10%,0))),0%)</f>
        <v>0</v>
      </c>
      <c r="BQ170" s="2">
        <f>IF($AQ170&lt;='Premissas Gerais'!$G$6,(IF(OR(BQ$167&gt;=$AQ170,BQ$166=0),0,IF(SUM(BQ$168:BQ169)&lt;1,10%,0))),0%)</f>
        <v>0</v>
      </c>
      <c r="BR170" s="2">
        <f>IF($AQ170&lt;='Premissas Gerais'!$G$6,(IF(OR(BR$167&gt;=$AQ170,BR$166=0),0,IF(SUM(BR$168:BR169)&lt;1,10%,0))),0%)</f>
        <v>0</v>
      </c>
      <c r="BS170" s="2">
        <f>IF($AQ170&lt;='Premissas Gerais'!$G$6,(IF(OR(BS$167&gt;=$AQ170,BS$166=0),0,IF(SUM(BS$168:BS169)&lt;1,10%,0))),0%)</f>
        <v>0</v>
      </c>
      <c r="BT170" s="2">
        <f>IF($AQ170&lt;='Premissas Gerais'!$G$6,(IF(OR(BT$167&gt;=$AQ170,BT$166=0),0,IF(SUM(BT$168:BT169)&lt;1,10%,0))),0%)</f>
        <v>0</v>
      </c>
      <c r="BU170" s="2">
        <f ca="1">IF($AQ170&lt;='Premissas Gerais'!$G$6,(IF(OR(BU$167&gt;=$AQ170,BU$166=0),0,IF(SUM(BU$168:BU169)&lt;1,10%,0))),0%)</f>
        <v>0</v>
      </c>
      <c r="BV170" s="2">
        <f>IF($AQ170&lt;='Premissas Gerais'!$G$6,(IF(OR(BV$167&gt;=$AQ170,BV$166=0),0,IF(SUM(BV$168:BV169)&lt;1,10%,0))),0%)</f>
        <v>0</v>
      </c>
      <c r="BW170" s="2">
        <f>IF($AQ170&lt;='Premissas Gerais'!$G$6,(IF(OR(BW$167&gt;=$AQ170,BW$166=0),0,IF(SUM(BW$168:BW169)&lt;1,10%,0))),0%)</f>
        <v>0</v>
      </c>
      <c r="BX170" s="2">
        <f>IF($AQ170&lt;='Premissas Gerais'!$G$6,(IF(OR(BX$167&gt;=$AQ170,BX$166=0),0,IF(SUM(BX$168:BX169)&lt;1,10%,0))),0%)</f>
        <v>0</v>
      </c>
      <c r="BY170" s="2">
        <f>IF($AQ170&lt;='Premissas Gerais'!$G$6,(IF(OR(BY$167&gt;=$AQ170,BY$166=0),0,IF(SUM(BY$168:BY169)&lt;1,10%,0))),0%)</f>
        <v>0</v>
      </c>
      <c r="BZ170" s="2">
        <f>IF($AQ170&lt;='Premissas Gerais'!$G$6,(IF(OR(BZ$167&gt;=$AQ170,BZ$166=0),0,IF(SUM(BZ$168:BZ169)&lt;1,10%,0))),0%)</f>
        <v>0</v>
      </c>
    </row>
    <row r="171" spans="2:78" outlineLevel="1">
      <c r="C171" s="155">
        <v>2</v>
      </c>
      <c r="E171" s="133">
        <f ca="1">IF(C171&lt;='Premissas Gerais'!$G$6,SUM(F171:AN171),0)</f>
        <v>0</v>
      </c>
      <c r="F171" s="4">
        <f t="shared" si="93"/>
        <v>0</v>
      </c>
      <c r="G171" s="4">
        <f t="shared" si="94"/>
        <v>0</v>
      </c>
      <c r="H171" s="4">
        <f t="shared" si="95"/>
        <v>0</v>
      </c>
      <c r="I171" s="4">
        <f t="shared" si="96"/>
        <v>0</v>
      </c>
      <c r="J171" s="4">
        <f t="shared" ca="1" si="97"/>
        <v>0</v>
      </c>
      <c r="K171" s="4">
        <f t="shared" si="98"/>
        <v>0</v>
      </c>
      <c r="L171" s="4">
        <f t="shared" si="99"/>
        <v>0</v>
      </c>
      <c r="M171" s="4">
        <f t="shared" si="100"/>
        <v>0</v>
      </c>
      <c r="N171" s="4">
        <f t="shared" si="101"/>
        <v>0</v>
      </c>
      <c r="O171" s="4">
        <f t="shared" ca="1" si="102"/>
        <v>0</v>
      </c>
      <c r="P171" s="4">
        <f t="shared" si="103"/>
        <v>0</v>
      </c>
      <c r="Q171" s="4">
        <f t="shared" si="104"/>
        <v>0</v>
      </c>
      <c r="R171" s="4">
        <f t="shared" si="105"/>
        <v>0</v>
      </c>
      <c r="S171" s="4">
        <f t="shared" si="106"/>
        <v>0</v>
      </c>
      <c r="T171" s="4">
        <f t="shared" ca="1" si="107"/>
        <v>0</v>
      </c>
      <c r="U171" s="4">
        <f t="shared" si="108"/>
        <v>0</v>
      </c>
      <c r="V171" s="4">
        <f t="shared" si="109"/>
        <v>0</v>
      </c>
      <c r="W171" s="4">
        <f t="shared" si="110"/>
        <v>0</v>
      </c>
      <c r="X171" s="4">
        <f t="shared" si="111"/>
        <v>0</v>
      </c>
      <c r="Y171" s="4">
        <f t="shared" ca="1" si="112"/>
        <v>0</v>
      </c>
      <c r="Z171" s="4">
        <f t="shared" si="113"/>
        <v>0</v>
      </c>
      <c r="AA171" s="4">
        <f t="shared" si="114"/>
        <v>0</v>
      </c>
      <c r="AB171" s="4">
        <f t="shared" si="115"/>
        <v>0</v>
      </c>
      <c r="AC171" s="4">
        <f t="shared" si="116"/>
        <v>0</v>
      </c>
      <c r="AD171" s="4">
        <f t="shared" ca="1" si="117"/>
        <v>0</v>
      </c>
      <c r="AE171" s="4">
        <f t="shared" si="118"/>
        <v>0</v>
      </c>
      <c r="AF171" s="4">
        <f t="shared" si="119"/>
        <v>0</v>
      </c>
      <c r="AG171" s="4">
        <f t="shared" si="120"/>
        <v>0</v>
      </c>
      <c r="AH171" s="4">
        <f t="shared" si="121"/>
        <v>0</v>
      </c>
      <c r="AI171" s="4">
        <f t="shared" ca="1" si="122"/>
        <v>0</v>
      </c>
      <c r="AJ171" s="4">
        <f t="shared" si="123"/>
        <v>0</v>
      </c>
      <c r="AK171" s="4">
        <f t="shared" si="124"/>
        <v>0</v>
      </c>
      <c r="AL171" s="4">
        <f t="shared" si="125"/>
        <v>0</v>
      </c>
      <c r="AM171" s="4">
        <f t="shared" si="126"/>
        <v>0</v>
      </c>
      <c r="AN171" s="4">
        <f t="shared" si="127"/>
        <v>0</v>
      </c>
      <c r="AP171" s="180">
        <f>IF(AQ171&lt;='Premissas Gerais'!$G$6,1,0)</f>
        <v>1</v>
      </c>
      <c r="AQ171" s="1">
        <v>3</v>
      </c>
      <c r="AR171" s="2">
        <f>IF($AQ171&lt;='Premissas Gerais'!$G$6,(IF(OR(AR$167&gt;=$AQ171,AR$166=0),0,IF(SUM(AR$168:AR170)&lt;1,10%,0))),0%)</f>
        <v>0</v>
      </c>
      <c r="AS171" s="2">
        <f>IF($AQ171&lt;='Premissas Gerais'!$G$6,(IF(OR(AS$167&gt;=$AQ171,AS$166=0),0,IF(SUM(AS$168:AS170)&lt;1,10%,0))),0%)</f>
        <v>0</v>
      </c>
      <c r="AT171" s="2">
        <f>IF($AQ171&lt;='Premissas Gerais'!$G$6,(IF(OR(AT$167&gt;=$AQ171,AT$166=0),0,IF(SUM(AT$168:AT170)&lt;1,10%,0))),0%)</f>
        <v>0</v>
      </c>
      <c r="AU171" s="2">
        <f>IF($AQ171&lt;='Premissas Gerais'!$G$6,(IF(OR(AU$167&gt;=$AQ171,AU$166=0),0,IF(SUM(AU$168:AU170)&lt;1,10%,0))),0%)</f>
        <v>0</v>
      </c>
      <c r="AV171" s="2">
        <f ca="1">IF($AQ171&lt;='Premissas Gerais'!$G$6,(IF(OR(AV$167&gt;=$AQ171,AV$166=0),0,IF(SUM(AV$168:AV170)&lt;1,10%,0))),0%)</f>
        <v>0</v>
      </c>
      <c r="AW171" s="2">
        <f>IF($AQ171&lt;='Premissas Gerais'!$G$6,(IF(OR(AW$167&gt;=$AQ171,AW$166=0),0,IF(SUM(AW$168:AW170)&lt;1,10%,0))),0%)</f>
        <v>0</v>
      </c>
      <c r="AX171" s="2">
        <f>IF($AQ171&lt;='Premissas Gerais'!$G$6,(IF(OR(AX$167&gt;=$AQ171,AX$166=0),0,IF(SUM(AX$168:AX170)&lt;1,10%,0))),0%)</f>
        <v>0</v>
      </c>
      <c r="AY171" s="2">
        <f>IF($AQ171&lt;='Premissas Gerais'!$G$6,(IF(OR(AY$167&gt;=$AQ171,AY$166=0),0,IF(SUM(AY$168:AY170)&lt;1,10%,0))),0%)</f>
        <v>0</v>
      </c>
      <c r="AZ171" s="2">
        <f>IF($AQ171&lt;='Premissas Gerais'!$G$6,(IF(OR(AZ$167&gt;=$AQ171,AZ$166=0),0,IF(SUM(AZ$168:AZ170)&lt;1,10%,0))),0%)</f>
        <v>0</v>
      </c>
      <c r="BA171" s="2">
        <f ca="1">IF($AQ171&lt;='Premissas Gerais'!$G$6,(IF(OR(BA$167&gt;=$AQ171,BA$166=0),0,IF(SUM(BA$168:BA170)&lt;1,10%,0))),0%)</f>
        <v>0</v>
      </c>
      <c r="BB171" s="2">
        <f>IF($AQ171&lt;='Premissas Gerais'!$G$6,(IF(OR(BB$167&gt;=$AQ171,BB$166=0),0,IF(SUM(BB$168:BB170)&lt;1,10%,0))),0%)</f>
        <v>0</v>
      </c>
      <c r="BC171" s="2">
        <f>IF($AQ171&lt;='Premissas Gerais'!$G$6,(IF(OR(BC$167&gt;=$AQ171,BC$166=0),0,IF(SUM(BC$168:BC170)&lt;1,10%,0))),0%)</f>
        <v>0</v>
      </c>
      <c r="BD171" s="2">
        <f>IF($AQ171&lt;='Premissas Gerais'!$G$6,(IF(OR(BD$167&gt;=$AQ171,BD$166=0),0,IF(SUM(BD$168:BD170)&lt;1,10%,0))),0%)</f>
        <v>0</v>
      </c>
      <c r="BE171" s="2">
        <f>IF($AQ171&lt;='Premissas Gerais'!$G$6,(IF(OR(BE$167&gt;=$AQ171,BE$166=0),0,IF(SUM(BE$168:BE170)&lt;1,10%,0))),0%)</f>
        <v>0</v>
      </c>
      <c r="BF171" s="2">
        <f ca="1">IF($AQ171&lt;='Premissas Gerais'!$G$6,(IF(OR(BF$167&gt;=$AQ171,BF$166=0),0,IF(SUM(BF$168:BF170)&lt;1,10%,0))),0%)</f>
        <v>0</v>
      </c>
      <c r="BG171" s="2">
        <f>IF($AQ171&lt;='Premissas Gerais'!$G$6,(IF(OR(BG$167&gt;=$AQ171,BG$166=0),0,IF(SUM(BG$168:BG170)&lt;1,10%,0))),0%)</f>
        <v>0</v>
      </c>
      <c r="BH171" s="2">
        <f>IF($AQ171&lt;='Premissas Gerais'!$G$6,(IF(OR(BH$167&gt;=$AQ171,BH$166=0),0,IF(SUM(BH$168:BH170)&lt;1,10%,0))),0%)</f>
        <v>0</v>
      </c>
      <c r="BI171" s="2">
        <f>IF($AQ171&lt;='Premissas Gerais'!$G$6,(IF(OR(BI$167&gt;=$AQ171,BI$166=0),0,IF(SUM(BI$168:BI170)&lt;1,10%,0))),0%)</f>
        <v>0</v>
      </c>
      <c r="BJ171" s="2">
        <f>IF($AQ171&lt;='Premissas Gerais'!$G$6,(IF(OR(BJ$167&gt;=$AQ171,BJ$166=0),0,IF(SUM(BJ$168:BJ170)&lt;1,10%,0))),0%)</f>
        <v>0</v>
      </c>
      <c r="BK171" s="2">
        <f ca="1">IF($AQ171&lt;='Premissas Gerais'!$G$6,(IF(OR(BK$167&gt;=$AQ171,BK$166=0),0,IF(SUM(BK$168:BK170)&lt;1,10%,0))),0%)</f>
        <v>0</v>
      </c>
      <c r="BL171" s="2">
        <f>IF($AQ171&lt;='Premissas Gerais'!$G$6,(IF(OR(BL$167&gt;=$AQ171,BL$166=0),0,IF(SUM(BL$168:BL170)&lt;1,10%,0))),0%)</f>
        <v>0</v>
      </c>
      <c r="BM171" s="2">
        <f>IF($AQ171&lt;='Premissas Gerais'!$G$6,(IF(OR(BM$167&gt;=$AQ171,BM$166=0),0,IF(SUM(BM$168:BM170)&lt;1,10%,0))),0%)</f>
        <v>0</v>
      </c>
      <c r="BN171" s="2">
        <f>IF($AQ171&lt;='Premissas Gerais'!$G$6,(IF(OR(BN$167&gt;=$AQ171,BN$166=0),0,IF(SUM(BN$168:BN170)&lt;1,10%,0))),0%)</f>
        <v>0</v>
      </c>
      <c r="BO171" s="2">
        <f>IF($AQ171&lt;='Premissas Gerais'!$G$6,(IF(OR(BO$167&gt;=$AQ171,BO$166=0),0,IF(SUM(BO$168:BO170)&lt;1,10%,0))),0%)</f>
        <v>0</v>
      </c>
      <c r="BP171" s="2">
        <f ca="1">IF($AQ171&lt;='Premissas Gerais'!$G$6,(IF(OR(BP$167&gt;=$AQ171,BP$166=0),0,IF(SUM(BP$168:BP170)&lt;1,10%,0))),0%)</f>
        <v>0</v>
      </c>
      <c r="BQ171" s="2">
        <f>IF($AQ171&lt;='Premissas Gerais'!$G$6,(IF(OR(BQ$167&gt;=$AQ171,BQ$166=0),0,IF(SUM(BQ$168:BQ170)&lt;1,10%,0))),0%)</f>
        <v>0</v>
      </c>
      <c r="BR171" s="2">
        <f>IF($AQ171&lt;='Premissas Gerais'!$G$6,(IF(OR(BR$167&gt;=$AQ171,BR$166=0),0,IF(SUM(BR$168:BR170)&lt;1,10%,0))),0%)</f>
        <v>0</v>
      </c>
      <c r="BS171" s="2">
        <f>IF($AQ171&lt;='Premissas Gerais'!$G$6,(IF(OR(BS$167&gt;=$AQ171,BS$166=0),0,IF(SUM(BS$168:BS170)&lt;1,10%,0))),0%)</f>
        <v>0</v>
      </c>
      <c r="BT171" s="2">
        <f>IF($AQ171&lt;='Premissas Gerais'!$G$6,(IF(OR(BT$167&gt;=$AQ171,BT$166=0),0,IF(SUM(BT$168:BT170)&lt;1,10%,0))),0%)</f>
        <v>0</v>
      </c>
      <c r="BU171" s="2">
        <f ca="1">IF($AQ171&lt;='Premissas Gerais'!$G$6,(IF(OR(BU$167&gt;=$AQ171,BU$166=0),0,IF(SUM(BU$168:BU170)&lt;1,10%,0))),0%)</f>
        <v>0</v>
      </c>
      <c r="BV171" s="2">
        <f>IF($AQ171&lt;='Premissas Gerais'!$G$6,(IF(OR(BV$167&gt;=$AQ171,BV$166=0),0,IF(SUM(BV$168:BV170)&lt;1,10%,0))),0%)</f>
        <v>0</v>
      </c>
      <c r="BW171" s="2">
        <f>IF($AQ171&lt;='Premissas Gerais'!$G$6,(IF(OR(BW$167&gt;=$AQ171,BW$166=0),0,IF(SUM(BW$168:BW170)&lt;1,10%,0))),0%)</f>
        <v>0</v>
      </c>
      <c r="BX171" s="2">
        <f>IF($AQ171&lt;='Premissas Gerais'!$G$6,(IF(OR(BX$167&gt;=$AQ171,BX$166=0),0,IF(SUM(BX$168:BX170)&lt;1,10%,0))),0%)</f>
        <v>0</v>
      </c>
      <c r="BY171" s="2">
        <f>IF($AQ171&lt;='Premissas Gerais'!$G$6,(IF(OR(BY$167&gt;=$AQ171,BY$166=0),0,IF(SUM(BY$168:BY170)&lt;1,10%,0))),0%)</f>
        <v>0</v>
      </c>
      <c r="BZ171" s="2">
        <f>IF($AQ171&lt;='Premissas Gerais'!$G$6,(IF(OR(BZ$167&gt;=$AQ171,BZ$166=0),0,IF(SUM(BZ$168:BZ170)&lt;1,10%,0))),0%)</f>
        <v>0</v>
      </c>
    </row>
    <row r="172" spans="2:78" outlineLevel="1">
      <c r="C172" s="155">
        <v>3</v>
      </c>
      <c r="E172" s="133">
        <f ca="1">IF(C172&lt;='Premissas Gerais'!$G$6,SUM(F172:AN172),0)</f>
        <v>0</v>
      </c>
      <c r="F172" s="4">
        <f t="shared" si="93"/>
        <v>0</v>
      </c>
      <c r="G172" s="4">
        <f t="shared" si="94"/>
        <v>0</v>
      </c>
      <c r="H172" s="4">
        <f t="shared" si="95"/>
        <v>0</v>
      </c>
      <c r="I172" s="4">
        <f t="shared" si="96"/>
        <v>0</v>
      </c>
      <c r="J172" s="4">
        <f t="shared" ca="1" si="97"/>
        <v>0</v>
      </c>
      <c r="K172" s="4">
        <f t="shared" si="98"/>
        <v>0</v>
      </c>
      <c r="L172" s="4">
        <f t="shared" si="99"/>
        <v>0</v>
      </c>
      <c r="M172" s="4">
        <f t="shared" si="100"/>
        <v>0</v>
      </c>
      <c r="N172" s="4">
        <f t="shared" si="101"/>
        <v>0</v>
      </c>
      <c r="O172" s="4">
        <f t="shared" ca="1" si="102"/>
        <v>0</v>
      </c>
      <c r="P172" s="4">
        <f t="shared" si="103"/>
        <v>0</v>
      </c>
      <c r="Q172" s="4">
        <f t="shared" si="104"/>
        <v>0</v>
      </c>
      <c r="R172" s="4">
        <f t="shared" si="105"/>
        <v>0</v>
      </c>
      <c r="S172" s="4">
        <f t="shared" si="106"/>
        <v>0</v>
      </c>
      <c r="T172" s="4">
        <f t="shared" ca="1" si="107"/>
        <v>0</v>
      </c>
      <c r="U172" s="4">
        <f t="shared" si="108"/>
        <v>0</v>
      </c>
      <c r="V172" s="4">
        <f t="shared" si="109"/>
        <v>0</v>
      </c>
      <c r="W172" s="4">
        <f t="shared" si="110"/>
        <v>0</v>
      </c>
      <c r="X172" s="4">
        <f t="shared" si="111"/>
        <v>0</v>
      </c>
      <c r="Y172" s="4">
        <f t="shared" ca="1" si="112"/>
        <v>0</v>
      </c>
      <c r="Z172" s="4">
        <f t="shared" si="113"/>
        <v>0</v>
      </c>
      <c r="AA172" s="4">
        <f t="shared" si="114"/>
        <v>0</v>
      </c>
      <c r="AB172" s="4">
        <f t="shared" si="115"/>
        <v>0</v>
      </c>
      <c r="AC172" s="4">
        <f t="shared" si="116"/>
        <v>0</v>
      </c>
      <c r="AD172" s="4">
        <f t="shared" ca="1" si="117"/>
        <v>0</v>
      </c>
      <c r="AE172" s="4">
        <f t="shared" si="118"/>
        <v>0</v>
      </c>
      <c r="AF172" s="4">
        <f t="shared" si="119"/>
        <v>0</v>
      </c>
      <c r="AG172" s="4">
        <f t="shared" si="120"/>
        <v>0</v>
      </c>
      <c r="AH172" s="4">
        <f t="shared" si="121"/>
        <v>0</v>
      </c>
      <c r="AI172" s="4">
        <f t="shared" ca="1" si="122"/>
        <v>0</v>
      </c>
      <c r="AJ172" s="4">
        <f t="shared" si="123"/>
        <v>0</v>
      </c>
      <c r="AK172" s="4">
        <f t="shared" si="124"/>
        <v>0</v>
      </c>
      <c r="AL172" s="4">
        <f t="shared" si="125"/>
        <v>0</v>
      </c>
      <c r="AM172" s="4">
        <f t="shared" si="126"/>
        <v>0</v>
      </c>
      <c r="AN172" s="4">
        <f t="shared" si="127"/>
        <v>0</v>
      </c>
      <c r="AP172" s="180">
        <f>IF(AQ172&lt;='Premissas Gerais'!$G$6,1,0)</f>
        <v>1</v>
      </c>
      <c r="AQ172" s="1">
        <v>4</v>
      </c>
      <c r="AR172" s="2">
        <f>IF($AQ172&lt;='Premissas Gerais'!$G$6,(IF(OR(AR$167&gt;=$AQ172,AR$166=0),0,IF(SUM(AR$168:AR171)&lt;1,10%,0))),0%)</f>
        <v>0</v>
      </c>
      <c r="AS172" s="2">
        <f>IF($AQ172&lt;='Premissas Gerais'!$G$6,(IF(OR(AS$167&gt;=$AQ172,AS$166=0),0,IF(SUM(AS$168:AS171)&lt;1,10%,0))),0%)</f>
        <v>0</v>
      </c>
      <c r="AT172" s="2">
        <f>IF($AQ172&lt;='Premissas Gerais'!$G$6,(IF(OR(AT$167&gt;=$AQ172,AT$166=0),0,IF(SUM(AT$168:AT171)&lt;1,10%,0))),0%)</f>
        <v>0</v>
      </c>
      <c r="AU172" s="2">
        <f>IF($AQ172&lt;='Premissas Gerais'!$G$6,(IF(OR(AU$167&gt;=$AQ172,AU$166=0),0,IF(SUM(AU$168:AU171)&lt;1,10%,0))),0%)</f>
        <v>0</v>
      </c>
      <c r="AV172" s="2">
        <f ca="1">IF($AQ172&lt;='Premissas Gerais'!$G$6,(IF(OR(AV$167&gt;=$AQ172,AV$166=0),0,IF(SUM(AV$168:AV171)&lt;1,10%,0))),0%)</f>
        <v>0</v>
      </c>
      <c r="AW172" s="2">
        <f>IF($AQ172&lt;='Premissas Gerais'!$G$6,(IF(OR(AW$167&gt;=$AQ172,AW$166=0),0,IF(SUM(AW$168:AW171)&lt;1,10%,0))),0%)</f>
        <v>0</v>
      </c>
      <c r="AX172" s="2">
        <f>IF($AQ172&lt;='Premissas Gerais'!$G$6,(IF(OR(AX$167&gt;=$AQ172,AX$166=0),0,IF(SUM(AX$168:AX171)&lt;1,10%,0))),0%)</f>
        <v>0</v>
      </c>
      <c r="AY172" s="2">
        <f>IF($AQ172&lt;='Premissas Gerais'!$G$6,(IF(OR(AY$167&gt;=$AQ172,AY$166=0),0,IF(SUM(AY$168:AY171)&lt;1,10%,0))),0%)</f>
        <v>0</v>
      </c>
      <c r="AZ172" s="2">
        <f>IF($AQ172&lt;='Premissas Gerais'!$G$6,(IF(OR(AZ$167&gt;=$AQ172,AZ$166=0),0,IF(SUM(AZ$168:AZ171)&lt;1,10%,0))),0%)</f>
        <v>0</v>
      </c>
      <c r="BA172" s="2">
        <f ca="1">IF($AQ172&lt;='Premissas Gerais'!$G$6,(IF(OR(BA$167&gt;=$AQ172,BA$166=0),0,IF(SUM(BA$168:BA171)&lt;1,10%,0))),0%)</f>
        <v>0</v>
      </c>
      <c r="BB172" s="2">
        <f>IF($AQ172&lt;='Premissas Gerais'!$G$6,(IF(OR(BB$167&gt;=$AQ172,BB$166=0),0,IF(SUM(BB$168:BB171)&lt;1,10%,0))),0%)</f>
        <v>0</v>
      </c>
      <c r="BC172" s="2">
        <f>IF($AQ172&lt;='Premissas Gerais'!$G$6,(IF(OR(BC$167&gt;=$AQ172,BC$166=0),0,IF(SUM(BC$168:BC171)&lt;1,10%,0))),0%)</f>
        <v>0</v>
      </c>
      <c r="BD172" s="2">
        <f>IF($AQ172&lt;='Premissas Gerais'!$G$6,(IF(OR(BD$167&gt;=$AQ172,BD$166=0),0,IF(SUM(BD$168:BD171)&lt;1,10%,0))),0%)</f>
        <v>0</v>
      </c>
      <c r="BE172" s="2">
        <f>IF($AQ172&lt;='Premissas Gerais'!$G$6,(IF(OR(BE$167&gt;=$AQ172,BE$166=0),0,IF(SUM(BE$168:BE171)&lt;1,10%,0))),0%)</f>
        <v>0</v>
      </c>
      <c r="BF172" s="2">
        <f ca="1">IF($AQ172&lt;='Premissas Gerais'!$G$6,(IF(OR(BF$167&gt;=$AQ172,BF$166=0),0,IF(SUM(BF$168:BF171)&lt;1,10%,0))),0%)</f>
        <v>0</v>
      </c>
      <c r="BG172" s="2">
        <f>IF($AQ172&lt;='Premissas Gerais'!$G$6,(IF(OR(BG$167&gt;=$AQ172,BG$166=0),0,IF(SUM(BG$168:BG171)&lt;1,10%,0))),0%)</f>
        <v>0</v>
      </c>
      <c r="BH172" s="2">
        <f>IF($AQ172&lt;='Premissas Gerais'!$G$6,(IF(OR(BH$167&gt;=$AQ172,BH$166=0),0,IF(SUM(BH$168:BH171)&lt;1,10%,0))),0%)</f>
        <v>0</v>
      </c>
      <c r="BI172" s="2">
        <f>IF($AQ172&lt;='Premissas Gerais'!$G$6,(IF(OR(BI$167&gt;=$AQ172,BI$166=0),0,IF(SUM(BI$168:BI171)&lt;1,10%,0))),0%)</f>
        <v>0</v>
      </c>
      <c r="BJ172" s="2">
        <f>IF($AQ172&lt;='Premissas Gerais'!$G$6,(IF(OR(BJ$167&gt;=$AQ172,BJ$166=0),0,IF(SUM(BJ$168:BJ171)&lt;1,10%,0))),0%)</f>
        <v>0</v>
      </c>
      <c r="BK172" s="2">
        <f ca="1">IF($AQ172&lt;='Premissas Gerais'!$G$6,(IF(OR(BK$167&gt;=$AQ172,BK$166=0),0,IF(SUM(BK$168:BK171)&lt;1,10%,0))),0%)</f>
        <v>0</v>
      </c>
      <c r="BL172" s="2">
        <f>IF($AQ172&lt;='Premissas Gerais'!$G$6,(IF(OR(BL$167&gt;=$AQ172,BL$166=0),0,IF(SUM(BL$168:BL171)&lt;1,10%,0))),0%)</f>
        <v>0</v>
      </c>
      <c r="BM172" s="2">
        <f>IF($AQ172&lt;='Premissas Gerais'!$G$6,(IF(OR(BM$167&gt;=$AQ172,BM$166=0),0,IF(SUM(BM$168:BM171)&lt;1,10%,0))),0%)</f>
        <v>0</v>
      </c>
      <c r="BN172" s="2">
        <f>IF($AQ172&lt;='Premissas Gerais'!$G$6,(IF(OR(BN$167&gt;=$AQ172,BN$166=0),0,IF(SUM(BN$168:BN171)&lt;1,10%,0))),0%)</f>
        <v>0</v>
      </c>
      <c r="BO172" s="2">
        <f>IF($AQ172&lt;='Premissas Gerais'!$G$6,(IF(OR(BO$167&gt;=$AQ172,BO$166=0),0,IF(SUM(BO$168:BO171)&lt;1,10%,0))),0%)</f>
        <v>0</v>
      </c>
      <c r="BP172" s="2">
        <f ca="1">IF($AQ172&lt;='Premissas Gerais'!$G$6,(IF(OR(BP$167&gt;=$AQ172,BP$166=0),0,IF(SUM(BP$168:BP171)&lt;1,10%,0))),0%)</f>
        <v>0</v>
      </c>
      <c r="BQ172" s="2">
        <f>IF($AQ172&lt;='Premissas Gerais'!$G$6,(IF(OR(BQ$167&gt;=$AQ172,BQ$166=0),0,IF(SUM(BQ$168:BQ171)&lt;1,10%,0))),0%)</f>
        <v>0</v>
      </c>
      <c r="BR172" s="2">
        <f>IF($AQ172&lt;='Premissas Gerais'!$G$6,(IF(OR(BR$167&gt;=$AQ172,BR$166=0),0,IF(SUM(BR$168:BR171)&lt;1,10%,0))),0%)</f>
        <v>0</v>
      </c>
      <c r="BS172" s="2">
        <f>IF($AQ172&lt;='Premissas Gerais'!$G$6,(IF(OR(BS$167&gt;=$AQ172,BS$166=0),0,IF(SUM(BS$168:BS171)&lt;1,10%,0))),0%)</f>
        <v>0</v>
      </c>
      <c r="BT172" s="2">
        <f>IF($AQ172&lt;='Premissas Gerais'!$G$6,(IF(OR(BT$167&gt;=$AQ172,BT$166=0),0,IF(SUM(BT$168:BT171)&lt;1,10%,0))),0%)</f>
        <v>0</v>
      </c>
      <c r="BU172" s="2">
        <f ca="1">IF($AQ172&lt;='Premissas Gerais'!$G$6,(IF(OR(BU$167&gt;=$AQ172,BU$166=0),0,IF(SUM(BU$168:BU171)&lt;1,10%,0))),0%)</f>
        <v>0</v>
      </c>
      <c r="BV172" s="2">
        <f>IF($AQ172&lt;='Premissas Gerais'!$G$6,(IF(OR(BV$167&gt;=$AQ172,BV$166=0),0,IF(SUM(BV$168:BV171)&lt;1,10%,0))),0%)</f>
        <v>0</v>
      </c>
      <c r="BW172" s="2">
        <f>IF($AQ172&lt;='Premissas Gerais'!$G$6,(IF(OR(BW$167&gt;=$AQ172,BW$166=0),0,IF(SUM(BW$168:BW171)&lt;1,10%,0))),0%)</f>
        <v>0</v>
      </c>
      <c r="BX172" s="2">
        <f>IF($AQ172&lt;='Premissas Gerais'!$G$6,(IF(OR(BX$167&gt;=$AQ172,BX$166=0),0,IF(SUM(BX$168:BX171)&lt;1,10%,0))),0%)</f>
        <v>0</v>
      </c>
      <c r="BY172" s="2">
        <f>IF($AQ172&lt;='Premissas Gerais'!$G$6,(IF(OR(BY$167&gt;=$AQ172,BY$166=0),0,IF(SUM(BY$168:BY171)&lt;1,10%,0))),0%)</f>
        <v>0</v>
      </c>
      <c r="BZ172" s="2">
        <f>IF($AQ172&lt;='Premissas Gerais'!$G$6,(IF(OR(BZ$167&gt;=$AQ172,BZ$166=0),0,IF(SUM(BZ$168:BZ171)&lt;1,10%,0))),0%)</f>
        <v>0</v>
      </c>
    </row>
    <row r="173" spans="2:78" outlineLevel="1">
      <c r="C173" s="155">
        <v>4</v>
      </c>
      <c r="E173" s="133">
        <f ca="1">IF(C173&lt;='Premissas Gerais'!$G$6,SUM(F173:AN173),0)</f>
        <v>0</v>
      </c>
      <c r="F173" s="4">
        <f t="shared" si="93"/>
        <v>0</v>
      </c>
      <c r="G173" s="4">
        <f t="shared" si="94"/>
        <v>0</v>
      </c>
      <c r="H173" s="4">
        <f t="shared" si="95"/>
        <v>0</v>
      </c>
      <c r="I173" s="4">
        <f t="shared" si="96"/>
        <v>0</v>
      </c>
      <c r="J173" s="4">
        <f t="shared" ca="1" si="97"/>
        <v>0</v>
      </c>
      <c r="K173" s="4">
        <f t="shared" si="98"/>
        <v>0</v>
      </c>
      <c r="L173" s="4">
        <f t="shared" si="99"/>
        <v>0</v>
      </c>
      <c r="M173" s="4">
        <f t="shared" si="100"/>
        <v>0</v>
      </c>
      <c r="N173" s="4">
        <f t="shared" si="101"/>
        <v>0</v>
      </c>
      <c r="O173" s="4">
        <f t="shared" ca="1" si="102"/>
        <v>0</v>
      </c>
      <c r="P173" s="4">
        <f t="shared" si="103"/>
        <v>0</v>
      </c>
      <c r="Q173" s="4">
        <f t="shared" si="104"/>
        <v>0</v>
      </c>
      <c r="R173" s="4">
        <f t="shared" si="105"/>
        <v>0</v>
      </c>
      <c r="S173" s="4">
        <f t="shared" si="106"/>
        <v>0</v>
      </c>
      <c r="T173" s="4">
        <f t="shared" ca="1" si="107"/>
        <v>0</v>
      </c>
      <c r="U173" s="4">
        <f t="shared" si="108"/>
        <v>0</v>
      </c>
      <c r="V173" s="4">
        <f t="shared" si="109"/>
        <v>0</v>
      </c>
      <c r="W173" s="4">
        <f t="shared" si="110"/>
        <v>0</v>
      </c>
      <c r="X173" s="4">
        <f t="shared" si="111"/>
        <v>0</v>
      </c>
      <c r="Y173" s="4">
        <f t="shared" ca="1" si="112"/>
        <v>0</v>
      </c>
      <c r="Z173" s="4">
        <f t="shared" si="113"/>
        <v>0</v>
      </c>
      <c r="AA173" s="4">
        <f t="shared" si="114"/>
        <v>0</v>
      </c>
      <c r="AB173" s="4">
        <f t="shared" si="115"/>
        <v>0</v>
      </c>
      <c r="AC173" s="4">
        <f t="shared" si="116"/>
        <v>0</v>
      </c>
      <c r="AD173" s="4">
        <f t="shared" ca="1" si="117"/>
        <v>0</v>
      </c>
      <c r="AE173" s="4">
        <f t="shared" si="118"/>
        <v>0</v>
      </c>
      <c r="AF173" s="4">
        <f t="shared" si="119"/>
        <v>0</v>
      </c>
      <c r="AG173" s="4">
        <f t="shared" si="120"/>
        <v>0</v>
      </c>
      <c r="AH173" s="4">
        <f t="shared" si="121"/>
        <v>0</v>
      </c>
      <c r="AI173" s="4">
        <f t="shared" ca="1" si="122"/>
        <v>0</v>
      </c>
      <c r="AJ173" s="4">
        <f t="shared" si="123"/>
        <v>0</v>
      </c>
      <c r="AK173" s="4">
        <f t="shared" si="124"/>
        <v>0</v>
      </c>
      <c r="AL173" s="4">
        <f t="shared" si="125"/>
        <v>0</v>
      </c>
      <c r="AM173" s="4">
        <f t="shared" si="126"/>
        <v>0</v>
      </c>
      <c r="AN173" s="4">
        <f t="shared" si="127"/>
        <v>0</v>
      </c>
      <c r="AP173" s="180">
        <f>IF(AQ173&lt;='Premissas Gerais'!$G$6,1,0)</f>
        <v>1</v>
      </c>
      <c r="AQ173" s="1">
        <v>5</v>
      </c>
      <c r="AR173" s="2">
        <f>IF($AQ173&lt;='Premissas Gerais'!$G$6,(IF(OR(AR$167&gt;=$AQ173,AR$166=0),0,IF(SUM(AR$168:AR172)&lt;1,10%,0))),0%)</f>
        <v>0</v>
      </c>
      <c r="AS173" s="2">
        <f>IF($AQ173&lt;='Premissas Gerais'!$G$6,(IF(OR(AS$167&gt;=$AQ173,AS$166=0),0,IF(SUM(AS$168:AS172)&lt;1,10%,0))),0%)</f>
        <v>0</v>
      </c>
      <c r="AT173" s="2">
        <f>IF($AQ173&lt;='Premissas Gerais'!$G$6,(IF(OR(AT$167&gt;=$AQ173,AT$166=0),0,IF(SUM(AT$168:AT172)&lt;1,10%,0))),0%)</f>
        <v>0</v>
      </c>
      <c r="AU173" s="2">
        <f>IF($AQ173&lt;='Premissas Gerais'!$G$6,(IF(OR(AU$167&gt;=$AQ173,AU$166=0),0,IF(SUM(AU$168:AU172)&lt;1,10%,0))),0%)</f>
        <v>0</v>
      </c>
      <c r="AV173" s="2">
        <f ca="1">IF($AQ173&lt;='Premissas Gerais'!$G$6,(IF(OR(AV$167&gt;=$AQ173,AV$166=0),0,IF(SUM(AV$168:AV172)&lt;1,10%,0))),0%)</f>
        <v>0</v>
      </c>
      <c r="AW173" s="2">
        <f>IF($AQ173&lt;='Premissas Gerais'!$G$6,(IF(OR(AW$167&gt;=$AQ173,AW$166=0),0,IF(SUM(AW$168:AW172)&lt;1,10%,0))),0%)</f>
        <v>0</v>
      </c>
      <c r="AX173" s="2">
        <f>IF($AQ173&lt;='Premissas Gerais'!$G$6,(IF(OR(AX$167&gt;=$AQ173,AX$166=0),0,IF(SUM(AX$168:AX172)&lt;1,10%,0))),0%)</f>
        <v>0</v>
      </c>
      <c r="AY173" s="2">
        <f>IF($AQ173&lt;='Premissas Gerais'!$G$6,(IF(OR(AY$167&gt;=$AQ173,AY$166=0),0,IF(SUM(AY$168:AY172)&lt;1,10%,0))),0%)</f>
        <v>0</v>
      </c>
      <c r="AZ173" s="2">
        <f>IF($AQ173&lt;='Premissas Gerais'!$G$6,(IF(OR(AZ$167&gt;=$AQ173,AZ$166=0),0,IF(SUM(AZ$168:AZ172)&lt;1,10%,0))),0%)</f>
        <v>0</v>
      </c>
      <c r="BA173" s="2">
        <f ca="1">IF($AQ173&lt;='Premissas Gerais'!$G$6,(IF(OR(BA$167&gt;=$AQ173,BA$166=0),0,IF(SUM(BA$168:BA172)&lt;1,10%,0))),0%)</f>
        <v>0</v>
      </c>
      <c r="BB173" s="2">
        <f>IF($AQ173&lt;='Premissas Gerais'!$G$6,(IF(OR(BB$167&gt;=$AQ173,BB$166=0),0,IF(SUM(BB$168:BB172)&lt;1,10%,0))),0%)</f>
        <v>0</v>
      </c>
      <c r="BC173" s="2">
        <f>IF($AQ173&lt;='Premissas Gerais'!$G$6,(IF(OR(BC$167&gt;=$AQ173,BC$166=0),0,IF(SUM(BC$168:BC172)&lt;1,10%,0))),0%)</f>
        <v>0</v>
      </c>
      <c r="BD173" s="2">
        <f>IF($AQ173&lt;='Premissas Gerais'!$G$6,(IF(OR(BD$167&gt;=$AQ173,BD$166=0),0,IF(SUM(BD$168:BD172)&lt;1,10%,0))),0%)</f>
        <v>0</v>
      </c>
      <c r="BE173" s="2">
        <f>IF($AQ173&lt;='Premissas Gerais'!$G$6,(IF(OR(BE$167&gt;=$AQ173,BE$166=0),0,IF(SUM(BE$168:BE172)&lt;1,10%,0))),0%)</f>
        <v>0</v>
      </c>
      <c r="BF173" s="2">
        <f ca="1">IF($AQ173&lt;='Premissas Gerais'!$G$6,(IF(OR(BF$167&gt;=$AQ173,BF$166=0),0,IF(SUM(BF$168:BF172)&lt;1,10%,0))),0%)</f>
        <v>0</v>
      </c>
      <c r="BG173" s="2">
        <f>IF($AQ173&lt;='Premissas Gerais'!$G$6,(IF(OR(BG$167&gt;=$AQ173,BG$166=0),0,IF(SUM(BG$168:BG172)&lt;1,10%,0))),0%)</f>
        <v>0</v>
      </c>
      <c r="BH173" s="2">
        <f>IF($AQ173&lt;='Premissas Gerais'!$G$6,(IF(OR(BH$167&gt;=$AQ173,BH$166=0),0,IF(SUM(BH$168:BH172)&lt;1,10%,0))),0%)</f>
        <v>0</v>
      </c>
      <c r="BI173" s="2">
        <f>IF($AQ173&lt;='Premissas Gerais'!$G$6,(IF(OR(BI$167&gt;=$AQ173,BI$166=0),0,IF(SUM(BI$168:BI172)&lt;1,10%,0))),0%)</f>
        <v>0</v>
      </c>
      <c r="BJ173" s="2">
        <f>IF($AQ173&lt;='Premissas Gerais'!$G$6,(IF(OR(BJ$167&gt;=$AQ173,BJ$166=0),0,IF(SUM(BJ$168:BJ172)&lt;1,10%,0))),0%)</f>
        <v>0</v>
      </c>
      <c r="BK173" s="2">
        <f ca="1">IF($AQ173&lt;='Premissas Gerais'!$G$6,(IF(OR(BK$167&gt;=$AQ173,BK$166=0),0,IF(SUM(BK$168:BK172)&lt;1,10%,0))),0%)</f>
        <v>0</v>
      </c>
      <c r="BL173" s="2">
        <f>IF($AQ173&lt;='Premissas Gerais'!$G$6,(IF(OR(BL$167&gt;=$AQ173,BL$166=0),0,IF(SUM(BL$168:BL172)&lt;1,10%,0))),0%)</f>
        <v>0</v>
      </c>
      <c r="BM173" s="2">
        <f>IF($AQ173&lt;='Premissas Gerais'!$G$6,(IF(OR(BM$167&gt;=$AQ173,BM$166=0),0,IF(SUM(BM$168:BM172)&lt;1,10%,0))),0%)</f>
        <v>0</v>
      </c>
      <c r="BN173" s="2">
        <f>IF($AQ173&lt;='Premissas Gerais'!$G$6,(IF(OR(BN$167&gt;=$AQ173,BN$166=0),0,IF(SUM(BN$168:BN172)&lt;1,10%,0))),0%)</f>
        <v>0</v>
      </c>
      <c r="BO173" s="2">
        <f>IF($AQ173&lt;='Premissas Gerais'!$G$6,(IF(OR(BO$167&gt;=$AQ173,BO$166=0),0,IF(SUM(BO$168:BO172)&lt;1,10%,0))),0%)</f>
        <v>0</v>
      </c>
      <c r="BP173" s="2">
        <f ca="1">IF($AQ173&lt;='Premissas Gerais'!$G$6,(IF(OR(BP$167&gt;=$AQ173,BP$166=0),0,IF(SUM(BP$168:BP172)&lt;1,10%,0))),0%)</f>
        <v>0</v>
      </c>
      <c r="BQ173" s="2">
        <f>IF($AQ173&lt;='Premissas Gerais'!$G$6,(IF(OR(BQ$167&gt;=$AQ173,BQ$166=0),0,IF(SUM(BQ$168:BQ172)&lt;1,10%,0))),0%)</f>
        <v>0</v>
      </c>
      <c r="BR173" s="2">
        <f>IF($AQ173&lt;='Premissas Gerais'!$G$6,(IF(OR(BR$167&gt;=$AQ173,BR$166=0),0,IF(SUM(BR$168:BR172)&lt;1,10%,0))),0%)</f>
        <v>0</v>
      </c>
      <c r="BS173" s="2">
        <f>IF($AQ173&lt;='Premissas Gerais'!$G$6,(IF(OR(BS$167&gt;=$AQ173,BS$166=0),0,IF(SUM(BS$168:BS172)&lt;1,10%,0))),0%)</f>
        <v>0</v>
      </c>
      <c r="BT173" s="2">
        <f>IF($AQ173&lt;='Premissas Gerais'!$G$6,(IF(OR(BT$167&gt;=$AQ173,BT$166=0),0,IF(SUM(BT$168:BT172)&lt;1,10%,0))),0%)</f>
        <v>0</v>
      </c>
      <c r="BU173" s="2">
        <f ca="1">IF($AQ173&lt;='Premissas Gerais'!$G$6,(IF(OR(BU$167&gt;=$AQ173,BU$166=0),0,IF(SUM(BU$168:BU172)&lt;1,10%,0))),0%)</f>
        <v>0</v>
      </c>
      <c r="BV173" s="2">
        <f>IF($AQ173&lt;='Premissas Gerais'!$G$6,(IF(OR(BV$167&gt;=$AQ173,BV$166=0),0,IF(SUM(BV$168:BV172)&lt;1,10%,0))),0%)</f>
        <v>0</v>
      </c>
      <c r="BW173" s="2">
        <f>IF($AQ173&lt;='Premissas Gerais'!$G$6,(IF(OR(BW$167&gt;=$AQ173,BW$166=0),0,IF(SUM(BW$168:BW172)&lt;1,10%,0))),0%)</f>
        <v>0</v>
      </c>
      <c r="BX173" s="2">
        <f>IF($AQ173&lt;='Premissas Gerais'!$G$6,(IF(OR(BX$167&gt;=$AQ173,BX$166=0),0,IF(SUM(BX$168:BX172)&lt;1,10%,0))),0%)</f>
        <v>0</v>
      </c>
      <c r="BY173" s="2">
        <f>IF($AQ173&lt;='Premissas Gerais'!$G$6,(IF(OR(BY$167&gt;=$AQ173,BY$166=0),0,IF(SUM(BY$168:BY172)&lt;1,10%,0))),0%)</f>
        <v>0</v>
      </c>
      <c r="BZ173" s="2">
        <f>IF($AQ173&lt;='Premissas Gerais'!$G$6,(IF(OR(BZ$167&gt;=$AQ173,BZ$166=0),0,IF(SUM(BZ$168:BZ172)&lt;1,10%,0))),0%)</f>
        <v>0</v>
      </c>
    </row>
    <row r="174" spans="2:78" outlineLevel="1">
      <c r="C174" s="155">
        <v>5</v>
      </c>
      <c r="E174" s="133">
        <f ca="1">IF(C174&lt;='Premissas Gerais'!$G$6,SUM(F174:AN174),0)</f>
        <v>0</v>
      </c>
      <c r="F174" s="4">
        <f t="shared" si="93"/>
        <v>0</v>
      </c>
      <c r="G174" s="4">
        <f t="shared" si="94"/>
        <v>0</v>
      </c>
      <c r="H174" s="4">
        <f t="shared" si="95"/>
        <v>0</v>
      </c>
      <c r="I174" s="4">
        <f t="shared" si="96"/>
        <v>0</v>
      </c>
      <c r="J174" s="4">
        <f t="shared" ca="1" si="97"/>
        <v>0</v>
      </c>
      <c r="K174" s="4">
        <f t="shared" si="98"/>
        <v>0</v>
      </c>
      <c r="L174" s="4">
        <f t="shared" si="99"/>
        <v>0</v>
      </c>
      <c r="M174" s="4">
        <f t="shared" si="100"/>
        <v>0</v>
      </c>
      <c r="N174" s="4">
        <f t="shared" si="101"/>
        <v>0</v>
      </c>
      <c r="O174" s="4">
        <f t="shared" ca="1" si="102"/>
        <v>0</v>
      </c>
      <c r="P174" s="4">
        <f t="shared" si="103"/>
        <v>0</v>
      </c>
      <c r="Q174" s="4">
        <f t="shared" si="104"/>
        <v>0</v>
      </c>
      <c r="R174" s="4">
        <f t="shared" si="105"/>
        <v>0</v>
      </c>
      <c r="S174" s="4">
        <f t="shared" si="106"/>
        <v>0</v>
      </c>
      <c r="T174" s="4">
        <f t="shared" ca="1" si="107"/>
        <v>0</v>
      </c>
      <c r="U174" s="4">
        <f t="shared" si="108"/>
        <v>0</v>
      </c>
      <c r="V174" s="4">
        <f t="shared" si="109"/>
        <v>0</v>
      </c>
      <c r="W174" s="4">
        <f t="shared" si="110"/>
        <v>0</v>
      </c>
      <c r="X174" s="4">
        <f t="shared" si="111"/>
        <v>0</v>
      </c>
      <c r="Y174" s="4">
        <f t="shared" ca="1" si="112"/>
        <v>0</v>
      </c>
      <c r="Z174" s="4">
        <f t="shared" si="113"/>
        <v>0</v>
      </c>
      <c r="AA174" s="4">
        <f t="shared" si="114"/>
        <v>0</v>
      </c>
      <c r="AB174" s="4">
        <f t="shared" si="115"/>
        <v>0</v>
      </c>
      <c r="AC174" s="4">
        <f t="shared" si="116"/>
        <v>0</v>
      </c>
      <c r="AD174" s="4">
        <f t="shared" ca="1" si="117"/>
        <v>0</v>
      </c>
      <c r="AE174" s="4">
        <f t="shared" si="118"/>
        <v>0</v>
      </c>
      <c r="AF174" s="4">
        <f t="shared" si="119"/>
        <v>0</v>
      </c>
      <c r="AG174" s="4">
        <f t="shared" si="120"/>
        <v>0</v>
      </c>
      <c r="AH174" s="4">
        <f t="shared" si="121"/>
        <v>0</v>
      </c>
      <c r="AI174" s="4">
        <f t="shared" ca="1" si="122"/>
        <v>0</v>
      </c>
      <c r="AJ174" s="4">
        <f t="shared" si="123"/>
        <v>0</v>
      </c>
      <c r="AK174" s="4">
        <f t="shared" si="124"/>
        <v>0</v>
      </c>
      <c r="AL174" s="4">
        <f t="shared" si="125"/>
        <v>0</v>
      </c>
      <c r="AM174" s="4">
        <f t="shared" si="126"/>
        <v>0</v>
      </c>
      <c r="AN174" s="4">
        <f t="shared" si="127"/>
        <v>0</v>
      </c>
      <c r="AP174" s="180">
        <f>IF(AQ174&lt;='Premissas Gerais'!$G$6,1,0)</f>
        <v>1</v>
      </c>
      <c r="AQ174" s="1">
        <v>6</v>
      </c>
      <c r="AR174" s="2">
        <f>IF($AQ174&lt;='Premissas Gerais'!$G$6,(IF(OR(AR$167&gt;=$AQ174,AR$166=0),0,IF(SUM(AR$168:AR173)&lt;1,10%,0))),0%)</f>
        <v>0</v>
      </c>
      <c r="AS174" s="2">
        <f>IF($AQ174&lt;='Premissas Gerais'!$G$6,(IF(OR(AS$167&gt;=$AQ174,AS$166=0),0,IF(SUM(AS$168:AS173)&lt;1,10%,0))),0%)</f>
        <v>0</v>
      </c>
      <c r="AT174" s="2">
        <f>IF($AQ174&lt;='Premissas Gerais'!$G$6,(IF(OR(AT$167&gt;=$AQ174,AT$166=0),0,IF(SUM(AT$168:AT173)&lt;1,10%,0))),0%)</f>
        <v>0</v>
      </c>
      <c r="AU174" s="2">
        <f>IF($AQ174&lt;='Premissas Gerais'!$G$6,(IF(OR(AU$167&gt;=$AQ174,AU$166=0),0,IF(SUM(AU$168:AU173)&lt;1,10%,0))),0%)</f>
        <v>0</v>
      </c>
      <c r="AV174" s="2">
        <f ca="1">IF($AQ174&lt;='Premissas Gerais'!$G$6,(IF(OR(AV$167&gt;=$AQ174,AV$166=0),0,IF(SUM(AV$168:AV173)&lt;1,10%,0))),0%)</f>
        <v>0</v>
      </c>
      <c r="AW174" s="2">
        <f>IF($AQ174&lt;='Premissas Gerais'!$G$6,(IF(OR(AW$167&gt;=$AQ174,AW$166=0),0,IF(SUM(AW$168:AW173)&lt;1,10%,0))),0%)</f>
        <v>0</v>
      </c>
      <c r="AX174" s="2">
        <f>IF($AQ174&lt;='Premissas Gerais'!$G$6,(IF(OR(AX$167&gt;=$AQ174,AX$166=0),0,IF(SUM(AX$168:AX173)&lt;1,10%,0))),0%)</f>
        <v>0</v>
      </c>
      <c r="AY174" s="2">
        <f>IF($AQ174&lt;='Premissas Gerais'!$G$6,(IF(OR(AY$167&gt;=$AQ174,AY$166=0),0,IF(SUM(AY$168:AY173)&lt;1,10%,0))),0%)</f>
        <v>0</v>
      </c>
      <c r="AZ174" s="2">
        <f>IF($AQ174&lt;='Premissas Gerais'!$G$6,(IF(OR(AZ$167&gt;=$AQ174,AZ$166=0),0,IF(SUM(AZ$168:AZ173)&lt;1,10%,0))),0%)</f>
        <v>0</v>
      </c>
      <c r="BA174" s="2">
        <f ca="1">IF($AQ174&lt;='Premissas Gerais'!$G$6,(IF(OR(BA$167&gt;=$AQ174,BA$166=0),0,IF(SUM(BA$168:BA173)&lt;1,10%,0))),0%)</f>
        <v>0</v>
      </c>
      <c r="BB174" s="2">
        <f>IF($AQ174&lt;='Premissas Gerais'!$G$6,(IF(OR(BB$167&gt;=$AQ174,BB$166=0),0,IF(SUM(BB$168:BB173)&lt;1,10%,0))),0%)</f>
        <v>0</v>
      </c>
      <c r="BC174" s="2">
        <f>IF($AQ174&lt;='Premissas Gerais'!$G$6,(IF(OR(BC$167&gt;=$AQ174,BC$166=0),0,IF(SUM(BC$168:BC173)&lt;1,10%,0))),0%)</f>
        <v>0</v>
      </c>
      <c r="BD174" s="2">
        <f>IF($AQ174&lt;='Premissas Gerais'!$G$6,(IF(OR(BD$167&gt;=$AQ174,BD$166=0),0,IF(SUM(BD$168:BD173)&lt;1,10%,0))),0%)</f>
        <v>0</v>
      </c>
      <c r="BE174" s="2">
        <f>IF($AQ174&lt;='Premissas Gerais'!$G$6,(IF(OR(BE$167&gt;=$AQ174,BE$166=0),0,IF(SUM(BE$168:BE173)&lt;1,10%,0))),0%)</f>
        <v>0</v>
      </c>
      <c r="BF174" s="2">
        <f ca="1">IF($AQ174&lt;='Premissas Gerais'!$G$6,(IF(OR(BF$167&gt;=$AQ174,BF$166=0),0,IF(SUM(BF$168:BF173)&lt;1,10%,0))),0%)</f>
        <v>0</v>
      </c>
      <c r="BG174" s="2">
        <f>IF($AQ174&lt;='Premissas Gerais'!$G$6,(IF(OR(BG$167&gt;=$AQ174,BG$166=0),0,IF(SUM(BG$168:BG173)&lt;1,10%,0))),0%)</f>
        <v>0</v>
      </c>
      <c r="BH174" s="2">
        <f>IF($AQ174&lt;='Premissas Gerais'!$G$6,(IF(OR(BH$167&gt;=$AQ174,BH$166=0),0,IF(SUM(BH$168:BH173)&lt;1,10%,0))),0%)</f>
        <v>0</v>
      </c>
      <c r="BI174" s="2">
        <f>IF($AQ174&lt;='Premissas Gerais'!$G$6,(IF(OR(BI$167&gt;=$AQ174,BI$166=0),0,IF(SUM(BI$168:BI173)&lt;1,10%,0))),0%)</f>
        <v>0</v>
      </c>
      <c r="BJ174" s="2">
        <f>IF($AQ174&lt;='Premissas Gerais'!$G$6,(IF(OR(BJ$167&gt;=$AQ174,BJ$166=0),0,IF(SUM(BJ$168:BJ173)&lt;1,10%,0))),0%)</f>
        <v>0</v>
      </c>
      <c r="BK174" s="2">
        <f ca="1">IF($AQ174&lt;='Premissas Gerais'!$G$6,(IF(OR(BK$167&gt;=$AQ174,BK$166=0),0,IF(SUM(BK$168:BK173)&lt;1,10%,0))),0%)</f>
        <v>0</v>
      </c>
      <c r="BL174" s="2">
        <f>IF($AQ174&lt;='Premissas Gerais'!$G$6,(IF(OR(BL$167&gt;=$AQ174,BL$166=0),0,IF(SUM(BL$168:BL173)&lt;1,10%,0))),0%)</f>
        <v>0</v>
      </c>
      <c r="BM174" s="2">
        <f>IF($AQ174&lt;='Premissas Gerais'!$G$6,(IF(OR(BM$167&gt;=$AQ174,BM$166=0),0,IF(SUM(BM$168:BM173)&lt;1,10%,0))),0%)</f>
        <v>0</v>
      </c>
      <c r="BN174" s="2">
        <f>IF($AQ174&lt;='Premissas Gerais'!$G$6,(IF(OR(BN$167&gt;=$AQ174,BN$166=0),0,IF(SUM(BN$168:BN173)&lt;1,10%,0))),0%)</f>
        <v>0</v>
      </c>
      <c r="BO174" s="2">
        <f>IF($AQ174&lt;='Premissas Gerais'!$G$6,(IF(OR(BO$167&gt;=$AQ174,BO$166=0),0,IF(SUM(BO$168:BO173)&lt;1,10%,0))),0%)</f>
        <v>0</v>
      </c>
      <c r="BP174" s="2">
        <f ca="1">IF($AQ174&lt;='Premissas Gerais'!$G$6,(IF(OR(BP$167&gt;=$AQ174,BP$166=0),0,IF(SUM(BP$168:BP173)&lt;1,10%,0))),0%)</f>
        <v>0</v>
      </c>
      <c r="BQ174" s="2">
        <f>IF($AQ174&lt;='Premissas Gerais'!$G$6,(IF(OR(BQ$167&gt;=$AQ174,BQ$166=0),0,IF(SUM(BQ$168:BQ173)&lt;1,10%,0))),0%)</f>
        <v>0</v>
      </c>
      <c r="BR174" s="2">
        <f>IF($AQ174&lt;='Premissas Gerais'!$G$6,(IF(OR(BR$167&gt;=$AQ174,BR$166=0),0,IF(SUM(BR$168:BR173)&lt;1,10%,0))),0%)</f>
        <v>0</v>
      </c>
      <c r="BS174" s="2">
        <f>IF($AQ174&lt;='Premissas Gerais'!$G$6,(IF(OR(BS$167&gt;=$AQ174,BS$166=0),0,IF(SUM(BS$168:BS173)&lt;1,10%,0))),0%)</f>
        <v>0</v>
      </c>
      <c r="BT174" s="2">
        <f>IF($AQ174&lt;='Premissas Gerais'!$G$6,(IF(OR(BT$167&gt;=$AQ174,BT$166=0),0,IF(SUM(BT$168:BT173)&lt;1,10%,0))),0%)</f>
        <v>0</v>
      </c>
      <c r="BU174" s="2">
        <f ca="1">IF($AQ174&lt;='Premissas Gerais'!$G$6,(IF(OR(BU$167&gt;=$AQ174,BU$166=0),0,IF(SUM(BU$168:BU173)&lt;1,10%,0))),0%)</f>
        <v>0</v>
      </c>
      <c r="BV174" s="2">
        <f>IF($AQ174&lt;='Premissas Gerais'!$G$6,(IF(OR(BV$167&gt;=$AQ174,BV$166=0),0,IF(SUM(BV$168:BV173)&lt;1,10%,0))),0%)</f>
        <v>0</v>
      </c>
      <c r="BW174" s="2">
        <f>IF($AQ174&lt;='Premissas Gerais'!$G$6,(IF(OR(BW$167&gt;=$AQ174,BW$166=0),0,IF(SUM(BW$168:BW173)&lt;1,10%,0))),0%)</f>
        <v>0</v>
      </c>
      <c r="BX174" s="2">
        <f>IF($AQ174&lt;='Premissas Gerais'!$G$6,(IF(OR(BX$167&gt;=$AQ174,BX$166=0),0,IF(SUM(BX$168:BX173)&lt;1,10%,0))),0%)</f>
        <v>0</v>
      </c>
      <c r="BY174" s="2">
        <f>IF($AQ174&lt;='Premissas Gerais'!$G$6,(IF(OR(BY$167&gt;=$AQ174,BY$166=0),0,IF(SUM(BY$168:BY173)&lt;1,10%,0))),0%)</f>
        <v>0</v>
      </c>
      <c r="BZ174" s="2">
        <f>IF($AQ174&lt;='Premissas Gerais'!$G$6,(IF(OR(BZ$167&gt;=$AQ174,BZ$166=0),0,IF(SUM(BZ$168:BZ173)&lt;1,10%,0))),0%)</f>
        <v>0</v>
      </c>
    </row>
    <row r="175" spans="2:78" outlineLevel="1">
      <c r="C175" s="155">
        <v>6</v>
      </c>
      <c r="E175" s="133">
        <f ca="1">IF(C175&lt;='Premissas Gerais'!$G$6,SUM(F175:AN175),0)</f>
        <v>0</v>
      </c>
      <c r="F175" s="4">
        <f t="shared" si="93"/>
        <v>0</v>
      </c>
      <c r="G175" s="4">
        <f t="shared" si="94"/>
        <v>0</v>
      </c>
      <c r="H175" s="4">
        <f t="shared" si="95"/>
        <v>0</v>
      </c>
      <c r="I175" s="4">
        <f t="shared" si="96"/>
        <v>0</v>
      </c>
      <c r="J175" s="4">
        <f t="shared" ca="1" si="97"/>
        <v>0</v>
      </c>
      <c r="K175" s="4">
        <f t="shared" si="98"/>
        <v>0</v>
      </c>
      <c r="L175" s="4">
        <f t="shared" si="99"/>
        <v>0</v>
      </c>
      <c r="M175" s="4">
        <f t="shared" si="100"/>
        <v>0</v>
      </c>
      <c r="N175" s="4">
        <f t="shared" si="101"/>
        <v>0</v>
      </c>
      <c r="O175" s="4">
        <f t="shared" ca="1" si="102"/>
        <v>0</v>
      </c>
      <c r="P175" s="4">
        <f t="shared" si="103"/>
        <v>0</v>
      </c>
      <c r="Q175" s="4">
        <f t="shared" si="104"/>
        <v>0</v>
      </c>
      <c r="R175" s="4">
        <f t="shared" si="105"/>
        <v>0</v>
      </c>
      <c r="S175" s="4">
        <f t="shared" si="106"/>
        <v>0</v>
      </c>
      <c r="T175" s="4">
        <f t="shared" ca="1" si="107"/>
        <v>0</v>
      </c>
      <c r="U175" s="4">
        <f t="shared" si="108"/>
        <v>0</v>
      </c>
      <c r="V175" s="4">
        <f t="shared" si="109"/>
        <v>0</v>
      </c>
      <c r="W175" s="4">
        <f t="shared" si="110"/>
        <v>0</v>
      </c>
      <c r="X175" s="4">
        <f t="shared" si="111"/>
        <v>0</v>
      </c>
      <c r="Y175" s="4">
        <f t="shared" ca="1" si="112"/>
        <v>0</v>
      </c>
      <c r="Z175" s="4">
        <f t="shared" si="113"/>
        <v>0</v>
      </c>
      <c r="AA175" s="4">
        <f t="shared" si="114"/>
        <v>0</v>
      </c>
      <c r="AB175" s="4">
        <f t="shared" si="115"/>
        <v>0</v>
      </c>
      <c r="AC175" s="4">
        <f t="shared" si="116"/>
        <v>0</v>
      </c>
      <c r="AD175" s="4">
        <f t="shared" ca="1" si="117"/>
        <v>0</v>
      </c>
      <c r="AE175" s="4">
        <f t="shared" si="118"/>
        <v>0</v>
      </c>
      <c r="AF175" s="4">
        <f t="shared" si="119"/>
        <v>0</v>
      </c>
      <c r="AG175" s="4">
        <f t="shared" si="120"/>
        <v>0</v>
      </c>
      <c r="AH175" s="4">
        <f t="shared" si="121"/>
        <v>0</v>
      </c>
      <c r="AI175" s="4">
        <f t="shared" ca="1" si="122"/>
        <v>0</v>
      </c>
      <c r="AJ175" s="4">
        <f t="shared" si="123"/>
        <v>0</v>
      </c>
      <c r="AK175" s="4">
        <f t="shared" si="124"/>
        <v>0</v>
      </c>
      <c r="AL175" s="4">
        <f t="shared" si="125"/>
        <v>0</v>
      </c>
      <c r="AM175" s="4">
        <f t="shared" si="126"/>
        <v>0</v>
      </c>
      <c r="AN175" s="4">
        <f t="shared" si="127"/>
        <v>0</v>
      </c>
      <c r="AP175" s="180">
        <f>IF(AQ175&lt;='Premissas Gerais'!$G$6,1,0)</f>
        <v>1</v>
      </c>
      <c r="AQ175" s="1">
        <v>7</v>
      </c>
      <c r="AR175" s="2">
        <f>IF($AQ175&lt;='Premissas Gerais'!$G$6,(IF(OR(AR$167&gt;=$AQ175,AR$166=0),0,IF(SUM(AR$168:AR174)&lt;1,10%,0))),0%)</f>
        <v>0</v>
      </c>
      <c r="AS175" s="2">
        <f>IF($AQ175&lt;='Premissas Gerais'!$G$6,(IF(OR(AS$167&gt;=$AQ175,AS$166=0),0,IF(SUM(AS$168:AS174)&lt;1,10%,0))),0%)</f>
        <v>0</v>
      </c>
      <c r="AT175" s="2">
        <f>IF($AQ175&lt;='Premissas Gerais'!$G$6,(IF(OR(AT$167&gt;=$AQ175,AT$166=0),0,IF(SUM(AT$168:AT174)&lt;1,10%,0))),0%)</f>
        <v>0</v>
      </c>
      <c r="AU175" s="2">
        <f>IF($AQ175&lt;='Premissas Gerais'!$G$6,(IF(OR(AU$167&gt;=$AQ175,AU$166=0),0,IF(SUM(AU$168:AU174)&lt;1,10%,0))),0%)</f>
        <v>0</v>
      </c>
      <c r="AV175" s="2">
        <f ca="1">IF($AQ175&lt;='Premissas Gerais'!$G$6,(IF(OR(AV$167&gt;=$AQ175,AV$166=0),0,IF(SUM(AV$168:AV174)&lt;1,10%,0))),0%)</f>
        <v>0</v>
      </c>
      <c r="AW175" s="2">
        <f>IF($AQ175&lt;='Premissas Gerais'!$G$6,(IF(OR(AW$167&gt;=$AQ175,AW$166=0),0,IF(SUM(AW$168:AW174)&lt;1,10%,0))),0%)</f>
        <v>0</v>
      </c>
      <c r="AX175" s="2">
        <f>IF($AQ175&lt;='Premissas Gerais'!$G$6,(IF(OR(AX$167&gt;=$AQ175,AX$166=0),0,IF(SUM(AX$168:AX174)&lt;1,10%,0))),0%)</f>
        <v>0</v>
      </c>
      <c r="AY175" s="2">
        <f>IF($AQ175&lt;='Premissas Gerais'!$G$6,(IF(OR(AY$167&gt;=$AQ175,AY$166=0),0,IF(SUM(AY$168:AY174)&lt;1,10%,0))),0%)</f>
        <v>0</v>
      </c>
      <c r="AZ175" s="2">
        <f>IF($AQ175&lt;='Premissas Gerais'!$G$6,(IF(OR(AZ$167&gt;=$AQ175,AZ$166=0),0,IF(SUM(AZ$168:AZ174)&lt;1,10%,0))),0%)</f>
        <v>0</v>
      </c>
      <c r="BA175" s="2">
        <f ca="1">IF($AQ175&lt;='Premissas Gerais'!$G$6,(IF(OR(BA$167&gt;=$AQ175,BA$166=0),0,IF(SUM(BA$168:BA174)&lt;1,10%,0))),0%)</f>
        <v>0</v>
      </c>
      <c r="BB175" s="2">
        <f>IF($AQ175&lt;='Premissas Gerais'!$G$6,(IF(OR(BB$167&gt;=$AQ175,BB$166=0),0,IF(SUM(BB$168:BB174)&lt;1,10%,0))),0%)</f>
        <v>0</v>
      </c>
      <c r="BC175" s="2">
        <f>IF($AQ175&lt;='Premissas Gerais'!$G$6,(IF(OR(BC$167&gt;=$AQ175,BC$166=0),0,IF(SUM(BC$168:BC174)&lt;1,10%,0))),0%)</f>
        <v>0</v>
      </c>
      <c r="BD175" s="2">
        <f>IF($AQ175&lt;='Premissas Gerais'!$G$6,(IF(OR(BD$167&gt;=$AQ175,BD$166=0),0,IF(SUM(BD$168:BD174)&lt;1,10%,0))),0%)</f>
        <v>0</v>
      </c>
      <c r="BE175" s="2">
        <f>IF($AQ175&lt;='Premissas Gerais'!$G$6,(IF(OR(BE$167&gt;=$AQ175,BE$166=0),0,IF(SUM(BE$168:BE174)&lt;1,10%,0))),0%)</f>
        <v>0</v>
      </c>
      <c r="BF175" s="2">
        <f ca="1">IF($AQ175&lt;='Premissas Gerais'!$G$6,(IF(OR(BF$167&gt;=$AQ175,BF$166=0),0,IF(SUM(BF$168:BF174)&lt;1,10%,0))),0%)</f>
        <v>0</v>
      </c>
      <c r="BG175" s="2">
        <f>IF($AQ175&lt;='Premissas Gerais'!$G$6,(IF(OR(BG$167&gt;=$AQ175,BG$166=0),0,IF(SUM(BG$168:BG174)&lt;1,10%,0))),0%)</f>
        <v>0</v>
      </c>
      <c r="BH175" s="2">
        <f>IF($AQ175&lt;='Premissas Gerais'!$G$6,(IF(OR(BH$167&gt;=$AQ175,BH$166=0),0,IF(SUM(BH$168:BH174)&lt;1,10%,0))),0%)</f>
        <v>0</v>
      </c>
      <c r="BI175" s="2">
        <f>IF($AQ175&lt;='Premissas Gerais'!$G$6,(IF(OR(BI$167&gt;=$AQ175,BI$166=0),0,IF(SUM(BI$168:BI174)&lt;1,10%,0))),0%)</f>
        <v>0</v>
      </c>
      <c r="BJ175" s="2">
        <f>IF($AQ175&lt;='Premissas Gerais'!$G$6,(IF(OR(BJ$167&gt;=$AQ175,BJ$166=0),0,IF(SUM(BJ$168:BJ174)&lt;1,10%,0))),0%)</f>
        <v>0</v>
      </c>
      <c r="BK175" s="2">
        <f ca="1">IF($AQ175&lt;='Premissas Gerais'!$G$6,(IF(OR(BK$167&gt;=$AQ175,BK$166=0),0,IF(SUM(BK$168:BK174)&lt;1,10%,0))),0%)</f>
        <v>0</v>
      </c>
      <c r="BL175" s="2">
        <f>IF($AQ175&lt;='Premissas Gerais'!$G$6,(IF(OR(BL$167&gt;=$AQ175,BL$166=0),0,IF(SUM(BL$168:BL174)&lt;1,10%,0))),0%)</f>
        <v>0</v>
      </c>
      <c r="BM175" s="2">
        <f>IF($AQ175&lt;='Premissas Gerais'!$G$6,(IF(OR(BM$167&gt;=$AQ175,BM$166=0),0,IF(SUM(BM$168:BM174)&lt;1,10%,0))),0%)</f>
        <v>0</v>
      </c>
      <c r="BN175" s="2">
        <f>IF($AQ175&lt;='Premissas Gerais'!$G$6,(IF(OR(BN$167&gt;=$AQ175,BN$166=0),0,IF(SUM(BN$168:BN174)&lt;1,10%,0))),0%)</f>
        <v>0</v>
      </c>
      <c r="BO175" s="2">
        <f>IF($AQ175&lt;='Premissas Gerais'!$G$6,(IF(OR(BO$167&gt;=$AQ175,BO$166=0),0,IF(SUM(BO$168:BO174)&lt;1,10%,0))),0%)</f>
        <v>0</v>
      </c>
      <c r="BP175" s="2">
        <f ca="1">IF($AQ175&lt;='Premissas Gerais'!$G$6,(IF(OR(BP$167&gt;=$AQ175,BP$166=0),0,IF(SUM(BP$168:BP174)&lt;1,10%,0))),0%)</f>
        <v>0</v>
      </c>
      <c r="BQ175" s="2">
        <f>IF($AQ175&lt;='Premissas Gerais'!$G$6,(IF(OR(BQ$167&gt;=$AQ175,BQ$166=0),0,IF(SUM(BQ$168:BQ174)&lt;1,10%,0))),0%)</f>
        <v>0</v>
      </c>
      <c r="BR175" s="2">
        <f>IF($AQ175&lt;='Premissas Gerais'!$G$6,(IF(OR(BR$167&gt;=$AQ175,BR$166=0),0,IF(SUM(BR$168:BR174)&lt;1,10%,0))),0%)</f>
        <v>0</v>
      </c>
      <c r="BS175" s="2">
        <f>IF($AQ175&lt;='Premissas Gerais'!$G$6,(IF(OR(BS$167&gt;=$AQ175,BS$166=0),0,IF(SUM(BS$168:BS174)&lt;1,10%,0))),0%)</f>
        <v>0</v>
      </c>
      <c r="BT175" s="2">
        <f>IF($AQ175&lt;='Premissas Gerais'!$G$6,(IF(OR(BT$167&gt;=$AQ175,BT$166=0),0,IF(SUM(BT$168:BT174)&lt;1,10%,0))),0%)</f>
        <v>0</v>
      </c>
      <c r="BU175" s="2">
        <f ca="1">IF($AQ175&lt;='Premissas Gerais'!$G$6,(IF(OR(BU$167&gt;=$AQ175,BU$166=0),0,IF(SUM(BU$168:BU174)&lt;1,10%,0))),0%)</f>
        <v>0</v>
      </c>
      <c r="BV175" s="2">
        <f>IF($AQ175&lt;='Premissas Gerais'!$G$6,(IF(OR(BV$167&gt;=$AQ175,BV$166=0),0,IF(SUM(BV$168:BV174)&lt;1,10%,0))),0%)</f>
        <v>0</v>
      </c>
      <c r="BW175" s="2">
        <f>IF($AQ175&lt;='Premissas Gerais'!$G$6,(IF(OR(BW$167&gt;=$AQ175,BW$166=0),0,IF(SUM(BW$168:BW174)&lt;1,10%,0))),0%)</f>
        <v>0</v>
      </c>
      <c r="BX175" s="2">
        <f>IF($AQ175&lt;='Premissas Gerais'!$G$6,(IF(OR(BX$167&gt;=$AQ175,BX$166=0),0,IF(SUM(BX$168:BX174)&lt;1,10%,0))),0%)</f>
        <v>0</v>
      </c>
      <c r="BY175" s="2">
        <f>IF($AQ175&lt;='Premissas Gerais'!$G$6,(IF(OR(BY$167&gt;=$AQ175,BY$166=0),0,IF(SUM(BY$168:BY174)&lt;1,10%,0))),0%)</f>
        <v>0</v>
      </c>
      <c r="BZ175" s="2">
        <f>IF($AQ175&lt;='Premissas Gerais'!$G$6,(IF(OR(BZ$167&gt;=$AQ175,BZ$166=0),0,IF(SUM(BZ$168:BZ174)&lt;1,10%,0))),0%)</f>
        <v>0</v>
      </c>
    </row>
    <row r="176" spans="2:78" outlineLevel="1">
      <c r="C176" s="155">
        <v>7</v>
      </c>
      <c r="E176" s="133">
        <f ca="1">IF(C176&lt;='Premissas Gerais'!$G$6,SUM(F176:AN176),0)</f>
        <v>0</v>
      </c>
      <c r="F176" s="4">
        <f t="shared" si="93"/>
        <v>0</v>
      </c>
      <c r="G176" s="4">
        <f t="shared" si="94"/>
        <v>0</v>
      </c>
      <c r="H176" s="4">
        <f t="shared" si="95"/>
        <v>0</v>
      </c>
      <c r="I176" s="4">
        <f t="shared" si="96"/>
        <v>0</v>
      </c>
      <c r="J176" s="4">
        <f t="shared" ca="1" si="97"/>
        <v>0</v>
      </c>
      <c r="K176" s="4">
        <f t="shared" si="98"/>
        <v>0</v>
      </c>
      <c r="L176" s="4">
        <f t="shared" si="99"/>
        <v>0</v>
      </c>
      <c r="M176" s="4">
        <f t="shared" si="100"/>
        <v>0</v>
      </c>
      <c r="N176" s="4">
        <f t="shared" si="101"/>
        <v>0</v>
      </c>
      <c r="O176" s="4">
        <f t="shared" ca="1" si="102"/>
        <v>0</v>
      </c>
      <c r="P176" s="4">
        <f t="shared" si="103"/>
        <v>0</v>
      </c>
      <c r="Q176" s="4">
        <f t="shared" si="104"/>
        <v>0</v>
      </c>
      <c r="R176" s="4">
        <f t="shared" si="105"/>
        <v>0</v>
      </c>
      <c r="S176" s="4">
        <f t="shared" si="106"/>
        <v>0</v>
      </c>
      <c r="T176" s="4">
        <f t="shared" ca="1" si="107"/>
        <v>0</v>
      </c>
      <c r="U176" s="4">
        <f t="shared" si="108"/>
        <v>0</v>
      </c>
      <c r="V176" s="4">
        <f t="shared" si="109"/>
        <v>0</v>
      </c>
      <c r="W176" s="4">
        <f t="shared" si="110"/>
        <v>0</v>
      </c>
      <c r="X176" s="4">
        <f t="shared" si="111"/>
        <v>0</v>
      </c>
      <c r="Y176" s="4">
        <f t="shared" ca="1" si="112"/>
        <v>0</v>
      </c>
      <c r="Z176" s="4">
        <f t="shared" si="113"/>
        <v>0</v>
      </c>
      <c r="AA176" s="4">
        <f t="shared" si="114"/>
        <v>0</v>
      </c>
      <c r="AB176" s="4">
        <f t="shared" si="115"/>
        <v>0</v>
      </c>
      <c r="AC176" s="4">
        <f t="shared" si="116"/>
        <v>0</v>
      </c>
      <c r="AD176" s="4">
        <f t="shared" ca="1" si="117"/>
        <v>0</v>
      </c>
      <c r="AE176" s="4">
        <f t="shared" si="118"/>
        <v>0</v>
      </c>
      <c r="AF176" s="4">
        <f t="shared" si="119"/>
        <v>0</v>
      </c>
      <c r="AG176" s="4">
        <f t="shared" si="120"/>
        <v>0</v>
      </c>
      <c r="AH176" s="4">
        <f t="shared" si="121"/>
        <v>0</v>
      </c>
      <c r="AI176" s="4">
        <f t="shared" ca="1" si="122"/>
        <v>0</v>
      </c>
      <c r="AJ176" s="4">
        <f t="shared" si="123"/>
        <v>0</v>
      </c>
      <c r="AK176" s="4">
        <f t="shared" si="124"/>
        <v>0</v>
      </c>
      <c r="AL176" s="4">
        <f t="shared" si="125"/>
        <v>0</v>
      </c>
      <c r="AM176" s="4">
        <f t="shared" si="126"/>
        <v>0</v>
      </c>
      <c r="AN176" s="4">
        <f t="shared" si="127"/>
        <v>0</v>
      </c>
      <c r="AP176" s="180">
        <f>IF(AQ176&lt;='Premissas Gerais'!$G$6,1,0)</f>
        <v>1</v>
      </c>
      <c r="AQ176" s="1">
        <v>8</v>
      </c>
      <c r="AR176" s="2">
        <f>IF($AQ176&lt;='Premissas Gerais'!$G$6,(IF(OR(AR$167&gt;=$AQ176,AR$166=0),0,IF(SUM(AR$168:AR175)&lt;1,10%,0))),0%)</f>
        <v>0</v>
      </c>
      <c r="AS176" s="2">
        <f>IF($AQ176&lt;='Premissas Gerais'!$G$6,(IF(OR(AS$167&gt;=$AQ176,AS$166=0),0,IF(SUM(AS$168:AS175)&lt;1,10%,0))),0%)</f>
        <v>0</v>
      </c>
      <c r="AT176" s="2">
        <f>IF($AQ176&lt;='Premissas Gerais'!$G$6,(IF(OR(AT$167&gt;=$AQ176,AT$166=0),0,IF(SUM(AT$168:AT175)&lt;1,10%,0))),0%)</f>
        <v>0</v>
      </c>
      <c r="AU176" s="2">
        <f>IF($AQ176&lt;='Premissas Gerais'!$G$6,(IF(OR(AU$167&gt;=$AQ176,AU$166=0),0,IF(SUM(AU$168:AU175)&lt;1,10%,0))),0%)</f>
        <v>0</v>
      </c>
      <c r="AV176" s="2">
        <f ca="1">IF($AQ176&lt;='Premissas Gerais'!$G$6,(IF(OR(AV$167&gt;=$AQ176,AV$166=0),0,IF(SUM(AV$168:AV175)&lt;1,10%,0))),0%)</f>
        <v>0</v>
      </c>
      <c r="AW176" s="2">
        <f>IF($AQ176&lt;='Premissas Gerais'!$G$6,(IF(OR(AW$167&gt;=$AQ176,AW$166=0),0,IF(SUM(AW$168:AW175)&lt;1,10%,0))),0%)</f>
        <v>0</v>
      </c>
      <c r="AX176" s="2">
        <f>IF($AQ176&lt;='Premissas Gerais'!$G$6,(IF(OR(AX$167&gt;=$AQ176,AX$166=0),0,IF(SUM(AX$168:AX175)&lt;1,10%,0))),0%)</f>
        <v>0</v>
      </c>
      <c r="AY176" s="2">
        <f>IF($AQ176&lt;='Premissas Gerais'!$G$6,(IF(OR(AY$167&gt;=$AQ176,AY$166=0),0,IF(SUM(AY$168:AY175)&lt;1,10%,0))),0%)</f>
        <v>0</v>
      </c>
      <c r="AZ176" s="2">
        <f>IF($AQ176&lt;='Premissas Gerais'!$G$6,(IF(OR(AZ$167&gt;=$AQ176,AZ$166=0),0,IF(SUM(AZ$168:AZ175)&lt;1,10%,0))),0%)</f>
        <v>0</v>
      </c>
      <c r="BA176" s="2">
        <f ca="1">IF($AQ176&lt;='Premissas Gerais'!$G$6,(IF(OR(BA$167&gt;=$AQ176,BA$166=0),0,IF(SUM(BA$168:BA175)&lt;1,10%,0))),0%)</f>
        <v>0</v>
      </c>
      <c r="BB176" s="2">
        <f>IF($AQ176&lt;='Premissas Gerais'!$G$6,(IF(OR(BB$167&gt;=$AQ176,BB$166=0),0,IF(SUM(BB$168:BB175)&lt;1,10%,0))),0%)</f>
        <v>0</v>
      </c>
      <c r="BC176" s="2">
        <f>IF($AQ176&lt;='Premissas Gerais'!$G$6,(IF(OR(BC$167&gt;=$AQ176,BC$166=0),0,IF(SUM(BC$168:BC175)&lt;1,10%,0))),0%)</f>
        <v>0</v>
      </c>
      <c r="BD176" s="2">
        <f>IF($AQ176&lt;='Premissas Gerais'!$G$6,(IF(OR(BD$167&gt;=$AQ176,BD$166=0),0,IF(SUM(BD$168:BD175)&lt;1,10%,0))),0%)</f>
        <v>0</v>
      </c>
      <c r="BE176" s="2">
        <f>IF($AQ176&lt;='Premissas Gerais'!$G$6,(IF(OR(BE$167&gt;=$AQ176,BE$166=0),0,IF(SUM(BE$168:BE175)&lt;1,10%,0))),0%)</f>
        <v>0</v>
      </c>
      <c r="BF176" s="2">
        <f ca="1">IF($AQ176&lt;='Premissas Gerais'!$G$6,(IF(OR(BF$167&gt;=$AQ176,BF$166=0),0,IF(SUM(BF$168:BF175)&lt;1,10%,0))),0%)</f>
        <v>0</v>
      </c>
      <c r="BG176" s="2">
        <f>IF($AQ176&lt;='Premissas Gerais'!$G$6,(IF(OR(BG$167&gt;=$AQ176,BG$166=0),0,IF(SUM(BG$168:BG175)&lt;1,10%,0))),0%)</f>
        <v>0</v>
      </c>
      <c r="BH176" s="2">
        <f>IF($AQ176&lt;='Premissas Gerais'!$G$6,(IF(OR(BH$167&gt;=$AQ176,BH$166=0),0,IF(SUM(BH$168:BH175)&lt;1,10%,0))),0%)</f>
        <v>0</v>
      </c>
      <c r="BI176" s="2">
        <f>IF($AQ176&lt;='Premissas Gerais'!$G$6,(IF(OR(BI$167&gt;=$AQ176,BI$166=0),0,IF(SUM(BI$168:BI175)&lt;1,10%,0))),0%)</f>
        <v>0</v>
      </c>
      <c r="BJ176" s="2">
        <f>IF($AQ176&lt;='Premissas Gerais'!$G$6,(IF(OR(BJ$167&gt;=$AQ176,BJ$166=0),0,IF(SUM(BJ$168:BJ175)&lt;1,10%,0))),0%)</f>
        <v>0</v>
      </c>
      <c r="BK176" s="2">
        <f ca="1">IF($AQ176&lt;='Premissas Gerais'!$G$6,(IF(OR(BK$167&gt;=$AQ176,BK$166=0),0,IF(SUM(BK$168:BK175)&lt;1,10%,0))),0%)</f>
        <v>0</v>
      </c>
      <c r="BL176" s="2">
        <f>IF($AQ176&lt;='Premissas Gerais'!$G$6,(IF(OR(BL$167&gt;=$AQ176,BL$166=0),0,IF(SUM(BL$168:BL175)&lt;1,10%,0))),0%)</f>
        <v>0</v>
      </c>
      <c r="BM176" s="2">
        <f>IF($AQ176&lt;='Premissas Gerais'!$G$6,(IF(OR(BM$167&gt;=$AQ176,BM$166=0),0,IF(SUM(BM$168:BM175)&lt;1,10%,0))),0%)</f>
        <v>0</v>
      </c>
      <c r="BN176" s="2">
        <f>IF($AQ176&lt;='Premissas Gerais'!$G$6,(IF(OR(BN$167&gt;=$AQ176,BN$166=0),0,IF(SUM(BN$168:BN175)&lt;1,10%,0))),0%)</f>
        <v>0</v>
      </c>
      <c r="BO176" s="2">
        <f>IF($AQ176&lt;='Premissas Gerais'!$G$6,(IF(OR(BO$167&gt;=$AQ176,BO$166=0),0,IF(SUM(BO$168:BO175)&lt;1,10%,0))),0%)</f>
        <v>0</v>
      </c>
      <c r="BP176" s="2">
        <f ca="1">IF($AQ176&lt;='Premissas Gerais'!$G$6,(IF(OR(BP$167&gt;=$AQ176,BP$166=0),0,IF(SUM(BP$168:BP175)&lt;1,10%,0))),0%)</f>
        <v>0</v>
      </c>
      <c r="BQ176" s="2">
        <f>IF($AQ176&lt;='Premissas Gerais'!$G$6,(IF(OR(BQ$167&gt;=$AQ176,BQ$166=0),0,IF(SUM(BQ$168:BQ175)&lt;1,10%,0))),0%)</f>
        <v>0</v>
      </c>
      <c r="BR176" s="2">
        <f>IF($AQ176&lt;='Premissas Gerais'!$G$6,(IF(OR(BR$167&gt;=$AQ176,BR$166=0),0,IF(SUM(BR$168:BR175)&lt;1,10%,0))),0%)</f>
        <v>0</v>
      </c>
      <c r="BS176" s="2">
        <f>IF($AQ176&lt;='Premissas Gerais'!$G$6,(IF(OR(BS$167&gt;=$AQ176,BS$166=0),0,IF(SUM(BS$168:BS175)&lt;1,10%,0))),0%)</f>
        <v>0</v>
      </c>
      <c r="BT176" s="2">
        <f>IF($AQ176&lt;='Premissas Gerais'!$G$6,(IF(OR(BT$167&gt;=$AQ176,BT$166=0),0,IF(SUM(BT$168:BT175)&lt;1,10%,0))),0%)</f>
        <v>0</v>
      </c>
      <c r="BU176" s="2">
        <f ca="1">IF($AQ176&lt;='Premissas Gerais'!$G$6,(IF(OR(BU$167&gt;=$AQ176,BU$166=0),0,IF(SUM(BU$168:BU175)&lt;1,10%,0))),0%)</f>
        <v>0</v>
      </c>
      <c r="BV176" s="2">
        <f>IF($AQ176&lt;='Premissas Gerais'!$G$6,(IF(OR(BV$167&gt;=$AQ176,BV$166=0),0,IF(SUM(BV$168:BV175)&lt;1,10%,0))),0%)</f>
        <v>0</v>
      </c>
      <c r="BW176" s="2">
        <f>IF($AQ176&lt;='Premissas Gerais'!$G$6,(IF(OR(BW$167&gt;=$AQ176,BW$166=0),0,IF(SUM(BW$168:BW175)&lt;1,10%,0))),0%)</f>
        <v>0</v>
      </c>
      <c r="BX176" s="2">
        <f>IF($AQ176&lt;='Premissas Gerais'!$G$6,(IF(OR(BX$167&gt;=$AQ176,BX$166=0),0,IF(SUM(BX$168:BX175)&lt;1,10%,0))),0%)</f>
        <v>0</v>
      </c>
      <c r="BY176" s="2">
        <f>IF($AQ176&lt;='Premissas Gerais'!$G$6,(IF(OR(BY$167&gt;=$AQ176,BY$166=0),0,IF(SUM(BY$168:BY175)&lt;1,10%,0))),0%)</f>
        <v>0</v>
      </c>
      <c r="BZ176" s="2">
        <f>IF($AQ176&lt;='Premissas Gerais'!$G$6,(IF(OR(BZ$167&gt;=$AQ176,BZ$166=0),0,IF(SUM(BZ$168:BZ175)&lt;1,10%,0))),0%)</f>
        <v>0</v>
      </c>
    </row>
    <row r="177" spans="3:78" outlineLevel="1">
      <c r="C177" s="155">
        <v>8</v>
      </c>
      <c r="E177" s="133">
        <f ca="1">IF(C177&lt;='Premissas Gerais'!$G$6,SUM(F177:AN177),0)</f>
        <v>0</v>
      </c>
      <c r="F177" s="4">
        <f t="shared" si="93"/>
        <v>0</v>
      </c>
      <c r="G177" s="4">
        <f t="shared" si="94"/>
        <v>0</v>
      </c>
      <c r="H177" s="4">
        <f t="shared" si="95"/>
        <v>0</v>
      </c>
      <c r="I177" s="4">
        <f t="shared" si="96"/>
        <v>0</v>
      </c>
      <c r="J177" s="4">
        <f t="shared" ca="1" si="97"/>
        <v>0</v>
      </c>
      <c r="K177" s="4">
        <f t="shared" si="98"/>
        <v>0</v>
      </c>
      <c r="L177" s="4">
        <f t="shared" si="99"/>
        <v>0</v>
      </c>
      <c r="M177" s="4">
        <f t="shared" si="100"/>
        <v>0</v>
      </c>
      <c r="N177" s="4">
        <f t="shared" si="101"/>
        <v>0</v>
      </c>
      <c r="O177" s="4">
        <f t="shared" ca="1" si="102"/>
        <v>0</v>
      </c>
      <c r="P177" s="4">
        <f t="shared" si="103"/>
        <v>0</v>
      </c>
      <c r="Q177" s="4">
        <f t="shared" si="104"/>
        <v>0</v>
      </c>
      <c r="R177" s="4">
        <f t="shared" si="105"/>
        <v>0</v>
      </c>
      <c r="S177" s="4">
        <f t="shared" si="106"/>
        <v>0</v>
      </c>
      <c r="T177" s="4">
        <f t="shared" ca="1" si="107"/>
        <v>0</v>
      </c>
      <c r="U177" s="4">
        <f t="shared" si="108"/>
        <v>0</v>
      </c>
      <c r="V177" s="4">
        <f t="shared" si="109"/>
        <v>0</v>
      </c>
      <c r="W177" s="4">
        <f t="shared" si="110"/>
        <v>0</v>
      </c>
      <c r="X177" s="4">
        <f t="shared" si="111"/>
        <v>0</v>
      </c>
      <c r="Y177" s="4">
        <f t="shared" ca="1" si="112"/>
        <v>0</v>
      </c>
      <c r="Z177" s="4">
        <f t="shared" si="113"/>
        <v>0</v>
      </c>
      <c r="AA177" s="4">
        <f t="shared" si="114"/>
        <v>0</v>
      </c>
      <c r="AB177" s="4">
        <f t="shared" si="115"/>
        <v>0</v>
      </c>
      <c r="AC177" s="4">
        <f t="shared" si="116"/>
        <v>0</v>
      </c>
      <c r="AD177" s="4">
        <f t="shared" ca="1" si="117"/>
        <v>0</v>
      </c>
      <c r="AE177" s="4">
        <f t="shared" si="118"/>
        <v>0</v>
      </c>
      <c r="AF177" s="4">
        <f t="shared" si="119"/>
        <v>0</v>
      </c>
      <c r="AG177" s="4">
        <f t="shared" si="120"/>
        <v>0</v>
      </c>
      <c r="AH177" s="4">
        <f t="shared" si="121"/>
        <v>0</v>
      </c>
      <c r="AI177" s="4">
        <f t="shared" ca="1" si="122"/>
        <v>0</v>
      </c>
      <c r="AJ177" s="4">
        <f t="shared" si="123"/>
        <v>0</v>
      </c>
      <c r="AK177" s="4">
        <f t="shared" si="124"/>
        <v>0</v>
      </c>
      <c r="AL177" s="4">
        <f t="shared" si="125"/>
        <v>0</v>
      </c>
      <c r="AM177" s="4">
        <f t="shared" si="126"/>
        <v>0</v>
      </c>
      <c r="AN177" s="4">
        <f t="shared" si="127"/>
        <v>0</v>
      </c>
      <c r="AP177" s="180">
        <f>IF(AQ177&lt;='Premissas Gerais'!$G$6,1,0)</f>
        <v>1</v>
      </c>
      <c r="AQ177" s="1">
        <v>9</v>
      </c>
      <c r="AR177" s="2">
        <f>IF($AQ177&lt;='Premissas Gerais'!$G$6,(IF(OR(AR$167&gt;=$AQ177,AR$166=0),0,IF(SUM(AR$168:AR176)&lt;1,10%,0))),0%)</f>
        <v>0</v>
      </c>
      <c r="AS177" s="2">
        <f>IF($AQ177&lt;='Premissas Gerais'!$G$6,(IF(OR(AS$167&gt;=$AQ177,AS$166=0),0,IF(SUM(AS$168:AS176)&lt;1,10%,0))),0%)</f>
        <v>0</v>
      </c>
      <c r="AT177" s="2">
        <f>IF($AQ177&lt;='Premissas Gerais'!$G$6,(IF(OR(AT$167&gt;=$AQ177,AT$166=0),0,IF(SUM(AT$168:AT176)&lt;1,10%,0))),0%)</f>
        <v>0</v>
      </c>
      <c r="AU177" s="2">
        <f>IF($AQ177&lt;='Premissas Gerais'!$G$6,(IF(OR(AU$167&gt;=$AQ177,AU$166=0),0,IF(SUM(AU$168:AU176)&lt;1,10%,0))),0%)</f>
        <v>0</v>
      </c>
      <c r="AV177" s="2">
        <f ca="1">IF($AQ177&lt;='Premissas Gerais'!$G$6,(IF(OR(AV$167&gt;=$AQ177,AV$166=0),0,IF(SUM(AV$168:AV176)&lt;1,10%,0))),0%)</f>
        <v>0</v>
      </c>
      <c r="AW177" s="2">
        <f>IF($AQ177&lt;='Premissas Gerais'!$G$6,(IF(OR(AW$167&gt;=$AQ177,AW$166=0),0,IF(SUM(AW$168:AW176)&lt;1,10%,0))),0%)</f>
        <v>0</v>
      </c>
      <c r="AX177" s="2">
        <f>IF($AQ177&lt;='Premissas Gerais'!$G$6,(IF(OR(AX$167&gt;=$AQ177,AX$166=0),0,IF(SUM(AX$168:AX176)&lt;1,10%,0))),0%)</f>
        <v>0</v>
      </c>
      <c r="AY177" s="2">
        <f>IF($AQ177&lt;='Premissas Gerais'!$G$6,(IF(OR(AY$167&gt;=$AQ177,AY$166=0),0,IF(SUM(AY$168:AY176)&lt;1,10%,0))),0%)</f>
        <v>0</v>
      </c>
      <c r="AZ177" s="2">
        <f>IF($AQ177&lt;='Premissas Gerais'!$G$6,(IF(OR(AZ$167&gt;=$AQ177,AZ$166=0),0,IF(SUM(AZ$168:AZ176)&lt;1,10%,0))),0%)</f>
        <v>0</v>
      </c>
      <c r="BA177" s="2">
        <f ca="1">IF($AQ177&lt;='Premissas Gerais'!$G$6,(IF(OR(BA$167&gt;=$AQ177,BA$166=0),0,IF(SUM(BA$168:BA176)&lt;1,10%,0))),0%)</f>
        <v>0</v>
      </c>
      <c r="BB177" s="2">
        <f>IF($AQ177&lt;='Premissas Gerais'!$G$6,(IF(OR(BB$167&gt;=$AQ177,BB$166=0),0,IF(SUM(BB$168:BB176)&lt;1,10%,0))),0%)</f>
        <v>0</v>
      </c>
      <c r="BC177" s="2">
        <f>IF($AQ177&lt;='Premissas Gerais'!$G$6,(IF(OR(BC$167&gt;=$AQ177,BC$166=0),0,IF(SUM(BC$168:BC176)&lt;1,10%,0))),0%)</f>
        <v>0</v>
      </c>
      <c r="BD177" s="2">
        <f>IF($AQ177&lt;='Premissas Gerais'!$G$6,(IF(OR(BD$167&gt;=$AQ177,BD$166=0),0,IF(SUM(BD$168:BD176)&lt;1,10%,0))),0%)</f>
        <v>0</v>
      </c>
      <c r="BE177" s="2">
        <f>IF($AQ177&lt;='Premissas Gerais'!$G$6,(IF(OR(BE$167&gt;=$AQ177,BE$166=0),0,IF(SUM(BE$168:BE176)&lt;1,10%,0))),0%)</f>
        <v>0</v>
      </c>
      <c r="BF177" s="2">
        <f ca="1">IF($AQ177&lt;='Premissas Gerais'!$G$6,(IF(OR(BF$167&gt;=$AQ177,BF$166=0),0,IF(SUM(BF$168:BF176)&lt;1,10%,0))),0%)</f>
        <v>0</v>
      </c>
      <c r="BG177" s="2">
        <f>IF($AQ177&lt;='Premissas Gerais'!$G$6,(IF(OR(BG$167&gt;=$AQ177,BG$166=0),0,IF(SUM(BG$168:BG176)&lt;1,10%,0))),0%)</f>
        <v>0</v>
      </c>
      <c r="BH177" s="2">
        <f>IF($AQ177&lt;='Premissas Gerais'!$G$6,(IF(OR(BH$167&gt;=$AQ177,BH$166=0),0,IF(SUM(BH$168:BH176)&lt;1,10%,0))),0%)</f>
        <v>0</v>
      </c>
      <c r="BI177" s="2">
        <f>IF($AQ177&lt;='Premissas Gerais'!$G$6,(IF(OR(BI$167&gt;=$AQ177,BI$166=0),0,IF(SUM(BI$168:BI176)&lt;1,10%,0))),0%)</f>
        <v>0</v>
      </c>
      <c r="BJ177" s="2">
        <f>IF($AQ177&lt;='Premissas Gerais'!$G$6,(IF(OR(BJ$167&gt;=$AQ177,BJ$166=0),0,IF(SUM(BJ$168:BJ176)&lt;1,10%,0))),0%)</f>
        <v>0</v>
      </c>
      <c r="BK177" s="2">
        <f ca="1">IF($AQ177&lt;='Premissas Gerais'!$G$6,(IF(OR(BK$167&gt;=$AQ177,BK$166=0),0,IF(SUM(BK$168:BK176)&lt;1,10%,0))),0%)</f>
        <v>0</v>
      </c>
      <c r="BL177" s="2">
        <f>IF($AQ177&lt;='Premissas Gerais'!$G$6,(IF(OR(BL$167&gt;=$AQ177,BL$166=0),0,IF(SUM(BL$168:BL176)&lt;1,10%,0))),0%)</f>
        <v>0</v>
      </c>
      <c r="BM177" s="2">
        <f>IF($AQ177&lt;='Premissas Gerais'!$G$6,(IF(OR(BM$167&gt;=$AQ177,BM$166=0),0,IF(SUM(BM$168:BM176)&lt;1,10%,0))),0%)</f>
        <v>0</v>
      </c>
      <c r="BN177" s="2">
        <f>IF($AQ177&lt;='Premissas Gerais'!$G$6,(IF(OR(BN$167&gt;=$AQ177,BN$166=0),0,IF(SUM(BN$168:BN176)&lt;1,10%,0))),0%)</f>
        <v>0</v>
      </c>
      <c r="BO177" s="2">
        <f>IF($AQ177&lt;='Premissas Gerais'!$G$6,(IF(OR(BO$167&gt;=$AQ177,BO$166=0),0,IF(SUM(BO$168:BO176)&lt;1,10%,0))),0%)</f>
        <v>0</v>
      </c>
      <c r="BP177" s="2">
        <f ca="1">IF($AQ177&lt;='Premissas Gerais'!$G$6,(IF(OR(BP$167&gt;=$AQ177,BP$166=0),0,IF(SUM(BP$168:BP176)&lt;1,10%,0))),0%)</f>
        <v>0</v>
      </c>
      <c r="BQ177" s="2">
        <f>IF($AQ177&lt;='Premissas Gerais'!$G$6,(IF(OR(BQ$167&gt;=$AQ177,BQ$166=0),0,IF(SUM(BQ$168:BQ176)&lt;1,10%,0))),0%)</f>
        <v>0</v>
      </c>
      <c r="BR177" s="2">
        <f>IF($AQ177&lt;='Premissas Gerais'!$G$6,(IF(OR(BR$167&gt;=$AQ177,BR$166=0),0,IF(SUM(BR$168:BR176)&lt;1,10%,0))),0%)</f>
        <v>0</v>
      </c>
      <c r="BS177" s="2">
        <f>IF($AQ177&lt;='Premissas Gerais'!$G$6,(IF(OR(BS$167&gt;=$AQ177,BS$166=0),0,IF(SUM(BS$168:BS176)&lt;1,10%,0))),0%)</f>
        <v>0</v>
      </c>
      <c r="BT177" s="2">
        <f>IF($AQ177&lt;='Premissas Gerais'!$G$6,(IF(OR(BT$167&gt;=$AQ177,BT$166=0),0,IF(SUM(BT$168:BT176)&lt;1,10%,0))),0%)</f>
        <v>0</v>
      </c>
      <c r="BU177" s="2">
        <f ca="1">IF($AQ177&lt;='Premissas Gerais'!$G$6,(IF(OR(BU$167&gt;=$AQ177,BU$166=0),0,IF(SUM(BU$168:BU176)&lt;1,10%,0))),0%)</f>
        <v>0</v>
      </c>
      <c r="BV177" s="2">
        <f>IF($AQ177&lt;='Premissas Gerais'!$G$6,(IF(OR(BV$167&gt;=$AQ177,BV$166=0),0,IF(SUM(BV$168:BV176)&lt;1,10%,0))),0%)</f>
        <v>0</v>
      </c>
      <c r="BW177" s="2">
        <f>IF($AQ177&lt;='Premissas Gerais'!$G$6,(IF(OR(BW$167&gt;=$AQ177,BW$166=0),0,IF(SUM(BW$168:BW176)&lt;1,10%,0))),0%)</f>
        <v>0</v>
      </c>
      <c r="BX177" s="2">
        <f>IF($AQ177&lt;='Premissas Gerais'!$G$6,(IF(OR(BX$167&gt;=$AQ177,BX$166=0),0,IF(SUM(BX$168:BX176)&lt;1,10%,0))),0%)</f>
        <v>0</v>
      </c>
      <c r="BY177" s="2">
        <f>IF($AQ177&lt;='Premissas Gerais'!$G$6,(IF(OR(BY$167&gt;=$AQ177,BY$166=0),0,IF(SUM(BY$168:BY176)&lt;1,10%,0))),0%)</f>
        <v>0</v>
      </c>
      <c r="BZ177" s="2">
        <f>IF($AQ177&lt;='Premissas Gerais'!$G$6,(IF(OR(BZ$167&gt;=$AQ177,BZ$166=0),0,IF(SUM(BZ$168:BZ176)&lt;1,10%,0))),0%)</f>
        <v>0</v>
      </c>
    </row>
    <row r="178" spans="3:78" outlineLevel="1">
      <c r="C178" s="155">
        <v>9</v>
      </c>
      <c r="E178" s="133">
        <f ca="1">IF(C178&lt;='Premissas Gerais'!$G$6,SUM(F178:AN178),0)</f>
        <v>0</v>
      </c>
      <c r="F178" s="4">
        <f t="shared" si="93"/>
        <v>0</v>
      </c>
      <c r="G178" s="4">
        <f t="shared" si="94"/>
        <v>0</v>
      </c>
      <c r="H178" s="4">
        <f t="shared" si="95"/>
        <v>0</v>
      </c>
      <c r="I178" s="4">
        <f t="shared" si="96"/>
        <v>0</v>
      </c>
      <c r="J178" s="4">
        <f t="shared" ca="1" si="97"/>
        <v>0</v>
      </c>
      <c r="K178" s="4">
        <f t="shared" si="98"/>
        <v>0</v>
      </c>
      <c r="L178" s="4">
        <f t="shared" si="99"/>
        <v>0</v>
      </c>
      <c r="M178" s="4">
        <f t="shared" si="100"/>
        <v>0</v>
      </c>
      <c r="N178" s="4">
        <f t="shared" si="101"/>
        <v>0</v>
      </c>
      <c r="O178" s="4">
        <f t="shared" ca="1" si="102"/>
        <v>0</v>
      </c>
      <c r="P178" s="4">
        <f t="shared" si="103"/>
        <v>0</v>
      </c>
      <c r="Q178" s="4">
        <f t="shared" si="104"/>
        <v>0</v>
      </c>
      <c r="R178" s="4">
        <f t="shared" si="105"/>
        <v>0</v>
      </c>
      <c r="S178" s="4">
        <f t="shared" si="106"/>
        <v>0</v>
      </c>
      <c r="T178" s="4">
        <f t="shared" ca="1" si="107"/>
        <v>0</v>
      </c>
      <c r="U178" s="4">
        <f t="shared" si="108"/>
        <v>0</v>
      </c>
      <c r="V178" s="4">
        <f t="shared" si="109"/>
        <v>0</v>
      </c>
      <c r="W178" s="4">
        <f t="shared" si="110"/>
        <v>0</v>
      </c>
      <c r="X178" s="4">
        <f t="shared" si="111"/>
        <v>0</v>
      </c>
      <c r="Y178" s="4">
        <f t="shared" ca="1" si="112"/>
        <v>0</v>
      </c>
      <c r="Z178" s="4">
        <f t="shared" si="113"/>
        <v>0</v>
      </c>
      <c r="AA178" s="4">
        <f t="shared" si="114"/>
        <v>0</v>
      </c>
      <c r="AB178" s="4">
        <f t="shared" si="115"/>
        <v>0</v>
      </c>
      <c r="AC178" s="4">
        <f t="shared" si="116"/>
        <v>0</v>
      </c>
      <c r="AD178" s="4">
        <f t="shared" ca="1" si="117"/>
        <v>0</v>
      </c>
      <c r="AE178" s="4">
        <f t="shared" si="118"/>
        <v>0</v>
      </c>
      <c r="AF178" s="4">
        <f t="shared" si="119"/>
        <v>0</v>
      </c>
      <c r="AG178" s="4">
        <f t="shared" si="120"/>
        <v>0</v>
      </c>
      <c r="AH178" s="4">
        <f t="shared" si="121"/>
        <v>0</v>
      </c>
      <c r="AI178" s="4">
        <f t="shared" ca="1" si="122"/>
        <v>0</v>
      </c>
      <c r="AJ178" s="4">
        <f t="shared" si="123"/>
        <v>0</v>
      </c>
      <c r="AK178" s="4">
        <f t="shared" si="124"/>
        <v>0</v>
      </c>
      <c r="AL178" s="4">
        <f t="shared" si="125"/>
        <v>0</v>
      </c>
      <c r="AM178" s="4">
        <f t="shared" si="126"/>
        <v>0</v>
      </c>
      <c r="AN178" s="4">
        <f t="shared" si="127"/>
        <v>0</v>
      </c>
      <c r="AP178" s="180">
        <f>IF(AQ178&lt;='Premissas Gerais'!$G$6,1,0)</f>
        <v>1</v>
      </c>
      <c r="AQ178" s="1">
        <v>10</v>
      </c>
      <c r="AR178" s="2">
        <f>IF($AQ178&lt;='Premissas Gerais'!$G$6,(IF(OR(AR$167&gt;=$AQ178,AR$166=0),0,IF(SUM(AR$168:AR177)&lt;1,10%,0))),0%)</f>
        <v>0</v>
      </c>
      <c r="AS178" s="2">
        <f>IF($AQ178&lt;='Premissas Gerais'!$G$6,(IF(OR(AS$167&gt;=$AQ178,AS$166=0),0,IF(SUM(AS$168:AS177)&lt;1,10%,0))),0%)</f>
        <v>0</v>
      </c>
      <c r="AT178" s="2">
        <f>IF($AQ178&lt;='Premissas Gerais'!$G$6,(IF(OR(AT$167&gt;=$AQ178,AT$166=0),0,IF(SUM(AT$168:AT177)&lt;1,10%,0))),0%)</f>
        <v>0</v>
      </c>
      <c r="AU178" s="2">
        <f>IF($AQ178&lt;='Premissas Gerais'!$G$6,(IF(OR(AU$167&gt;=$AQ178,AU$166=0),0,IF(SUM(AU$168:AU177)&lt;1,10%,0))),0%)</f>
        <v>0</v>
      </c>
      <c r="AV178" s="2">
        <f ca="1">IF($AQ178&lt;='Premissas Gerais'!$G$6,(IF(OR(AV$167&gt;=$AQ178,AV$166=0),0,IF(SUM(AV$168:AV177)&lt;1,10%,0))),0%)</f>
        <v>0</v>
      </c>
      <c r="AW178" s="2">
        <f>IF($AQ178&lt;='Premissas Gerais'!$G$6,(IF(OR(AW$167&gt;=$AQ178,AW$166=0),0,IF(SUM(AW$168:AW177)&lt;1,10%,0))),0%)</f>
        <v>0</v>
      </c>
      <c r="AX178" s="2">
        <f>IF($AQ178&lt;='Premissas Gerais'!$G$6,(IF(OR(AX$167&gt;=$AQ178,AX$166=0),0,IF(SUM(AX$168:AX177)&lt;1,10%,0))),0%)</f>
        <v>0</v>
      </c>
      <c r="AY178" s="2">
        <f>IF($AQ178&lt;='Premissas Gerais'!$G$6,(IF(OR(AY$167&gt;=$AQ178,AY$166=0),0,IF(SUM(AY$168:AY177)&lt;1,10%,0))),0%)</f>
        <v>0</v>
      </c>
      <c r="AZ178" s="2">
        <f>IF($AQ178&lt;='Premissas Gerais'!$G$6,(IF(OR(AZ$167&gt;=$AQ178,AZ$166=0),0,IF(SUM(AZ$168:AZ177)&lt;1,10%,0))),0%)</f>
        <v>0</v>
      </c>
      <c r="BA178" s="2">
        <f ca="1">IF($AQ178&lt;='Premissas Gerais'!$G$6,(IF(OR(BA$167&gt;=$AQ178,BA$166=0),0,IF(SUM(BA$168:BA177)&lt;1,10%,0))),0%)</f>
        <v>0</v>
      </c>
      <c r="BB178" s="2">
        <f>IF($AQ178&lt;='Premissas Gerais'!$G$6,(IF(OR(BB$167&gt;=$AQ178,BB$166=0),0,IF(SUM(BB$168:BB177)&lt;1,10%,0))),0%)</f>
        <v>0</v>
      </c>
      <c r="BC178" s="2">
        <f>IF($AQ178&lt;='Premissas Gerais'!$G$6,(IF(OR(BC$167&gt;=$AQ178,BC$166=0),0,IF(SUM(BC$168:BC177)&lt;1,10%,0))),0%)</f>
        <v>0</v>
      </c>
      <c r="BD178" s="2">
        <f>IF($AQ178&lt;='Premissas Gerais'!$G$6,(IF(OR(BD$167&gt;=$AQ178,BD$166=0),0,IF(SUM(BD$168:BD177)&lt;1,10%,0))),0%)</f>
        <v>0</v>
      </c>
      <c r="BE178" s="2">
        <f>IF($AQ178&lt;='Premissas Gerais'!$G$6,(IF(OR(BE$167&gt;=$AQ178,BE$166=0),0,IF(SUM(BE$168:BE177)&lt;1,10%,0))),0%)</f>
        <v>0</v>
      </c>
      <c r="BF178" s="2">
        <f ca="1">IF($AQ178&lt;='Premissas Gerais'!$G$6,(IF(OR(BF$167&gt;=$AQ178,BF$166=0),0,IF(SUM(BF$168:BF177)&lt;1,10%,0))),0%)</f>
        <v>0</v>
      </c>
      <c r="BG178" s="2">
        <f>IF($AQ178&lt;='Premissas Gerais'!$G$6,(IF(OR(BG$167&gt;=$AQ178,BG$166=0),0,IF(SUM(BG$168:BG177)&lt;1,10%,0))),0%)</f>
        <v>0</v>
      </c>
      <c r="BH178" s="2">
        <f>IF($AQ178&lt;='Premissas Gerais'!$G$6,(IF(OR(BH$167&gt;=$AQ178,BH$166=0),0,IF(SUM(BH$168:BH177)&lt;1,10%,0))),0%)</f>
        <v>0</v>
      </c>
      <c r="BI178" s="2">
        <f>IF($AQ178&lt;='Premissas Gerais'!$G$6,(IF(OR(BI$167&gt;=$AQ178,BI$166=0),0,IF(SUM(BI$168:BI177)&lt;1,10%,0))),0%)</f>
        <v>0</v>
      </c>
      <c r="BJ178" s="2">
        <f>IF($AQ178&lt;='Premissas Gerais'!$G$6,(IF(OR(BJ$167&gt;=$AQ178,BJ$166=0),0,IF(SUM(BJ$168:BJ177)&lt;1,10%,0))),0%)</f>
        <v>0</v>
      </c>
      <c r="BK178" s="2">
        <f ca="1">IF($AQ178&lt;='Premissas Gerais'!$G$6,(IF(OR(BK$167&gt;=$AQ178,BK$166=0),0,IF(SUM(BK$168:BK177)&lt;1,10%,0))),0%)</f>
        <v>0</v>
      </c>
      <c r="BL178" s="2">
        <f>IF($AQ178&lt;='Premissas Gerais'!$G$6,(IF(OR(BL$167&gt;=$AQ178,BL$166=0),0,IF(SUM(BL$168:BL177)&lt;1,10%,0))),0%)</f>
        <v>0</v>
      </c>
      <c r="BM178" s="2">
        <f>IF($AQ178&lt;='Premissas Gerais'!$G$6,(IF(OR(BM$167&gt;=$AQ178,BM$166=0),0,IF(SUM(BM$168:BM177)&lt;1,10%,0))),0%)</f>
        <v>0</v>
      </c>
      <c r="BN178" s="2">
        <f>IF($AQ178&lt;='Premissas Gerais'!$G$6,(IF(OR(BN$167&gt;=$AQ178,BN$166=0),0,IF(SUM(BN$168:BN177)&lt;1,10%,0))),0%)</f>
        <v>0</v>
      </c>
      <c r="BO178" s="2">
        <f>IF($AQ178&lt;='Premissas Gerais'!$G$6,(IF(OR(BO$167&gt;=$AQ178,BO$166=0),0,IF(SUM(BO$168:BO177)&lt;1,10%,0))),0%)</f>
        <v>0</v>
      </c>
      <c r="BP178" s="2">
        <f ca="1">IF($AQ178&lt;='Premissas Gerais'!$G$6,(IF(OR(BP$167&gt;=$AQ178,BP$166=0),0,IF(SUM(BP$168:BP177)&lt;1,10%,0))),0%)</f>
        <v>0</v>
      </c>
      <c r="BQ178" s="2">
        <f>IF($AQ178&lt;='Premissas Gerais'!$G$6,(IF(OR(BQ$167&gt;=$AQ178,BQ$166=0),0,IF(SUM(BQ$168:BQ177)&lt;1,10%,0))),0%)</f>
        <v>0</v>
      </c>
      <c r="BR178" s="2">
        <f>IF($AQ178&lt;='Premissas Gerais'!$G$6,(IF(OR(BR$167&gt;=$AQ178,BR$166=0),0,IF(SUM(BR$168:BR177)&lt;1,10%,0))),0%)</f>
        <v>0</v>
      </c>
      <c r="BS178" s="2">
        <f>IF($AQ178&lt;='Premissas Gerais'!$G$6,(IF(OR(BS$167&gt;=$AQ178,BS$166=0),0,IF(SUM(BS$168:BS177)&lt;1,10%,0))),0%)</f>
        <v>0</v>
      </c>
      <c r="BT178" s="2">
        <f>IF($AQ178&lt;='Premissas Gerais'!$G$6,(IF(OR(BT$167&gt;=$AQ178,BT$166=0),0,IF(SUM(BT$168:BT177)&lt;1,10%,0))),0%)</f>
        <v>0</v>
      </c>
      <c r="BU178" s="2">
        <f ca="1">IF($AQ178&lt;='Premissas Gerais'!$G$6,(IF(OR(BU$167&gt;=$AQ178,BU$166=0),0,IF(SUM(BU$168:BU177)&lt;1,10%,0))),0%)</f>
        <v>0</v>
      </c>
      <c r="BV178" s="2">
        <f>IF($AQ178&lt;='Premissas Gerais'!$G$6,(IF(OR(BV$167&gt;=$AQ178,BV$166=0),0,IF(SUM(BV$168:BV177)&lt;1,10%,0))),0%)</f>
        <v>0</v>
      </c>
      <c r="BW178" s="2">
        <f>IF($AQ178&lt;='Premissas Gerais'!$G$6,(IF(OR(BW$167&gt;=$AQ178,BW$166=0),0,IF(SUM(BW$168:BW177)&lt;1,10%,0))),0%)</f>
        <v>0</v>
      </c>
      <c r="BX178" s="2">
        <f>IF($AQ178&lt;='Premissas Gerais'!$G$6,(IF(OR(BX$167&gt;=$AQ178,BX$166=0),0,IF(SUM(BX$168:BX177)&lt;1,10%,0))),0%)</f>
        <v>0</v>
      </c>
      <c r="BY178" s="2">
        <f>IF($AQ178&lt;='Premissas Gerais'!$G$6,(IF(OR(BY$167&gt;=$AQ178,BY$166=0),0,IF(SUM(BY$168:BY177)&lt;1,10%,0))),0%)</f>
        <v>0</v>
      </c>
      <c r="BZ178" s="2">
        <f>IF($AQ178&lt;='Premissas Gerais'!$G$6,(IF(OR(BZ$167&gt;=$AQ178,BZ$166=0),0,IF(SUM(BZ$168:BZ177)&lt;1,10%,0))),0%)</f>
        <v>0</v>
      </c>
    </row>
    <row r="179" spans="3:78" outlineLevel="1">
      <c r="C179" s="155">
        <v>10</v>
      </c>
      <c r="E179" s="133">
        <f ca="1">IF(C179&lt;='Premissas Gerais'!$G$6,SUM(F179:AN179),0)</f>
        <v>0</v>
      </c>
      <c r="F179" s="4">
        <f t="shared" si="93"/>
        <v>0</v>
      </c>
      <c r="G179" s="4">
        <f t="shared" si="94"/>
        <v>0</v>
      </c>
      <c r="H179" s="4">
        <f t="shared" si="95"/>
        <v>0</v>
      </c>
      <c r="I179" s="4">
        <f t="shared" si="96"/>
        <v>0</v>
      </c>
      <c r="J179" s="4">
        <f t="shared" ca="1" si="97"/>
        <v>0</v>
      </c>
      <c r="K179" s="4">
        <f t="shared" si="98"/>
        <v>0</v>
      </c>
      <c r="L179" s="4">
        <f t="shared" si="99"/>
        <v>0</v>
      </c>
      <c r="M179" s="4">
        <f t="shared" si="100"/>
        <v>0</v>
      </c>
      <c r="N179" s="4">
        <f t="shared" si="101"/>
        <v>0</v>
      </c>
      <c r="O179" s="4">
        <f t="shared" ca="1" si="102"/>
        <v>0</v>
      </c>
      <c r="P179" s="4">
        <f t="shared" si="103"/>
        <v>0</v>
      </c>
      <c r="Q179" s="4">
        <f t="shared" si="104"/>
        <v>0</v>
      </c>
      <c r="R179" s="4">
        <f t="shared" si="105"/>
        <v>0</v>
      </c>
      <c r="S179" s="4">
        <f t="shared" si="106"/>
        <v>0</v>
      </c>
      <c r="T179" s="4">
        <f t="shared" ca="1" si="107"/>
        <v>0</v>
      </c>
      <c r="U179" s="4">
        <f t="shared" si="108"/>
        <v>0</v>
      </c>
      <c r="V179" s="4">
        <f t="shared" si="109"/>
        <v>0</v>
      </c>
      <c r="W179" s="4">
        <f t="shared" si="110"/>
        <v>0</v>
      </c>
      <c r="X179" s="4">
        <f t="shared" si="111"/>
        <v>0</v>
      </c>
      <c r="Y179" s="4">
        <f t="shared" ca="1" si="112"/>
        <v>0</v>
      </c>
      <c r="Z179" s="4">
        <f t="shared" si="113"/>
        <v>0</v>
      </c>
      <c r="AA179" s="4">
        <f t="shared" si="114"/>
        <v>0</v>
      </c>
      <c r="AB179" s="4">
        <f t="shared" si="115"/>
        <v>0</v>
      </c>
      <c r="AC179" s="4">
        <f t="shared" si="116"/>
        <v>0</v>
      </c>
      <c r="AD179" s="4">
        <f t="shared" ca="1" si="117"/>
        <v>0</v>
      </c>
      <c r="AE179" s="4">
        <f t="shared" si="118"/>
        <v>0</v>
      </c>
      <c r="AF179" s="4">
        <f t="shared" si="119"/>
        <v>0</v>
      </c>
      <c r="AG179" s="4">
        <f t="shared" si="120"/>
        <v>0</v>
      </c>
      <c r="AH179" s="4">
        <f t="shared" si="121"/>
        <v>0</v>
      </c>
      <c r="AI179" s="4">
        <f t="shared" ca="1" si="122"/>
        <v>0</v>
      </c>
      <c r="AJ179" s="4">
        <f t="shared" si="123"/>
        <v>0</v>
      </c>
      <c r="AK179" s="4">
        <f t="shared" si="124"/>
        <v>0</v>
      </c>
      <c r="AL179" s="4">
        <f t="shared" si="125"/>
        <v>0</v>
      </c>
      <c r="AM179" s="4">
        <f t="shared" si="126"/>
        <v>0</v>
      </c>
      <c r="AN179" s="4">
        <f t="shared" si="127"/>
        <v>0</v>
      </c>
      <c r="AP179" s="180">
        <f>IF(AQ179&lt;='Premissas Gerais'!$G$6,1,0)</f>
        <v>1</v>
      </c>
      <c r="AQ179" s="1">
        <v>11</v>
      </c>
      <c r="AR179" s="2">
        <f>IF($AQ179&lt;='Premissas Gerais'!$G$6,(IF(OR(AR$167&gt;=$AQ179,AR$166=0),0,IF(SUM(AR$168:AR178)&lt;1,10%,0))),0%)</f>
        <v>0</v>
      </c>
      <c r="AS179" s="2">
        <f>IF($AQ179&lt;='Premissas Gerais'!$G$6,(IF(OR(AS$167&gt;=$AQ179,AS$166=0),0,IF(SUM(AS$168:AS178)&lt;1,10%,0))),0%)</f>
        <v>0</v>
      </c>
      <c r="AT179" s="2">
        <f>IF($AQ179&lt;='Premissas Gerais'!$G$6,(IF(OR(AT$167&gt;=$AQ179,AT$166=0),0,IF(SUM(AT$168:AT178)&lt;1,10%,0))),0%)</f>
        <v>0</v>
      </c>
      <c r="AU179" s="2">
        <f>IF($AQ179&lt;='Premissas Gerais'!$G$6,(IF(OR(AU$167&gt;=$AQ179,AU$166=0),0,IF(SUM(AU$168:AU178)&lt;1,10%,0))),0%)</f>
        <v>0</v>
      </c>
      <c r="AV179" s="2">
        <f ca="1">IF($AQ179&lt;='Premissas Gerais'!$G$6,(IF(OR(AV$167&gt;=$AQ179,AV$166=0),0,IF(SUM(AV$168:AV178)&lt;1,10%,0))),0%)</f>
        <v>0</v>
      </c>
      <c r="AW179" s="2">
        <f>IF($AQ179&lt;='Premissas Gerais'!$G$6,(IF(OR(AW$167&gt;=$AQ179,AW$166=0),0,IF(SUM(AW$168:AW178)&lt;1,10%,0))),0%)</f>
        <v>0</v>
      </c>
      <c r="AX179" s="2">
        <f>IF($AQ179&lt;='Premissas Gerais'!$G$6,(IF(OR(AX$167&gt;=$AQ179,AX$166=0),0,IF(SUM(AX$168:AX178)&lt;1,10%,0))),0%)</f>
        <v>0</v>
      </c>
      <c r="AY179" s="2">
        <f>IF($AQ179&lt;='Premissas Gerais'!$G$6,(IF(OR(AY$167&gt;=$AQ179,AY$166=0),0,IF(SUM(AY$168:AY178)&lt;1,10%,0))),0%)</f>
        <v>0</v>
      </c>
      <c r="AZ179" s="2">
        <f>IF($AQ179&lt;='Premissas Gerais'!$G$6,(IF(OR(AZ$167&gt;=$AQ179,AZ$166=0),0,IF(SUM(AZ$168:AZ178)&lt;1,10%,0))),0%)</f>
        <v>0</v>
      </c>
      <c r="BA179" s="2">
        <f ca="1">IF($AQ179&lt;='Premissas Gerais'!$G$6,(IF(OR(BA$167&gt;=$AQ179,BA$166=0),0,IF(SUM(BA$168:BA178)&lt;1,10%,0))),0%)</f>
        <v>0</v>
      </c>
      <c r="BB179" s="2">
        <f>IF($AQ179&lt;='Premissas Gerais'!$G$6,(IF(OR(BB$167&gt;=$AQ179,BB$166=0),0,IF(SUM(BB$168:BB178)&lt;1,10%,0))),0%)</f>
        <v>0</v>
      </c>
      <c r="BC179" s="2">
        <f>IF($AQ179&lt;='Premissas Gerais'!$G$6,(IF(OR(BC$167&gt;=$AQ179,BC$166=0),0,IF(SUM(BC$168:BC178)&lt;1,10%,0))),0%)</f>
        <v>0</v>
      </c>
      <c r="BD179" s="2">
        <f>IF($AQ179&lt;='Premissas Gerais'!$G$6,(IF(OR(BD$167&gt;=$AQ179,BD$166=0),0,IF(SUM(BD$168:BD178)&lt;1,10%,0))),0%)</f>
        <v>0</v>
      </c>
      <c r="BE179" s="2">
        <f>IF($AQ179&lt;='Premissas Gerais'!$G$6,(IF(OR(BE$167&gt;=$AQ179,BE$166=0),0,IF(SUM(BE$168:BE178)&lt;1,10%,0))),0%)</f>
        <v>0</v>
      </c>
      <c r="BF179" s="2">
        <f ca="1">IF($AQ179&lt;='Premissas Gerais'!$G$6,(IF(OR(BF$167&gt;=$AQ179,BF$166=0),0,IF(SUM(BF$168:BF178)&lt;1,10%,0))),0%)</f>
        <v>0</v>
      </c>
      <c r="BG179" s="2">
        <f>IF($AQ179&lt;='Premissas Gerais'!$G$6,(IF(OR(BG$167&gt;=$AQ179,BG$166=0),0,IF(SUM(BG$168:BG178)&lt;1,10%,0))),0%)</f>
        <v>0</v>
      </c>
      <c r="BH179" s="2">
        <f>IF($AQ179&lt;='Premissas Gerais'!$G$6,(IF(OR(BH$167&gt;=$AQ179,BH$166=0),0,IF(SUM(BH$168:BH178)&lt;1,10%,0))),0%)</f>
        <v>0</v>
      </c>
      <c r="BI179" s="2">
        <f>IF($AQ179&lt;='Premissas Gerais'!$G$6,(IF(OR(BI$167&gt;=$AQ179,BI$166=0),0,IF(SUM(BI$168:BI178)&lt;1,10%,0))),0%)</f>
        <v>0</v>
      </c>
      <c r="BJ179" s="2">
        <f>IF($AQ179&lt;='Premissas Gerais'!$G$6,(IF(OR(BJ$167&gt;=$AQ179,BJ$166=0),0,IF(SUM(BJ$168:BJ178)&lt;1,10%,0))),0%)</f>
        <v>0</v>
      </c>
      <c r="BK179" s="2">
        <f ca="1">IF($AQ179&lt;='Premissas Gerais'!$G$6,(IF(OR(BK$167&gt;=$AQ179,BK$166=0),0,IF(SUM(BK$168:BK178)&lt;1,10%,0))),0%)</f>
        <v>0</v>
      </c>
      <c r="BL179" s="2">
        <f>IF($AQ179&lt;='Premissas Gerais'!$G$6,(IF(OR(BL$167&gt;=$AQ179,BL$166=0),0,IF(SUM(BL$168:BL178)&lt;1,10%,0))),0%)</f>
        <v>0</v>
      </c>
      <c r="BM179" s="2">
        <f>IF($AQ179&lt;='Premissas Gerais'!$G$6,(IF(OR(BM$167&gt;=$AQ179,BM$166=0),0,IF(SUM(BM$168:BM178)&lt;1,10%,0))),0%)</f>
        <v>0</v>
      </c>
      <c r="BN179" s="2">
        <f>IF($AQ179&lt;='Premissas Gerais'!$G$6,(IF(OR(BN$167&gt;=$AQ179,BN$166=0),0,IF(SUM(BN$168:BN178)&lt;1,10%,0))),0%)</f>
        <v>0</v>
      </c>
      <c r="BO179" s="2">
        <f>IF($AQ179&lt;='Premissas Gerais'!$G$6,(IF(OR(BO$167&gt;=$AQ179,BO$166=0),0,IF(SUM(BO$168:BO178)&lt;1,10%,0))),0%)</f>
        <v>0</v>
      </c>
      <c r="BP179" s="2">
        <f ca="1">IF($AQ179&lt;='Premissas Gerais'!$G$6,(IF(OR(BP$167&gt;=$AQ179,BP$166=0),0,IF(SUM(BP$168:BP178)&lt;1,10%,0))),0%)</f>
        <v>0</v>
      </c>
      <c r="BQ179" s="2">
        <f>IF($AQ179&lt;='Premissas Gerais'!$G$6,(IF(OR(BQ$167&gt;=$AQ179,BQ$166=0),0,IF(SUM(BQ$168:BQ178)&lt;1,10%,0))),0%)</f>
        <v>0</v>
      </c>
      <c r="BR179" s="2">
        <f>IF($AQ179&lt;='Premissas Gerais'!$G$6,(IF(OR(BR$167&gt;=$AQ179,BR$166=0),0,IF(SUM(BR$168:BR178)&lt;1,10%,0))),0%)</f>
        <v>0</v>
      </c>
      <c r="BS179" s="2">
        <f>IF($AQ179&lt;='Premissas Gerais'!$G$6,(IF(OR(BS$167&gt;=$AQ179,BS$166=0),0,IF(SUM(BS$168:BS178)&lt;1,10%,0))),0%)</f>
        <v>0</v>
      </c>
      <c r="BT179" s="2">
        <f>IF($AQ179&lt;='Premissas Gerais'!$G$6,(IF(OR(BT$167&gt;=$AQ179,BT$166=0),0,IF(SUM(BT$168:BT178)&lt;1,10%,0))),0%)</f>
        <v>0</v>
      </c>
      <c r="BU179" s="2">
        <f ca="1">IF($AQ179&lt;='Premissas Gerais'!$G$6,(IF(OR(BU$167&gt;=$AQ179,BU$166=0),0,IF(SUM(BU$168:BU178)&lt;1,10%,0))),0%)</f>
        <v>0</v>
      </c>
      <c r="BV179" s="2">
        <f>IF($AQ179&lt;='Premissas Gerais'!$G$6,(IF(OR(BV$167&gt;=$AQ179,BV$166=0),0,IF(SUM(BV$168:BV178)&lt;1,10%,0))),0%)</f>
        <v>0</v>
      </c>
      <c r="BW179" s="2">
        <f>IF($AQ179&lt;='Premissas Gerais'!$G$6,(IF(OR(BW$167&gt;=$AQ179,BW$166=0),0,IF(SUM(BW$168:BW178)&lt;1,10%,0))),0%)</f>
        <v>0</v>
      </c>
      <c r="BX179" s="2">
        <f>IF($AQ179&lt;='Premissas Gerais'!$G$6,(IF(OR(BX$167&gt;=$AQ179,BX$166=0),0,IF(SUM(BX$168:BX178)&lt;1,10%,0))),0%)</f>
        <v>0</v>
      </c>
      <c r="BY179" s="2">
        <f>IF($AQ179&lt;='Premissas Gerais'!$G$6,(IF(OR(BY$167&gt;=$AQ179,BY$166=0),0,IF(SUM(BY$168:BY178)&lt;1,10%,0))),0%)</f>
        <v>0</v>
      </c>
      <c r="BZ179" s="2">
        <f>IF($AQ179&lt;='Premissas Gerais'!$G$6,(IF(OR(BZ$167&gt;=$AQ179,BZ$166=0),0,IF(SUM(BZ$168:BZ178)&lt;1,10%,0))),0%)</f>
        <v>0</v>
      </c>
    </row>
    <row r="180" spans="3:78" outlineLevel="1">
      <c r="C180" s="155">
        <v>11</v>
      </c>
      <c r="E180" s="133">
        <f ca="1">IF(C180&lt;='Premissas Gerais'!$G$6,SUM(F180:AN180),0)</f>
        <v>0</v>
      </c>
      <c r="F180" s="4">
        <f t="shared" si="93"/>
        <v>0</v>
      </c>
      <c r="G180" s="4">
        <f t="shared" si="94"/>
        <v>0</v>
      </c>
      <c r="H180" s="4">
        <f t="shared" si="95"/>
        <v>0</v>
      </c>
      <c r="I180" s="4">
        <f t="shared" si="96"/>
        <v>0</v>
      </c>
      <c r="J180" s="4">
        <f t="shared" ca="1" si="97"/>
        <v>0</v>
      </c>
      <c r="K180" s="4">
        <f t="shared" si="98"/>
        <v>0</v>
      </c>
      <c r="L180" s="4">
        <f t="shared" si="99"/>
        <v>0</v>
      </c>
      <c r="M180" s="4">
        <f t="shared" si="100"/>
        <v>0</v>
      </c>
      <c r="N180" s="4">
        <f t="shared" si="101"/>
        <v>0</v>
      </c>
      <c r="O180" s="4">
        <f t="shared" ca="1" si="102"/>
        <v>0</v>
      </c>
      <c r="P180" s="4">
        <f t="shared" si="103"/>
        <v>0</v>
      </c>
      <c r="Q180" s="4">
        <f t="shared" si="104"/>
        <v>0</v>
      </c>
      <c r="R180" s="4">
        <f t="shared" si="105"/>
        <v>0</v>
      </c>
      <c r="S180" s="4">
        <f t="shared" si="106"/>
        <v>0</v>
      </c>
      <c r="T180" s="4">
        <f t="shared" ca="1" si="107"/>
        <v>0</v>
      </c>
      <c r="U180" s="4">
        <f t="shared" si="108"/>
        <v>0</v>
      </c>
      <c r="V180" s="4">
        <f t="shared" si="109"/>
        <v>0</v>
      </c>
      <c r="W180" s="4">
        <f t="shared" si="110"/>
        <v>0</v>
      </c>
      <c r="X180" s="4">
        <f t="shared" si="111"/>
        <v>0</v>
      </c>
      <c r="Y180" s="4">
        <f t="shared" ca="1" si="112"/>
        <v>0</v>
      </c>
      <c r="Z180" s="4">
        <f t="shared" si="113"/>
        <v>0</v>
      </c>
      <c r="AA180" s="4">
        <f t="shared" si="114"/>
        <v>0</v>
      </c>
      <c r="AB180" s="4">
        <f t="shared" si="115"/>
        <v>0</v>
      </c>
      <c r="AC180" s="4">
        <f t="shared" si="116"/>
        <v>0</v>
      </c>
      <c r="AD180" s="4">
        <f t="shared" ca="1" si="117"/>
        <v>0</v>
      </c>
      <c r="AE180" s="4">
        <f t="shared" si="118"/>
        <v>0</v>
      </c>
      <c r="AF180" s="4">
        <f t="shared" si="119"/>
        <v>0</v>
      </c>
      <c r="AG180" s="4">
        <f t="shared" si="120"/>
        <v>0</v>
      </c>
      <c r="AH180" s="4">
        <f t="shared" si="121"/>
        <v>0</v>
      </c>
      <c r="AI180" s="4">
        <f t="shared" ca="1" si="122"/>
        <v>0</v>
      </c>
      <c r="AJ180" s="4">
        <f t="shared" si="123"/>
        <v>0</v>
      </c>
      <c r="AK180" s="4">
        <f t="shared" si="124"/>
        <v>0</v>
      </c>
      <c r="AL180" s="4">
        <f t="shared" si="125"/>
        <v>0</v>
      </c>
      <c r="AM180" s="4">
        <f t="shared" si="126"/>
        <v>0</v>
      </c>
      <c r="AN180" s="4">
        <f t="shared" si="127"/>
        <v>0</v>
      </c>
      <c r="AP180" s="180">
        <f>IF(AQ180&lt;='Premissas Gerais'!$G$6,1,0)</f>
        <v>1</v>
      </c>
      <c r="AQ180" s="1">
        <v>12</v>
      </c>
      <c r="AR180" s="2">
        <f>IF($AQ180&lt;='Premissas Gerais'!$G$6,(IF(OR(AR$167&gt;=$AQ180,AR$166=0),0,IF(SUM(AR$168:AR179)&lt;1,10%,0))),0%)</f>
        <v>0</v>
      </c>
      <c r="AS180" s="2">
        <f>IF($AQ180&lt;='Premissas Gerais'!$G$6,(IF(OR(AS$167&gt;=$AQ180,AS$166=0),0,IF(SUM(AS$168:AS179)&lt;1,10%,0))),0%)</f>
        <v>0</v>
      </c>
      <c r="AT180" s="2">
        <f>IF($AQ180&lt;='Premissas Gerais'!$G$6,(IF(OR(AT$167&gt;=$AQ180,AT$166=0),0,IF(SUM(AT$168:AT179)&lt;1,10%,0))),0%)</f>
        <v>0</v>
      </c>
      <c r="AU180" s="2">
        <f>IF($AQ180&lt;='Premissas Gerais'!$G$6,(IF(OR(AU$167&gt;=$AQ180,AU$166=0),0,IF(SUM(AU$168:AU179)&lt;1,10%,0))),0%)</f>
        <v>0</v>
      </c>
      <c r="AV180" s="2">
        <f ca="1">IF($AQ180&lt;='Premissas Gerais'!$G$6,(IF(OR(AV$167&gt;=$AQ180,AV$166=0),0,IF(SUM(AV$168:AV179)&lt;1,10%,0))),0%)</f>
        <v>0</v>
      </c>
      <c r="AW180" s="2">
        <f>IF($AQ180&lt;='Premissas Gerais'!$G$6,(IF(OR(AW$167&gt;=$AQ180,AW$166=0),0,IF(SUM(AW$168:AW179)&lt;1,10%,0))),0%)</f>
        <v>0</v>
      </c>
      <c r="AX180" s="2">
        <f>IF($AQ180&lt;='Premissas Gerais'!$G$6,(IF(OR(AX$167&gt;=$AQ180,AX$166=0),0,IF(SUM(AX$168:AX179)&lt;1,10%,0))),0%)</f>
        <v>0</v>
      </c>
      <c r="AY180" s="2">
        <f>IF($AQ180&lt;='Premissas Gerais'!$G$6,(IF(OR(AY$167&gt;=$AQ180,AY$166=0),0,IF(SUM(AY$168:AY179)&lt;1,10%,0))),0%)</f>
        <v>0</v>
      </c>
      <c r="AZ180" s="2">
        <f>IF($AQ180&lt;='Premissas Gerais'!$G$6,(IF(OR(AZ$167&gt;=$AQ180,AZ$166=0),0,IF(SUM(AZ$168:AZ179)&lt;1,10%,0))),0%)</f>
        <v>0</v>
      </c>
      <c r="BA180" s="2">
        <f ca="1">IF($AQ180&lt;='Premissas Gerais'!$G$6,(IF(OR(BA$167&gt;=$AQ180,BA$166=0),0,IF(SUM(BA$168:BA179)&lt;1,10%,0))),0%)</f>
        <v>0</v>
      </c>
      <c r="BB180" s="2">
        <f>IF($AQ180&lt;='Premissas Gerais'!$G$6,(IF(OR(BB$167&gt;=$AQ180,BB$166=0),0,IF(SUM(BB$168:BB179)&lt;1,10%,0))),0%)</f>
        <v>0</v>
      </c>
      <c r="BC180" s="2">
        <f>IF($AQ180&lt;='Premissas Gerais'!$G$6,(IF(OR(BC$167&gt;=$AQ180,BC$166=0),0,IF(SUM(BC$168:BC179)&lt;1,10%,0))),0%)</f>
        <v>0</v>
      </c>
      <c r="BD180" s="2">
        <f>IF($AQ180&lt;='Premissas Gerais'!$G$6,(IF(OR(BD$167&gt;=$AQ180,BD$166=0),0,IF(SUM(BD$168:BD179)&lt;1,10%,0))),0%)</f>
        <v>0</v>
      </c>
      <c r="BE180" s="2">
        <f>IF($AQ180&lt;='Premissas Gerais'!$G$6,(IF(OR(BE$167&gt;=$AQ180,BE$166=0),0,IF(SUM(BE$168:BE179)&lt;1,10%,0))),0%)</f>
        <v>0</v>
      </c>
      <c r="BF180" s="2">
        <f ca="1">IF($AQ180&lt;='Premissas Gerais'!$G$6,(IF(OR(BF$167&gt;=$AQ180,BF$166=0),0,IF(SUM(BF$168:BF179)&lt;1,10%,0))),0%)</f>
        <v>0</v>
      </c>
      <c r="BG180" s="2">
        <f>IF($AQ180&lt;='Premissas Gerais'!$G$6,(IF(OR(BG$167&gt;=$AQ180,BG$166=0),0,IF(SUM(BG$168:BG179)&lt;1,10%,0))),0%)</f>
        <v>0</v>
      </c>
      <c r="BH180" s="2">
        <f>IF($AQ180&lt;='Premissas Gerais'!$G$6,(IF(OR(BH$167&gt;=$AQ180,BH$166=0),0,IF(SUM(BH$168:BH179)&lt;1,10%,0))),0%)</f>
        <v>0</v>
      </c>
      <c r="BI180" s="2">
        <f>IF($AQ180&lt;='Premissas Gerais'!$G$6,(IF(OR(BI$167&gt;=$AQ180,BI$166=0),0,IF(SUM(BI$168:BI179)&lt;1,10%,0))),0%)</f>
        <v>0</v>
      </c>
      <c r="BJ180" s="2">
        <f>IF($AQ180&lt;='Premissas Gerais'!$G$6,(IF(OR(BJ$167&gt;=$AQ180,BJ$166=0),0,IF(SUM(BJ$168:BJ179)&lt;1,10%,0))),0%)</f>
        <v>0</v>
      </c>
      <c r="BK180" s="2">
        <f ca="1">IF($AQ180&lt;='Premissas Gerais'!$G$6,(IF(OR(BK$167&gt;=$AQ180,BK$166=0),0,IF(SUM(BK$168:BK179)&lt;1,10%,0))),0%)</f>
        <v>0</v>
      </c>
      <c r="BL180" s="2">
        <f>IF($AQ180&lt;='Premissas Gerais'!$G$6,(IF(OR(BL$167&gt;=$AQ180,BL$166=0),0,IF(SUM(BL$168:BL179)&lt;1,10%,0))),0%)</f>
        <v>0</v>
      </c>
      <c r="BM180" s="2">
        <f>IF($AQ180&lt;='Premissas Gerais'!$G$6,(IF(OR(BM$167&gt;=$AQ180,BM$166=0),0,IF(SUM(BM$168:BM179)&lt;1,10%,0))),0%)</f>
        <v>0</v>
      </c>
      <c r="BN180" s="2">
        <f>IF($AQ180&lt;='Premissas Gerais'!$G$6,(IF(OR(BN$167&gt;=$AQ180,BN$166=0),0,IF(SUM(BN$168:BN179)&lt;1,10%,0))),0%)</f>
        <v>0</v>
      </c>
      <c r="BO180" s="2">
        <f>IF($AQ180&lt;='Premissas Gerais'!$G$6,(IF(OR(BO$167&gt;=$AQ180,BO$166=0),0,IF(SUM(BO$168:BO179)&lt;1,10%,0))),0%)</f>
        <v>0</v>
      </c>
      <c r="BP180" s="2">
        <f ca="1">IF($AQ180&lt;='Premissas Gerais'!$G$6,(IF(OR(BP$167&gt;=$AQ180,BP$166=0),0,IF(SUM(BP$168:BP179)&lt;1,10%,0))),0%)</f>
        <v>0</v>
      </c>
      <c r="BQ180" s="2">
        <f>IF($AQ180&lt;='Premissas Gerais'!$G$6,(IF(OR(BQ$167&gt;=$AQ180,BQ$166=0),0,IF(SUM(BQ$168:BQ179)&lt;1,10%,0))),0%)</f>
        <v>0</v>
      </c>
      <c r="BR180" s="2">
        <f>IF($AQ180&lt;='Premissas Gerais'!$G$6,(IF(OR(BR$167&gt;=$AQ180,BR$166=0),0,IF(SUM(BR$168:BR179)&lt;1,10%,0))),0%)</f>
        <v>0</v>
      </c>
      <c r="BS180" s="2">
        <f>IF($AQ180&lt;='Premissas Gerais'!$G$6,(IF(OR(BS$167&gt;=$AQ180,BS$166=0),0,IF(SUM(BS$168:BS179)&lt;1,10%,0))),0%)</f>
        <v>0</v>
      </c>
      <c r="BT180" s="2">
        <f>IF($AQ180&lt;='Premissas Gerais'!$G$6,(IF(OR(BT$167&gt;=$AQ180,BT$166=0),0,IF(SUM(BT$168:BT179)&lt;1,10%,0))),0%)</f>
        <v>0</v>
      </c>
      <c r="BU180" s="2">
        <f ca="1">IF($AQ180&lt;='Premissas Gerais'!$G$6,(IF(OR(BU$167&gt;=$AQ180,BU$166=0),0,IF(SUM(BU$168:BU179)&lt;1,10%,0))),0%)</f>
        <v>0</v>
      </c>
      <c r="BV180" s="2">
        <f>IF($AQ180&lt;='Premissas Gerais'!$G$6,(IF(OR(BV$167&gt;=$AQ180,BV$166=0),0,IF(SUM(BV$168:BV179)&lt;1,10%,0))),0%)</f>
        <v>0</v>
      </c>
      <c r="BW180" s="2">
        <f>IF($AQ180&lt;='Premissas Gerais'!$G$6,(IF(OR(BW$167&gt;=$AQ180,BW$166=0),0,IF(SUM(BW$168:BW179)&lt;1,10%,0))),0%)</f>
        <v>0</v>
      </c>
      <c r="BX180" s="2">
        <f>IF($AQ180&lt;='Premissas Gerais'!$G$6,(IF(OR(BX$167&gt;=$AQ180,BX$166=0),0,IF(SUM(BX$168:BX179)&lt;1,10%,0))),0%)</f>
        <v>0</v>
      </c>
      <c r="BY180" s="2">
        <f>IF($AQ180&lt;='Premissas Gerais'!$G$6,(IF(OR(BY$167&gt;=$AQ180,BY$166=0),0,IF(SUM(BY$168:BY179)&lt;1,10%,0))),0%)</f>
        <v>0</v>
      </c>
      <c r="BZ180" s="2">
        <f>IF($AQ180&lt;='Premissas Gerais'!$G$6,(IF(OR(BZ$167&gt;=$AQ180,BZ$166=0),0,IF(SUM(BZ$168:BZ179)&lt;1,10%,0))),0%)</f>
        <v>0</v>
      </c>
    </row>
    <row r="181" spans="3:78" outlineLevel="1">
      <c r="C181" s="155">
        <v>12</v>
      </c>
      <c r="E181" s="133">
        <f ca="1">IF(C181&lt;='Premissas Gerais'!$G$6,SUM(F181:AN181),0)</f>
        <v>0</v>
      </c>
      <c r="F181" s="4">
        <f t="shared" si="93"/>
        <v>0</v>
      </c>
      <c r="G181" s="4">
        <f t="shared" si="94"/>
        <v>0</v>
      </c>
      <c r="H181" s="4">
        <f t="shared" si="95"/>
        <v>0</v>
      </c>
      <c r="I181" s="4">
        <f t="shared" si="96"/>
        <v>0</v>
      </c>
      <c r="J181" s="4">
        <f t="shared" ca="1" si="97"/>
        <v>0</v>
      </c>
      <c r="K181" s="4">
        <f t="shared" si="98"/>
        <v>0</v>
      </c>
      <c r="L181" s="4">
        <f t="shared" si="99"/>
        <v>0</v>
      </c>
      <c r="M181" s="4">
        <f t="shared" si="100"/>
        <v>0</v>
      </c>
      <c r="N181" s="4">
        <f t="shared" si="101"/>
        <v>0</v>
      </c>
      <c r="O181" s="4">
        <f t="shared" ca="1" si="102"/>
        <v>0</v>
      </c>
      <c r="P181" s="4">
        <f t="shared" si="103"/>
        <v>0</v>
      </c>
      <c r="Q181" s="4">
        <f t="shared" si="104"/>
        <v>0</v>
      </c>
      <c r="R181" s="4">
        <f t="shared" si="105"/>
        <v>0</v>
      </c>
      <c r="S181" s="4">
        <f t="shared" si="106"/>
        <v>0</v>
      </c>
      <c r="T181" s="4">
        <f t="shared" ca="1" si="107"/>
        <v>0</v>
      </c>
      <c r="U181" s="4">
        <f t="shared" si="108"/>
        <v>0</v>
      </c>
      <c r="V181" s="4">
        <f t="shared" si="109"/>
        <v>0</v>
      </c>
      <c r="W181" s="4">
        <f t="shared" si="110"/>
        <v>0</v>
      </c>
      <c r="X181" s="4">
        <f t="shared" si="111"/>
        <v>0</v>
      </c>
      <c r="Y181" s="4">
        <f t="shared" ca="1" si="112"/>
        <v>0</v>
      </c>
      <c r="Z181" s="4">
        <f t="shared" si="113"/>
        <v>0</v>
      </c>
      <c r="AA181" s="4">
        <f t="shared" si="114"/>
        <v>0</v>
      </c>
      <c r="AB181" s="4">
        <f t="shared" si="115"/>
        <v>0</v>
      </c>
      <c r="AC181" s="4">
        <f t="shared" si="116"/>
        <v>0</v>
      </c>
      <c r="AD181" s="4">
        <f t="shared" ca="1" si="117"/>
        <v>0</v>
      </c>
      <c r="AE181" s="4">
        <f t="shared" si="118"/>
        <v>0</v>
      </c>
      <c r="AF181" s="4">
        <f t="shared" si="119"/>
        <v>0</v>
      </c>
      <c r="AG181" s="4">
        <f t="shared" si="120"/>
        <v>0</v>
      </c>
      <c r="AH181" s="4">
        <f t="shared" si="121"/>
        <v>0</v>
      </c>
      <c r="AI181" s="4">
        <f t="shared" ca="1" si="122"/>
        <v>0</v>
      </c>
      <c r="AJ181" s="4">
        <f t="shared" si="123"/>
        <v>0</v>
      </c>
      <c r="AK181" s="4">
        <f t="shared" si="124"/>
        <v>0</v>
      </c>
      <c r="AL181" s="4">
        <f t="shared" si="125"/>
        <v>0</v>
      </c>
      <c r="AM181" s="4">
        <f t="shared" si="126"/>
        <v>0</v>
      </c>
      <c r="AN181" s="4">
        <f t="shared" si="127"/>
        <v>0</v>
      </c>
      <c r="AP181" s="180">
        <f>IF(AQ181&lt;='Premissas Gerais'!$G$6,1,0)</f>
        <v>1</v>
      </c>
      <c r="AQ181" s="1">
        <v>13</v>
      </c>
      <c r="AR181" s="2">
        <f>IF($AQ181&lt;='Premissas Gerais'!$G$6,(IF(OR(AR$167&gt;=$AQ181,AR$166=0),0,IF(SUM(AR$168:AR180)&lt;1,10%,0))),0%)</f>
        <v>0</v>
      </c>
      <c r="AS181" s="2">
        <f>IF($AQ181&lt;='Premissas Gerais'!$G$6,(IF(OR(AS$167&gt;=$AQ181,AS$166=0),0,IF(SUM(AS$168:AS180)&lt;1,10%,0))),0%)</f>
        <v>0</v>
      </c>
      <c r="AT181" s="2">
        <f>IF($AQ181&lt;='Premissas Gerais'!$G$6,(IF(OR(AT$167&gt;=$AQ181,AT$166=0),0,IF(SUM(AT$168:AT180)&lt;1,10%,0))),0%)</f>
        <v>0</v>
      </c>
      <c r="AU181" s="2">
        <f>IF($AQ181&lt;='Premissas Gerais'!$G$6,(IF(OR(AU$167&gt;=$AQ181,AU$166=0),0,IF(SUM(AU$168:AU180)&lt;1,10%,0))),0%)</f>
        <v>0</v>
      </c>
      <c r="AV181" s="2">
        <f ca="1">IF($AQ181&lt;='Premissas Gerais'!$G$6,(IF(OR(AV$167&gt;=$AQ181,AV$166=0),0,IF(SUM(AV$168:AV180)&lt;1,10%,0))),0%)</f>
        <v>0</v>
      </c>
      <c r="AW181" s="2">
        <f>IF($AQ181&lt;='Premissas Gerais'!$G$6,(IF(OR(AW$167&gt;=$AQ181,AW$166=0),0,IF(SUM(AW$168:AW180)&lt;1,10%,0))),0%)</f>
        <v>0</v>
      </c>
      <c r="AX181" s="2">
        <f>IF($AQ181&lt;='Premissas Gerais'!$G$6,(IF(OR(AX$167&gt;=$AQ181,AX$166=0),0,IF(SUM(AX$168:AX180)&lt;1,10%,0))),0%)</f>
        <v>0</v>
      </c>
      <c r="AY181" s="2">
        <f>IF($AQ181&lt;='Premissas Gerais'!$G$6,(IF(OR(AY$167&gt;=$AQ181,AY$166=0),0,IF(SUM(AY$168:AY180)&lt;1,10%,0))),0%)</f>
        <v>0</v>
      </c>
      <c r="AZ181" s="2">
        <f>IF($AQ181&lt;='Premissas Gerais'!$G$6,(IF(OR(AZ$167&gt;=$AQ181,AZ$166=0),0,IF(SUM(AZ$168:AZ180)&lt;1,10%,0))),0%)</f>
        <v>0</v>
      </c>
      <c r="BA181" s="2">
        <f ca="1">IF($AQ181&lt;='Premissas Gerais'!$G$6,(IF(OR(BA$167&gt;=$AQ181,BA$166=0),0,IF(SUM(BA$168:BA180)&lt;1,10%,0))),0%)</f>
        <v>0</v>
      </c>
      <c r="BB181" s="2">
        <f>IF($AQ181&lt;='Premissas Gerais'!$G$6,(IF(OR(BB$167&gt;=$AQ181,BB$166=0),0,IF(SUM(BB$168:BB180)&lt;1,10%,0))),0%)</f>
        <v>0</v>
      </c>
      <c r="BC181" s="2">
        <f>IF($AQ181&lt;='Premissas Gerais'!$G$6,(IF(OR(BC$167&gt;=$AQ181,BC$166=0),0,IF(SUM(BC$168:BC180)&lt;1,10%,0))),0%)</f>
        <v>0</v>
      </c>
      <c r="BD181" s="2">
        <f>IF($AQ181&lt;='Premissas Gerais'!$G$6,(IF(OR(BD$167&gt;=$AQ181,BD$166=0),0,IF(SUM(BD$168:BD180)&lt;1,10%,0))),0%)</f>
        <v>0</v>
      </c>
      <c r="BE181" s="2">
        <f>IF($AQ181&lt;='Premissas Gerais'!$G$6,(IF(OR(BE$167&gt;=$AQ181,BE$166=0),0,IF(SUM(BE$168:BE180)&lt;1,10%,0))),0%)</f>
        <v>0</v>
      </c>
      <c r="BF181" s="2">
        <f ca="1">IF($AQ181&lt;='Premissas Gerais'!$G$6,(IF(OR(BF$167&gt;=$AQ181,BF$166=0),0,IF(SUM(BF$168:BF180)&lt;1,10%,0))),0%)</f>
        <v>0</v>
      </c>
      <c r="BG181" s="2">
        <f>IF($AQ181&lt;='Premissas Gerais'!$G$6,(IF(OR(BG$167&gt;=$AQ181,BG$166=0),0,IF(SUM(BG$168:BG180)&lt;1,10%,0))),0%)</f>
        <v>0</v>
      </c>
      <c r="BH181" s="2">
        <f>IF($AQ181&lt;='Premissas Gerais'!$G$6,(IF(OR(BH$167&gt;=$AQ181,BH$166=0),0,IF(SUM(BH$168:BH180)&lt;1,10%,0))),0%)</f>
        <v>0</v>
      </c>
      <c r="BI181" s="2">
        <f>IF($AQ181&lt;='Premissas Gerais'!$G$6,(IF(OR(BI$167&gt;=$AQ181,BI$166=0),0,IF(SUM(BI$168:BI180)&lt;1,10%,0))),0%)</f>
        <v>0</v>
      </c>
      <c r="BJ181" s="2">
        <f>IF($AQ181&lt;='Premissas Gerais'!$G$6,(IF(OR(BJ$167&gt;=$AQ181,BJ$166=0),0,IF(SUM(BJ$168:BJ180)&lt;1,10%,0))),0%)</f>
        <v>0</v>
      </c>
      <c r="BK181" s="2">
        <f ca="1">IF($AQ181&lt;='Premissas Gerais'!$G$6,(IF(OR(BK$167&gt;=$AQ181,BK$166=0),0,IF(SUM(BK$168:BK180)&lt;1,10%,0))),0%)</f>
        <v>0</v>
      </c>
      <c r="BL181" s="2">
        <f>IF($AQ181&lt;='Premissas Gerais'!$G$6,(IF(OR(BL$167&gt;=$AQ181,BL$166=0),0,IF(SUM(BL$168:BL180)&lt;1,10%,0))),0%)</f>
        <v>0</v>
      </c>
      <c r="BM181" s="2">
        <f>IF($AQ181&lt;='Premissas Gerais'!$G$6,(IF(OR(BM$167&gt;=$AQ181,BM$166=0),0,IF(SUM(BM$168:BM180)&lt;1,10%,0))),0%)</f>
        <v>0</v>
      </c>
      <c r="BN181" s="2">
        <f>IF($AQ181&lt;='Premissas Gerais'!$G$6,(IF(OR(BN$167&gt;=$AQ181,BN$166=0),0,IF(SUM(BN$168:BN180)&lt;1,10%,0))),0%)</f>
        <v>0</v>
      </c>
      <c r="BO181" s="2">
        <f>IF($AQ181&lt;='Premissas Gerais'!$G$6,(IF(OR(BO$167&gt;=$AQ181,BO$166=0),0,IF(SUM(BO$168:BO180)&lt;1,10%,0))),0%)</f>
        <v>0</v>
      </c>
      <c r="BP181" s="2">
        <f ca="1">IF($AQ181&lt;='Premissas Gerais'!$G$6,(IF(OR(BP$167&gt;=$AQ181,BP$166=0),0,IF(SUM(BP$168:BP180)&lt;1,10%,0))),0%)</f>
        <v>0</v>
      </c>
      <c r="BQ181" s="2">
        <f>IF($AQ181&lt;='Premissas Gerais'!$G$6,(IF(OR(BQ$167&gt;=$AQ181,BQ$166=0),0,IF(SUM(BQ$168:BQ180)&lt;1,10%,0))),0%)</f>
        <v>0</v>
      </c>
      <c r="BR181" s="2">
        <f>IF($AQ181&lt;='Premissas Gerais'!$G$6,(IF(OR(BR$167&gt;=$AQ181,BR$166=0),0,IF(SUM(BR$168:BR180)&lt;1,10%,0))),0%)</f>
        <v>0</v>
      </c>
      <c r="BS181" s="2">
        <f>IF($AQ181&lt;='Premissas Gerais'!$G$6,(IF(OR(BS$167&gt;=$AQ181,BS$166=0),0,IF(SUM(BS$168:BS180)&lt;1,10%,0))),0%)</f>
        <v>0</v>
      </c>
      <c r="BT181" s="2">
        <f>IF($AQ181&lt;='Premissas Gerais'!$G$6,(IF(OR(BT$167&gt;=$AQ181,BT$166=0),0,IF(SUM(BT$168:BT180)&lt;1,10%,0))),0%)</f>
        <v>0</v>
      </c>
      <c r="BU181" s="2">
        <f ca="1">IF($AQ181&lt;='Premissas Gerais'!$G$6,(IF(OR(BU$167&gt;=$AQ181,BU$166=0),0,IF(SUM(BU$168:BU180)&lt;1,10%,0))),0%)</f>
        <v>0</v>
      </c>
      <c r="BV181" s="2">
        <f>IF($AQ181&lt;='Premissas Gerais'!$G$6,(IF(OR(BV$167&gt;=$AQ181,BV$166=0),0,IF(SUM(BV$168:BV180)&lt;1,10%,0))),0%)</f>
        <v>0</v>
      </c>
      <c r="BW181" s="2">
        <f>IF($AQ181&lt;='Premissas Gerais'!$G$6,(IF(OR(BW$167&gt;=$AQ181,BW$166=0),0,IF(SUM(BW$168:BW180)&lt;1,10%,0))),0%)</f>
        <v>0</v>
      </c>
      <c r="BX181" s="2">
        <f>IF($AQ181&lt;='Premissas Gerais'!$G$6,(IF(OR(BX$167&gt;=$AQ181,BX$166=0),0,IF(SUM(BX$168:BX180)&lt;1,10%,0))),0%)</f>
        <v>0</v>
      </c>
      <c r="BY181" s="2">
        <f>IF($AQ181&lt;='Premissas Gerais'!$G$6,(IF(OR(BY$167&gt;=$AQ181,BY$166=0),0,IF(SUM(BY$168:BY180)&lt;1,10%,0))),0%)</f>
        <v>0</v>
      </c>
      <c r="BZ181" s="2">
        <f>IF($AQ181&lt;='Premissas Gerais'!$G$6,(IF(OR(BZ$167&gt;=$AQ181,BZ$166=0),0,IF(SUM(BZ$168:BZ180)&lt;1,10%,0))),0%)</f>
        <v>0</v>
      </c>
    </row>
    <row r="182" spans="3:78" outlineLevel="1">
      <c r="C182" s="155">
        <v>13</v>
      </c>
      <c r="E182" s="133">
        <f ca="1">IF(C182&lt;='Premissas Gerais'!$G$6,SUM(F182:AN182),0)</f>
        <v>0</v>
      </c>
      <c r="F182" s="4">
        <f t="shared" si="93"/>
        <v>0</v>
      </c>
      <c r="G182" s="4">
        <f t="shared" si="94"/>
        <v>0</v>
      </c>
      <c r="H182" s="4">
        <f t="shared" si="95"/>
        <v>0</v>
      </c>
      <c r="I182" s="4">
        <f t="shared" si="96"/>
        <v>0</v>
      </c>
      <c r="J182" s="4">
        <f t="shared" ca="1" si="97"/>
        <v>0</v>
      </c>
      <c r="K182" s="4">
        <f t="shared" si="98"/>
        <v>0</v>
      </c>
      <c r="L182" s="4">
        <f t="shared" si="99"/>
        <v>0</v>
      </c>
      <c r="M182" s="4">
        <f t="shared" si="100"/>
        <v>0</v>
      </c>
      <c r="N182" s="4">
        <f t="shared" si="101"/>
        <v>0</v>
      </c>
      <c r="O182" s="4">
        <f t="shared" ca="1" si="102"/>
        <v>0</v>
      </c>
      <c r="P182" s="4">
        <f t="shared" si="103"/>
        <v>0</v>
      </c>
      <c r="Q182" s="4">
        <f t="shared" si="104"/>
        <v>0</v>
      </c>
      <c r="R182" s="4">
        <f t="shared" si="105"/>
        <v>0</v>
      </c>
      <c r="S182" s="4">
        <f t="shared" si="106"/>
        <v>0</v>
      </c>
      <c r="T182" s="4">
        <f t="shared" ca="1" si="107"/>
        <v>0</v>
      </c>
      <c r="U182" s="4">
        <f t="shared" si="108"/>
        <v>0</v>
      </c>
      <c r="V182" s="4">
        <f t="shared" si="109"/>
        <v>0</v>
      </c>
      <c r="W182" s="4">
        <f t="shared" si="110"/>
        <v>0</v>
      </c>
      <c r="X182" s="4">
        <f t="shared" si="111"/>
        <v>0</v>
      </c>
      <c r="Y182" s="4">
        <f t="shared" ca="1" si="112"/>
        <v>0</v>
      </c>
      <c r="Z182" s="4">
        <f t="shared" si="113"/>
        <v>0</v>
      </c>
      <c r="AA182" s="4">
        <f t="shared" si="114"/>
        <v>0</v>
      </c>
      <c r="AB182" s="4">
        <f t="shared" si="115"/>
        <v>0</v>
      </c>
      <c r="AC182" s="4">
        <f t="shared" si="116"/>
        <v>0</v>
      </c>
      <c r="AD182" s="4">
        <f t="shared" ca="1" si="117"/>
        <v>0</v>
      </c>
      <c r="AE182" s="4">
        <f t="shared" si="118"/>
        <v>0</v>
      </c>
      <c r="AF182" s="4">
        <f t="shared" si="119"/>
        <v>0</v>
      </c>
      <c r="AG182" s="4">
        <f t="shared" si="120"/>
        <v>0</v>
      </c>
      <c r="AH182" s="4">
        <f t="shared" si="121"/>
        <v>0</v>
      </c>
      <c r="AI182" s="4">
        <f t="shared" ca="1" si="122"/>
        <v>0</v>
      </c>
      <c r="AJ182" s="4">
        <f t="shared" si="123"/>
        <v>0</v>
      </c>
      <c r="AK182" s="4">
        <f t="shared" si="124"/>
        <v>0</v>
      </c>
      <c r="AL182" s="4">
        <f t="shared" si="125"/>
        <v>0</v>
      </c>
      <c r="AM182" s="4">
        <f t="shared" si="126"/>
        <v>0</v>
      </c>
      <c r="AN182" s="4">
        <f t="shared" si="127"/>
        <v>0</v>
      </c>
      <c r="AP182" s="180">
        <f>IF(AQ182&lt;='Premissas Gerais'!$G$6,1,0)</f>
        <v>1</v>
      </c>
      <c r="AQ182" s="1">
        <v>14</v>
      </c>
      <c r="AR182" s="2">
        <f>IF($AQ182&lt;='Premissas Gerais'!$G$6,(IF(OR(AR$167&gt;=$AQ182,AR$166=0),0,IF(SUM(AR$168:AR181)&lt;1,10%,0))),0%)</f>
        <v>0</v>
      </c>
      <c r="AS182" s="2">
        <f>IF($AQ182&lt;='Premissas Gerais'!$G$6,(IF(OR(AS$167&gt;=$AQ182,AS$166=0),0,IF(SUM(AS$168:AS181)&lt;1,10%,0))),0%)</f>
        <v>0</v>
      </c>
      <c r="AT182" s="2">
        <f>IF($AQ182&lt;='Premissas Gerais'!$G$6,(IF(OR(AT$167&gt;=$AQ182,AT$166=0),0,IF(SUM(AT$168:AT181)&lt;1,10%,0))),0%)</f>
        <v>0</v>
      </c>
      <c r="AU182" s="2">
        <f>IF($AQ182&lt;='Premissas Gerais'!$G$6,(IF(OR(AU$167&gt;=$AQ182,AU$166=0),0,IF(SUM(AU$168:AU181)&lt;1,10%,0))),0%)</f>
        <v>0</v>
      </c>
      <c r="AV182" s="2">
        <f ca="1">IF($AQ182&lt;='Premissas Gerais'!$G$6,(IF(OR(AV$167&gt;=$AQ182,AV$166=0),0,IF(SUM(AV$168:AV181)&lt;1,10%,0))),0%)</f>
        <v>0</v>
      </c>
      <c r="AW182" s="2">
        <f>IF($AQ182&lt;='Premissas Gerais'!$G$6,(IF(OR(AW$167&gt;=$AQ182,AW$166=0),0,IF(SUM(AW$168:AW181)&lt;1,10%,0))),0%)</f>
        <v>0</v>
      </c>
      <c r="AX182" s="2">
        <f>IF($AQ182&lt;='Premissas Gerais'!$G$6,(IF(OR(AX$167&gt;=$AQ182,AX$166=0),0,IF(SUM(AX$168:AX181)&lt;1,10%,0))),0%)</f>
        <v>0</v>
      </c>
      <c r="AY182" s="2">
        <f>IF($AQ182&lt;='Premissas Gerais'!$G$6,(IF(OR(AY$167&gt;=$AQ182,AY$166=0),0,IF(SUM(AY$168:AY181)&lt;1,10%,0))),0%)</f>
        <v>0</v>
      </c>
      <c r="AZ182" s="2">
        <f>IF($AQ182&lt;='Premissas Gerais'!$G$6,(IF(OR(AZ$167&gt;=$AQ182,AZ$166=0),0,IF(SUM(AZ$168:AZ181)&lt;1,10%,0))),0%)</f>
        <v>0</v>
      </c>
      <c r="BA182" s="2">
        <f ca="1">IF($AQ182&lt;='Premissas Gerais'!$G$6,(IF(OR(BA$167&gt;=$AQ182,BA$166=0),0,IF(SUM(BA$168:BA181)&lt;1,10%,0))),0%)</f>
        <v>0</v>
      </c>
      <c r="BB182" s="2">
        <f>IF($AQ182&lt;='Premissas Gerais'!$G$6,(IF(OR(BB$167&gt;=$AQ182,BB$166=0),0,IF(SUM(BB$168:BB181)&lt;1,10%,0))),0%)</f>
        <v>0</v>
      </c>
      <c r="BC182" s="2">
        <f>IF($AQ182&lt;='Premissas Gerais'!$G$6,(IF(OR(BC$167&gt;=$AQ182,BC$166=0),0,IF(SUM(BC$168:BC181)&lt;1,10%,0))),0%)</f>
        <v>0</v>
      </c>
      <c r="BD182" s="2">
        <f>IF($AQ182&lt;='Premissas Gerais'!$G$6,(IF(OR(BD$167&gt;=$AQ182,BD$166=0),0,IF(SUM(BD$168:BD181)&lt;1,10%,0))),0%)</f>
        <v>0</v>
      </c>
      <c r="BE182" s="2">
        <f>IF($AQ182&lt;='Premissas Gerais'!$G$6,(IF(OR(BE$167&gt;=$AQ182,BE$166=0),0,IF(SUM(BE$168:BE181)&lt;1,10%,0))),0%)</f>
        <v>0</v>
      </c>
      <c r="BF182" s="2">
        <f ca="1">IF($AQ182&lt;='Premissas Gerais'!$G$6,(IF(OR(BF$167&gt;=$AQ182,BF$166=0),0,IF(SUM(BF$168:BF181)&lt;1,10%,0))),0%)</f>
        <v>0</v>
      </c>
      <c r="BG182" s="2">
        <f>IF($AQ182&lt;='Premissas Gerais'!$G$6,(IF(OR(BG$167&gt;=$AQ182,BG$166=0),0,IF(SUM(BG$168:BG181)&lt;1,10%,0))),0%)</f>
        <v>0</v>
      </c>
      <c r="BH182" s="2">
        <f>IF($AQ182&lt;='Premissas Gerais'!$G$6,(IF(OR(BH$167&gt;=$AQ182,BH$166=0),0,IF(SUM(BH$168:BH181)&lt;1,10%,0))),0%)</f>
        <v>0</v>
      </c>
      <c r="BI182" s="2">
        <f>IF($AQ182&lt;='Premissas Gerais'!$G$6,(IF(OR(BI$167&gt;=$AQ182,BI$166=0),0,IF(SUM(BI$168:BI181)&lt;1,10%,0))),0%)</f>
        <v>0</v>
      </c>
      <c r="BJ182" s="2">
        <f>IF($AQ182&lt;='Premissas Gerais'!$G$6,(IF(OR(BJ$167&gt;=$AQ182,BJ$166=0),0,IF(SUM(BJ$168:BJ181)&lt;1,10%,0))),0%)</f>
        <v>0</v>
      </c>
      <c r="BK182" s="2">
        <f ca="1">IF($AQ182&lt;='Premissas Gerais'!$G$6,(IF(OR(BK$167&gt;=$AQ182,BK$166=0),0,IF(SUM(BK$168:BK181)&lt;1,10%,0))),0%)</f>
        <v>0</v>
      </c>
      <c r="BL182" s="2">
        <f>IF($AQ182&lt;='Premissas Gerais'!$G$6,(IF(OR(BL$167&gt;=$AQ182,BL$166=0),0,IF(SUM(BL$168:BL181)&lt;1,10%,0))),0%)</f>
        <v>0</v>
      </c>
      <c r="BM182" s="2">
        <f>IF($AQ182&lt;='Premissas Gerais'!$G$6,(IF(OR(BM$167&gt;=$AQ182,BM$166=0),0,IF(SUM(BM$168:BM181)&lt;1,10%,0))),0%)</f>
        <v>0</v>
      </c>
      <c r="BN182" s="2">
        <f>IF($AQ182&lt;='Premissas Gerais'!$G$6,(IF(OR(BN$167&gt;=$AQ182,BN$166=0),0,IF(SUM(BN$168:BN181)&lt;1,10%,0))),0%)</f>
        <v>0</v>
      </c>
      <c r="BO182" s="2">
        <f>IF($AQ182&lt;='Premissas Gerais'!$G$6,(IF(OR(BO$167&gt;=$AQ182,BO$166=0),0,IF(SUM(BO$168:BO181)&lt;1,10%,0))),0%)</f>
        <v>0</v>
      </c>
      <c r="BP182" s="2">
        <f ca="1">IF($AQ182&lt;='Premissas Gerais'!$G$6,(IF(OR(BP$167&gt;=$AQ182,BP$166=0),0,IF(SUM(BP$168:BP181)&lt;1,10%,0))),0%)</f>
        <v>0</v>
      </c>
      <c r="BQ182" s="2">
        <f>IF($AQ182&lt;='Premissas Gerais'!$G$6,(IF(OR(BQ$167&gt;=$AQ182,BQ$166=0),0,IF(SUM(BQ$168:BQ181)&lt;1,10%,0))),0%)</f>
        <v>0</v>
      </c>
      <c r="BR182" s="2">
        <f>IF($AQ182&lt;='Premissas Gerais'!$G$6,(IF(OR(BR$167&gt;=$AQ182,BR$166=0),0,IF(SUM(BR$168:BR181)&lt;1,10%,0))),0%)</f>
        <v>0</v>
      </c>
      <c r="BS182" s="2">
        <f>IF($AQ182&lt;='Premissas Gerais'!$G$6,(IF(OR(BS$167&gt;=$AQ182,BS$166=0),0,IF(SUM(BS$168:BS181)&lt;1,10%,0))),0%)</f>
        <v>0</v>
      </c>
      <c r="BT182" s="2">
        <f>IF($AQ182&lt;='Premissas Gerais'!$G$6,(IF(OR(BT$167&gt;=$AQ182,BT$166=0),0,IF(SUM(BT$168:BT181)&lt;1,10%,0))),0%)</f>
        <v>0</v>
      </c>
      <c r="BU182" s="2">
        <f ca="1">IF($AQ182&lt;='Premissas Gerais'!$G$6,(IF(OR(BU$167&gt;=$AQ182,BU$166=0),0,IF(SUM(BU$168:BU181)&lt;1,10%,0))),0%)</f>
        <v>0</v>
      </c>
      <c r="BV182" s="2">
        <f>IF($AQ182&lt;='Premissas Gerais'!$G$6,(IF(OR(BV$167&gt;=$AQ182,BV$166=0),0,IF(SUM(BV$168:BV181)&lt;1,10%,0))),0%)</f>
        <v>0</v>
      </c>
      <c r="BW182" s="2">
        <f>IF($AQ182&lt;='Premissas Gerais'!$G$6,(IF(OR(BW$167&gt;=$AQ182,BW$166=0),0,IF(SUM(BW$168:BW181)&lt;1,10%,0))),0%)</f>
        <v>0</v>
      </c>
      <c r="BX182" s="2">
        <f>IF($AQ182&lt;='Premissas Gerais'!$G$6,(IF(OR(BX$167&gt;=$AQ182,BX$166=0),0,IF(SUM(BX$168:BX181)&lt;1,10%,0))),0%)</f>
        <v>0</v>
      </c>
      <c r="BY182" s="2">
        <f>IF($AQ182&lt;='Premissas Gerais'!$G$6,(IF(OR(BY$167&gt;=$AQ182,BY$166=0),0,IF(SUM(BY$168:BY181)&lt;1,10%,0))),0%)</f>
        <v>0</v>
      </c>
      <c r="BZ182" s="2">
        <f>IF($AQ182&lt;='Premissas Gerais'!$G$6,(IF(OR(BZ$167&gt;=$AQ182,BZ$166=0),0,IF(SUM(BZ$168:BZ181)&lt;1,10%,0))),0%)</f>
        <v>0</v>
      </c>
    </row>
    <row r="183" spans="3:78" outlineLevel="1">
      <c r="C183" s="155">
        <v>14</v>
      </c>
      <c r="E183" s="133">
        <f ca="1">IF(C183&lt;='Premissas Gerais'!$G$6,SUM(F183:AN183),0)</f>
        <v>0</v>
      </c>
      <c r="F183" s="4">
        <f t="shared" si="93"/>
        <v>0</v>
      </c>
      <c r="G183" s="4">
        <f t="shared" si="94"/>
        <v>0</v>
      </c>
      <c r="H183" s="4">
        <f t="shared" si="95"/>
        <v>0</v>
      </c>
      <c r="I183" s="4">
        <f t="shared" si="96"/>
        <v>0</v>
      </c>
      <c r="J183" s="4">
        <f t="shared" ca="1" si="97"/>
        <v>0</v>
      </c>
      <c r="K183" s="4">
        <f t="shared" si="98"/>
        <v>0</v>
      </c>
      <c r="L183" s="4">
        <f t="shared" si="99"/>
        <v>0</v>
      </c>
      <c r="M183" s="4">
        <f t="shared" si="100"/>
        <v>0</v>
      </c>
      <c r="N183" s="4">
        <f t="shared" si="101"/>
        <v>0</v>
      </c>
      <c r="O183" s="4">
        <f t="shared" ca="1" si="102"/>
        <v>0</v>
      </c>
      <c r="P183" s="4">
        <f t="shared" si="103"/>
        <v>0</v>
      </c>
      <c r="Q183" s="4">
        <f t="shared" si="104"/>
        <v>0</v>
      </c>
      <c r="R183" s="4">
        <f t="shared" si="105"/>
        <v>0</v>
      </c>
      <c r="S183" s="4">
        <f t="shared" si="106"/>
        <v>0</v>
      </c>
      <c r="T183" s="4">
        <f t="shared" ca="1" si="107"/>
        <v>0</v>
      </c>
      <c r="U183" s="4">
        <f t="shared" si="108"/>
        <v>0</v>
      </c>
      <c r="V183" s="4">
        <f t="shared" si="109"/>
        <v>0</v>
      </c>
      <c r="W183" s="4">
        <f t="shared" si="110"/>
        <v>0</v>
      </c>
      <c r="X183" s="4">
        <f t="shared" si="111"/>
        <v>0</v>
      </c>
      <c r="Y183" s="4">
        <f t="shared" ca="1" si="112"/>
        <v>0</v>
      </c>
      <c r="Z183" s="4">
        <f t="shared" si="113"/>
        <v>0</v>
      </c>
      <c r="AA183" s="4">
        <f t="shared" si="114"/>
        <v>0</v>
      </c>
      <c r="AB183" s="4">
        <f t="shared" si="115"/>
        <v>0</v>
      </c>
      <c r="AC183" s="4">
        <f t="shared" si="116"/>
        <v>0</v>
      </c>
      <c r="AD183" s="4">
        <f t="shared" ca="1" si="117"/>
        <v>0</v>
      </c>
      <c r="AE183" s="4">
        <f t="shared" si="118"/>
        <v>0</v>
      </c>
      <c r="AF183" s="4">
        <f t="shared" si="119"/>
        <v>0</v>
      </c>
      <c r="AG183" s="4">
        <f t="shared" si="120"/>
        <v>0</v>
      </c>
      <c r="AH183" s="4">
        <f t="shared" si="121"/>
        <v>0</v>
      </c>
      <c r="AI183" s="4">
        <f t="shared" ca="1" si="122"/>
        <v>0</v>
      </c>
      <c r="AJ183" s="4">
        <f t="shared" si="123"/>
        <v>0</v>
      </c>
      <c r="AK183" s="4">
        <f t="shared" si="124"/>
        <v>0</v>
      </c>
      <c r="AL183" s="4">
        <f t="shared" si="125"/>
        <v>0</v>
      </c>
      <c r="AM183" s="4">
        <f t="shared" si="126"/>
        <v>0</v>
      </c>
      <c r="AN183" s="4">
        <f t="shared" si="127"/>
        <v>0</v>
      </c>
      <c r="AP183" s="180">
        <f>IF(AQ183&lt;='Premissas Gerais'!$G$6,1,0)</f>
        <v>1</v>
      </c>
      <c r="AQ183" s="1">
        <v>15</v>
      </c>
      <c r="AR183" s="2">
        <f>IF($AQ183&lt;='Premissas Gerais'!$G$6,(IF(OR(AR$167&gt;=$AQ183,AR$166=0),0,IF(SUM(AR$168:AR182)&lt;1,10%,0))),0%)</f>
        <v>0</v>
      </c>
      <c r="AS183" s="2">
        <f>IF($AQ183&lt;='Premissas Gerais'!$G$6,(IF(OR(AS$167&gt;=$AQ183,AS$166=0),0,IF(SUM(AS$168:AS182)&lt;1,10%,0))),0%)</f>
        <v>0</v>
      </c>
      <c r="AT183" s="2">
        <f>IF($AQ183&lt;='Premissas Gerais'!$G$6,(IF(OR(AT$167&gt;=$AQ183,AT$166=0),0,IF(SUM(AT$168:AT182)&lt;1,10%,0))),0%)</f>
        <v>0</v>
      </c>
      <c r="AU183" s="2">
        <f>IF($AQ183&lt;='Premissas Gerais'!$G$6,(IF(OR(AU$167&gt;=$AQ183,AU$166=0),0,IF(SUM(AU$168:AU182)&lt;1,10%,0))),0%)</f>
        <v>0</v>
      </c>
      <c r="AV183" s="2">
        <f ca="1">IF($AQ183&lt;='Premissas Gerais'!$G$6,(IF(OR(AV$167&gt;=$AQ183,AV$166=0),0,IF(SUM(AV$168:AV182)&lt;1,10%,0))),0%)</f>
        <v>0</v>
      </c>
      <c r="AW183" s="2">
        <f>IF($AQ183&lt;='Premissas Gerais'!$G$6,(IF(OR(AW$167&gt;=$AQ183,AW$166=0),0,IF(SUM(AW$168:AW182)&lt;1,10%,0))),0%)</f>
        <v>0</v>
      </c>
      <c r="AX183" s="2">
        <f>IF($AQ183&lt;='Premissas Gerais'!$G$6,(IF(OR(AX$167&gt;=$AQ183,AX$166=0),0,IF(SUM(AX$168:AX182)&lt;1,10%,0))),0%)</f>
        <v>0</v>
      </c>
      <c r="AY183" s="2">
        <f>IF($AQ183&lt;='Premissas Gerais'!$G$6,(IF(OR(AY$167&gt;=$AQ183,AY$166=0),0,IF(SUM(AY$168:AY182)&lt;1,10%,0))),0%)</f>
        <v>0</v>
      </c>
      <c r="AZ183" s="2">
        <f>IF($AQ183&lt;='Premissas Gerais'!$G$6,(IF(OR(AZ$167&gt;=$AQ183,AZ$166=0),0,IF(SUM(AZ$168:AZ182)&lt;1,10%,0))),0%)</f>
        <v>0</v>
      </c>
      <c r="BA183" s="2">
        <f ca="1">IF($AQ183&lt;='Premissas Gerais'!$G$6,(IF(OR(BA$167&gt;=$AQ183,BA$166=0),0,IF(SUM(BA$168:BA182)&lt;1,10%,0))),0%)</f>
        <v>0</v>
      </c>
      <c r="BB183" s="2">
        <f>IF($AQ183&lt;='Premissas Gerais'!$G$6,(IF(OR(BB$167&gt;=$AQ183,BB$166=0),0,IF(SUM(BB$168:BB182)&lt;1,10%,0))),0%)</f>
        <v>0</v>
      </c>
      <c r="BC183" s="2">
        <f>IF($AQ183&lt;='Premissas Gerais'!$G$6,(IF(OR(BC$167&gt;=$AQ183,BC$166=0),0,IF(SUM(BC$168:BC182)&lt;1,10%,0))),0%)</f>
        <v>0</v>
      </c>
      <c r="BD183" s="2">
        <f>IF($AQ183&lt;='Premissas Gerais'!$G$6,(IF(OR(BD$167&gt;=$AQ183,BD$166=0),0,IF(SUM(BD$168:BD182)&lt;1,10%,0))),0%)</f>
        <v>0</v>
      </c>
      <c r="BE183" s="2">
        <f>IF($AQ183&lt;='Premissas Gerais'!$G$6,(IF(OR(BE$167&gt;=$AQ183,BE$166=0),0,IF(SUM(BE$168:BE182)&lt;1,10%,0))),0%)</f>
        <v>0</v>
      </c>
      <c r="BF183" s="2">
        <f ca="1">IF($AQ183&lt;='Premissas Gerais'!$G$6,(IF(OR(BF$167&gt;=$AQ183,BF$166=0),0,IF(SUM(BF$168:BF182)&lt;1,10%,0))),0%)</f>
        <v>0</v>
      </c>
      <c r="BG183" s="2">
        <f>IF($AQ183&lt;='Premissas Gerais'!$G$6,(IF(OR(BG$167&gt;=$AQ183,BG$166=0),0,IF(SUM(BG$168:BG182)&lt;1,10%,0))),0%)</f>
        <v>0</v>
      </c>
      <c r="BH183" s="2">
        <f>IF($AQ183&lt;='Premissas Gerais'!$G$6,(IF(OR(BH$167&gt;=$AQ183,BH$166=0),0,IF(SUM(BH$168:BH182)&lt;1,10%,0))),0%)</f>
        <v>0</v>
      </c>
      <c r="BI183" s="2">
        <f>IF($AQ183&lt;='Premissas Gerais'!$G$6,(IF(OR(BI$167&gt;=$AQ183,BI$166=0),0,IF(SUM(BI$168:BI182)&lt;1,10%,0))),0%)</f>
        <v>0</v>
      </c>
      <c r="BJ183" s="2">
        <f>IF($AQ183&lt;='Premissas Gerais'!$G$6,(IF(OR(BJ$167&gt;=$AQ183,BJ$166=0),0,IF(SUM(BJ$168:BJ182)&lt;1,10%,0))),0%)</f>
        <v>0</v>
      </c>
      <c r="BK183" s="2">
        <f ca="1">IF($AQ183&lt;='Premissas Gerais'!$G$6,(IF(OR(BK$167&gt;=$AQ183,BK$166=0),0,IF(SUM(BK$168:BK182)&lt;1,10%,0))),0%)</f>
        <v>0</v>
      </c>
      <c r="BL183" s="2">
        <f>IF($AQ183&lt;='Premissas Gerais'!$G$6,(IF(OR(BL$167&gt;=$AQ183,BL$166=0),0,IF(SUM(BL$168:BL182)&lt;1,10%,0))),0%)</f>
        <v>0</v>
      </c>
      <c r="BM183" s="2">
        <f>IF($AQ183&lt;='Premissas Gerais'!$G$6,(IF(OR(BM$167&gt;=$AQ183,BM$166=0),0,IF(SUM(BM$168:BM182)&lt;1,10%,0))),0%)</f>
        <v>0</v>
      </c>
      <c r="BN183" s="2">
        <f>IF($AQ183&lt;='Premissas Gerais'!$G$6,(IF(OR(BN$167&gt;=$AQ183,BN$166=0),0,IF(SUM(BN$168:BN182)&lt;1,10%,0))),0%)</f>
        <v>0</v>
      </c>
      <c r="BO183" s="2">
        <f>IF($AQ183&lt;='Premissas Gerais'!$G$6,(IF(OR(BO$167&gt;=$AQ183,BO$166=0),0,IF(SUM(BO$168:BO182)&lt;1,10%,0))),0%)</f>
        <v>0</v>
      </c>
      <c r="BP183" s="2">
        <f ca="1">IF($AQ183&lt;='Premissas Gerais'!$G$6,(IF(OR(BP$167&gt;=$AQ183,BP$166=0),0,IF(SUM(BP$168:BP182)&lt;1,10%,0))),0%)</f>
        <v>0</v>
      </c>
      <c r="BQ183" s="2">
        <f>IF($AQ183&lt;='Premissas Gerais'!$G$6,(IF(OR(BQ$167&gt;=$AQ183,BQ$166=0),0,IF(SUM(BQ$168:BQ182)&lt;1,10%,0))),0%)</f>
        <v>0</v>
      </c>
      <c r="BR183" s="2">
        <f>IF($AQ183&lt;='Premissas Gerais'!$G$6,(IF(OR(BR$167&gt;=$AQ183,BR$166=0),0,IF(SUM(BR$168:BR182)&lt;1,10%,0))),0%)</f>
        <v>0</v>
      </c>
      <c r="BS183" s="2">
        <f>IF($AQ183&lt;='Premissas Gerais'!$G$6,(IF(OR(BS$167&gt;=$AQ183,BS$166=0),0,IF(SUM(BS$168:BS182)&lt;1,10%,0))),0%)</f>
        <v>0</v>
      </c>
      <c r="BT183" s="2">
        <f>IF($AQ183&lt;='Premissas Gerais'!$G$6,(IF(OR(BT$167&gt;=$AQ183,BT$166=0),0,IF(SUM(BT$168:BT182)&lt;1,10%,0))),0%)</f>
        <v>0</v>
      </c>
      <c r="BU183" s="2">
        <f ca="1">IF($AQ183&lt;='Premissas Gerais'!$G$6,(IF(OR(BU$167&gt;=$AQ183,BU$166=0),0,IF(SUM(BU$168:BU182)&lt;1,10%,0))),0%)</f>
        <v>0</v>
      </c>
      <c r="BV183" s="2">
        <f>IF($AQ183&lt;='Premissas Gerais'!$G$6,(IF(OR(BV$167&gt;=$AQ183,BV$166=0),0,IF(SUM(BV$168:BV182)&lt;1,10%,0))),0%)</f>
        <v>0</v>
      </c>
      <c r="BW183" s="2">
        <f>IF($AQ183&lt;='Premissas Gerais'!$G$6,(IF(OR(BW$167&gt;=$AQ183,BW$166=0),0,IF(SUM(BW$168:BW182)&lt;1,10%,0))),0%)</f>
        <v>0</v>
      </c>
      <c r="BX183" s="2">
        <f>IF($AQ183&lt;='Premissas Gerais'!$G$6,(IF(OR(BX$167&gt;=$AQ183,BX$166=0),0,IF(SUM(BX$168:BX182)&lt;1,10%,0))),0%)</f>
        <v>0</v>
      </c>
      <c r="BY183" s="2">
        <f>IF($AQ183&lt;='Premissas Gerais'!$G$6,(IF(OR(BY$167&gt;=$AQ183,BY$166=0),0,IF(SUM(BY$168:BY182)&lt;1,10%,0))),0%)</f>
        <v>0</v>
      </c>
      <c r="BZ183" s="2">
        <f>IF($AQ183&lt;='Premissas Gerais'!$G$6,(IF(OR(BZ$167&gt;=$AQ183,BZ$166=0),0,IF(SUM(BZ$168:BZ182)&lt;1,10%,0))),0%)</f>
        <v>0</v>
      </c>
    </row>
    <row r="184" spans="3:78" outlineLevel="1">
      <c r="C184" s="155">
        <v>15</v>
      </c>
      <c r="E184" s="133">
        <f ca="1">IF(C184&lt;='Premissas Gerais'!$G$6,SUM(F184:AN184),0)</f>
        <v>0</v>
      </c>
      <c r="F184" s="4">
        <f t="shared" si="93"/>
        <v>0</v>
      </c>
      <c r="G184" s="4">
        <f t="shared" si="94"/>
        <v>0</v>
      </c>
      <c r="H184" s="4">
        <f t="shared" si="95"/>
        <v>0</v>
      </c>
      <c r="I184" s="4">
        <f t="shared" si="96"/>
        <v>0</v>
      </c>
      <c r="J184" s="4">
        <f t="shared" ca="1" si="97"/>
        <v>0</v>
      </c>
      <c r="K184" s="4">
        <f t="shared" si="98"/>
        <v>0</v>
      </c>
      <c r="L184" s="4">
        <f t="shared" si="99"/>
        <v>0</v>
      </c>
      <c r="M184" s="4">
        <f t="shared" si="100"/>
        <v>0</v>
      </c>
      <c r="N184" s="4">
        <f t="shared" si="101"/>
        <v>0</v>
      </c>
      <c r="O184" s="4">
        <f t="shared" ca="1" si="102"/>
        <v>0</v>
      </c>
      <c r="P184" s="4">
        <f t="shared" si="103"/>
        <v>0</v>
      </c>
      <c r="Q184" s="4">
        <f t="shared" si="104"/>
        <v>0</v>
      </c>
      <c r="R184" s="4">
        <f t="shared" si="105"/>
        <v>0</v>
      </c>
      <c r="S184" s="4">
        <f t="shared" si="106"/>
        <v>0</v>
      </c>
      <c r="T184" s="4">
        <f t="shared" ca="1" si="107"/>
        <v>0</v>
      </c>
      <c r="U184" s="4">
        <f t="shared" si="108"/>
        <v>0</v>
      </c>
      <c r="V184" s="4">
        <f t="shared" si="109"/>
        <v>0</v>
      </c>
      <c r="W184" s="4">
        <f t="shared" si="110"/>
        <v>0</v>
      </c>
      <c r="X184" s="4">
        <f t="shared" si="111"/>
        <v>0</v>
      </c>
      <c r="Y184" s="4">
        <f t="shared" ca="1" si="112"/>
        <v>0</v>
      </c>
      <c r="Z184" s="4">
        <f t="shared" si="113"/>
        <v>0</v>
      </c>
      <c r="AA184" s="4">
        <f t="shared" si="114"/>
        <v>0</v>
      </c>
      <c r="AB184" s="4">
        <f t="shared" si="115"/>
        <v>0</v>
      </c>
      <c r="AC184" s="4">
        <f t="shared" si="116"/>
        <v>0</v>
      </c>
      <c r="AD184" s="4">
        <f t="shared" ca="1" si="117"/>
        <v>0</v>
      </c>
      <c r="AE184" s="4">
        <f t="shared" si="118"/>
        <v>0</v>
      </c>
      <c r="AF184" s="4">
        <f t="shared" si="119"/>
        <v>0</v>
      </c>
      <c r="AG184" s="4">
        <f t="shared" si="120"/>
        <v>0</v>
      </c>
      <c r="AH184" s="4">
        <f t="shared" si="121"/>
        <v>0</v>
      </c>
      <c r="AI184" s="4">
        <f t="shared" ca="1" si="122"/>
        <v>0</v>
      </c>
      <c r="AJ184" s="4">
        <f t="shared" si="123"/>
        <v>0</v>
      </c>
      <c r="AK184" s="4">
        <f t="shared" si="124"/>
        <v>0</v>
      </c>
      <c r="AL184" s="4">
        <f t="shared" si="125"/>
        <v>0</v>
      </c>
      <c r="AM184" s="4">
        <f t="shared" si="126"/>
        <v>0</v>
      </c>
      <c r="AN184" s="4">
        <f t="shared" si="127"/>
        <v>0</v>
      </c>
      <c r="AP184" s="180">
        <f>IF(AQ184&lt;='Premissas Gerais'!$G$6,1,0)</f>
        <v>1</v>
      </c>
      <c r="AQ184" s="1">
        <v>16</v>
      </c>
      <c r="AR184" s="2">
        <f>IF($AQ184&lt;='Premissas Gerais'!$G$6,(IF(OR(AR$167&gt;=$AQ184,AR$166=0),0,IF(SUM(AR$168:AR183)&lt;1,10%,0))),0%)</f>
        <v>0</v>
      </c>
      <c r="AS184" s="2">
        <f>IF($AQ184&lt;='Premissas Gerais'!$G$6,(IF(OR(AS$167&gt;=$AQ184,AS$166=0),0,IF(SUM(AS$168:AS183)&lt;1,10%,0))),0%)</f>
        <v>0</v>
      </c>
      <c r="AT184" s="2">
        <f>IF($AQ184&lt;='Premissas Gerais'!$G$6,(IF(OR(AT$167&gt;=$AQ184,AT$166=0),0,IF(SUM(AT$168:AT183)&lt;1,10%,0))),0%)</f>
        <v>0</v>
      </c>
      <c r="AU184" s="2">
        <f>IF($AQ184&lt;='Premissas Gerais'!$G$6,(IF(OR(AU$167&gt;=$AQ184,AU$166=0),0,IF(SUM(AU$168:AU183)&lt;1,10%,0))),0%)</f>
        <v>0</v>
      </c>
      <c r="AV184" s="2">
        <f ca="1">IF($AQ184&lt;='Premissas Gerais'!$G$6,(IF(OR(AV$167&gt;=$AQ184,AV$166=0),0,IF(SUM(AV$168:AV183)&lt;1,10%,0))),0%)</f>
        <v>0</v>
      </c>
      <c r="AW184" s="2">
        <f>IF($AQ184&lt;='Premissas Gerais'!$G$6,(IF(OR(AW$167&gt;=$AQ184,AW$166=0),0,IF(SUM(AW$168:AW183)&lt;1,10%,0))),0%)</f>
        <v>0</v>
      </c>
      <c r="AX184" s="2">
        <f>IF($AQ184&lt;='Premissas Gerais'!$G$6,(IF(OR(AX$167&gt;=$AQ184,AX$166=0),0,IF(SUM(AX$168:AX183)&lt;1,10%,0))),0%)</f>
        <v>0</v>
      </c>
      <c r="AY184" s="2">
        <f>IF($AQ184&lt;='Premissas Gerais'!$G$6,(IF(OR(AY$167&gt;=$AQ184,AY$166=0),0,IF(SUM(AY$168:AY183)&lt;1,10%,0))),0%)</f>
        <v>0</v>
      </c>
      <c r="AZ184" s="2">
        <f>IF($AQ184&lt;='Premissas Gerais'!$G$6,(IF(OR(AZ$167&gt;=$AQ184,AZ$166=0),0,IF(SUM(AZ$168:AZ183)&lt;1,10%,0))),0%)</f>
        <v>0</v>
      </c>
      <c r="BA184" s="2">
        <f ca="1">IF($AQ184&lt;='Premissas Gerais'!$G$6,(IF(OR(BA$167&gt;=$AQ184,BA$166=0),0,IF(SUM(BA$168:BA183)&lt;1,10%,0))),0%)</f>
        <v>0</v>
      </c>
      <c r="BB184" s="2">
        <f>IF($AQ184&lt;='Premissas Gerais'!$G$6,(IF(OR(BB$167&gt;=$AQ184,BB$166=0),0,IF(SUM(BB$168:BB183)&lt;1,10%,0))),0%)</f>
        <v>0</v>
      </c>
      <c r="BC184" s="2">
        <f>IF($AQ184&lt;='Premissas Gerais'!$G$6,(IF(OR(BC$167&gt;=$AQ184,BC$166=0),0,IF(SUM(BC$168:BC183)&lt;1,10%,0))),0%)</f>
        <v>0</v>
      </c>
      <c r="BD184" s="2">
        <f>IF($AQ184&lt;='Premissas Gerais'!$G$6,(IF(OR(BD$167&gt;=$AQ184,BD$166=0),0,IF(SUM(BD$168:BD183)&lt;1,10%,0))),0%)</f>
        <v>0</v>
      </c>
      <c r="BE184" s="2">
        <f>IF($AQ184&lt;='Premissas Gerais'!$G$6,(IF(OR(BE$167&gt;=$AQ184,BE$166=0),0,IF(SUM(BE$168:BE183)&lt;1,10%,0))),0%)</f>
        <v>0</v>
      </c>
      <c r="BF184" s="2">
        <f ca="1">IF($AQ184&lt;='Premissas Gerais'!$G$6,(IF(OR(BF$167&gt;=$AQ184,BF$166=0),0,IF(SUM(BF$168:BF183)&lt;1,10%,0))),0%)</f>
        <v>0</v>
      </c>
      <c r="BG184" s="2">
        <f>IF($AQ184&lt;='Premissas Gerais'!$G$6,(IF(OR(BG$167&gt;=$AQ184,BG$166=0),0,IF(SUM(BG$168:BG183)&lt;1,10%,0))),0%)</f>
        <v>0</v>
      </c>
      <c r="BH184" s="2">
        <f>IF($AQ184&lt;='Premissas Gerais'!$G$6,(IF(OR(BH$167&gt;=$AQ184,BH$166=0),0,IF(SUM(BH$168:BH183)&lt;1,10%,0))),0%)</f>
        <v>0</v>
      </c>
      <c r="BI184" s="2">
        <f>IF($AQ184&lt;='Premissas Gerais'!$G$6,(IF(OR(BI$167&gt;=$AQ184,BI$166=0),0,IF(SUM(BI$168:BI183)&lt;1,10%,0))),0%)</f>
        <v>0</v>
      </c>
      <c r="BJ184" s="2">
        <f>IF($AQ184&lt;='Premissas Gerais'!$G$6,(IF(OR(BJ$167&gt;=$AQ184,BJ$166=0),0,IF(SUM(BJ$168:BJ183)&lt;1,10%,0))),0%)</f>
        <v>0</v>
      </c>
      <c r="BK184" s="2">
        <f ca="1">IF($AQ184&lt;='Premissas Gerais'!$G$6,(IF(OR(BK$167&gt;=$AQ184,BK$166=0),0,IF(SUM(BK$168:BK183)&lt;1,10%,0))),0%)</f>
        <v>0</v>
      </c>
      <c r="BL184" s="2">
        <f>IF($AQ184&lt;='Premissas Gerais'!$G$6,(IF(OR(BL$167&gt;=$AQ184,BL$166=0),0,IF(SUM(BL$168:BL183)&lt;1,10%,0))),0%)</f>
        <v>0</v>
      </c>
      <c r="BM184" s="2">
        <f>IF($AQ184&lt;='Premissas Gerais'!$G$6,(IF(OR(BM$167&gt;=$AQ184,BM$166=0),0,IF(SUM(BM$168:BM183)&lt;1,10%,0))),0%)</f>
        <v>0</v>
      </c>
      <c r="BN184" s="2">
        <f>IF($AQ184&lt;='Premissas Gerais'!$G$6,(IF(OR(BN$167&gt;=$AQ184,BN$166=0),0,IF(SUM(BN$168:BN183)&lt;1,10%,0))),0%)</f>
        <v>0</v>
      </c>
      <c r="BO184" s="2">
        <f>IF($AQ184&lt;='Premissas Gerais'!$G$6,(IF(OR(BO$167&gt;=$AQ184,BO$166=0),0,IF(SUM(BO$168:BO183)&lt;1,10%,0))),0%)</f>
        <v>0</v>
      </c>
      <c r="BP184" s="2">
        <f ca="1">IF($AQ184&lt;='Premissas Gerais'!$G$6,(IF(OR(BP$167&gt;=$AQ184,BP$166=0),0,IF(SUM(BP$168:BP183)&lt;1,10%,0))),0%)</f>
        <v>0</v>
      </c>
      <c r="BQ184" s="2">
        <f>IF($AQ184&lt;='Premissas Gerais'!$G$6,(IF(OR(BQ$167&gt;=$AQ184,BQ$166=0),0,IF(SUM(BQ$168:BQ183)&lt;1,10%,0))),0%)</f>
        <v>0</v>
      </c>
      <c r="BR184" s="2">
        <f>IF($AQ184&lt;='Premissas Gerais'!$G$6,(IF(OR(BR$167&gt;=$AQ184,BR$166=0),0,IF(SUM(BR$168:BR183)&lt;1,10%,0))),0%)</f>
        <v>0</v>
      </c>
      <c r="BS184" s="2">
        <f>IF($AQ184&lt;='Premissas Gerais'!$G$6,(IF(OR(BS$167&gt;=$AQ184,BS$166=0),0,IF(SUM(BS$168:BS183)&lt;1,10%,0))),0%)</f>
        <v>0</v>
      </c>
      <c r="BT184" s="2">
        <f>IF($AQ184&lt;='Premissas Gerais'!$G$6,(IF(OR(BT$167&gt;=$AQ184,BT$166=0),0,IF(SUM(BT$168:BT183)&lt;1,10%,0))),0%)</f>
        <v>0</v>
      </c>
      <c r="BU184" s="2">
        <f ca="1">IF($AQ184&lt;='Premissas Gerais'!$G$6,(IF(OR(BU$167&gt;=$AQ184,BU$166=0),0,IF(SUM(BU$168:BU183)&lt;1,10%,0))),0%)</f>
        <v>0</v>
      </c>
      <c r="BV184" s="2">
        <f>IF($AQ184&lt;='Premissas Gerais'!$G$6,(IF(OR(BV$167&gt;=$AQ184,BV$166=0),0,IF(SUM(BV$168:BV183)&lt;1,10%,0))),0%)</f>
        <v>0</v>
      </c>
      <c r="BW184" s="2">
        <f>IF($AQ184&lt;='Premissas Gerais'!$G$6,(IF(OR(BW$167&gt;=$AQ184,BW$166=0),0,IF(SUM(BW$168:BW183)&lt;1,10%,0))),0%)</f>
        <v>0</v>
      </c>
      <c r="BX184" s="2">
        <f>IF($AQ184&lt;='Premissas Gerais'!$G$6,(IF(OR(BX$167&gt;=$AQ184,BX$166=0),0,IF(SUM(BX$168:BX183)&lt;1,10%,0))),0%)</f>
        <v>0</v>
      </c>
      <c r="BY184" s="2">
        <f>IF($AQ184&lt;='Premissas Gerais'!$G$6,(IF(OR(BY$167&gt;=$AQ184,BY$166=0),0,IF(SUM(BY$168:BY183)&lt;1,10%,0))),0%)</f>
        <v>0</v>
      </c>
      <c r="BZ184" s="2">
        <f>IF($AQ184&lt;='Premissas Gerais'!$G$6,(IF(OR(BZ$167&gt;=$AQ184,BZ$166=0),0,IF(SUM(BZ$168:BZ183)&lt;1,10%,0))),0%)</f>
        <v>0</v>
      </c>
    </row>
    <row r="185" spans="3:78" outlineLevel="1">
      <c r="C185" s="155">
        <v>16</v>
      </c>
      <c r="E185" s="133">
        <f ca="1">IF(C185&lt;='Premissas Gerais'!$G$6,SUM(F185:AN185),0)</f>
        <v>0</v>
      </c>
      <c r="F185" s="4">
        <f t="shared" si="93"/>
        <v>0</v>
      </c>
      <c r="G185" s="4">
        <f t="shared" si="94"/>
        <v>0</v>
      </c>
      <c r="H185" s="4">
        <f t="shared" si="95"/>
        <v>0</v>
      </c>
      <c r="I185" s="4">
        <f t="shared" si="96"/>
        <v>0</v>
      </c>
      <c r="J185" s="4">
        <f t="shared" ca="1" si="97"/>
        <v>0</v>
      </c>
      <c r="K185" s="4">
        <f t="shared" si="98"/>
        <v>0</v>
      </c>
      <c r="L185" s="4">
        <f t="shared" si="99"/>
        <v>0</v>
      </c>
      <c r="M185" s="4">
        <f t="shared" si="100"/>
        <v>0</v>
      </c>
      <c r="N185" s="4">
        <f t="shared" si="101"/>
        <v>0</v>
      </c>
      <c r="O185" s="4">
        <f t="shared" ca="1" si="102"/>
        <v>0</v>
      </c>
      <c r="P185" s="4">
        <f t="shared" si="103"/>
        <v>0</v>
      </c>
      <c r="Q185" s="4">
        <f t="shared" si="104"/>
        <v>0</v>
      </c>
      <c r="R185" s="4">
        <f t="shared" si="105"/>
        <v>0</v>
      </c>
      <c r="S185" s="4">
        <f t="shared" si="106"/>
        <v>0</v>
      </c>
      <c r="T185" s="4">
        <f t="shared" ca="1" si="107"/>
        <v>0</v>
      </c>
      <c r="U185" s="4">
        <f t="shared" si="108"/>
        <v>0</v>
      </c>
      <c r="V185" s="4">
        <f t="shared" si="109"/>
        <v>0</v>
      </c>
      <c r="W185" s="4">
        <f t="shared" si="110"/>
        <v>0</v>
      </c>
      <c r="X185" s="4">
        <f t="shared" si="111"/>
        <v>0</v>
      </c>
      <c r="Y185" s="4">
        <f t="shared" ca="1" si="112"/>
        <v>0</v>
      </c>
      <c r="Z185" s="4">
        <f t="shared" si="113"/>
        <v>0</v>
      </c>
      <c r="AA185" s="4">
        <f t="shared" si="114"/>
        <v>0</v>
      </c>
      <c r="AB185" s="4">
        <f t="shared" si="115"/>
        <v>0</v>
      </c>
      <c r="AC185" s="4">
        <f t="shared" si="116"/>
        <v>0</v>
      </c>
      <c r="AD185" s="4">
        <f t="shared" ca="1" si="117"/>
        <v>0</v>
      </c>
      <c r="AE185" s="4">
        <f t="shared" si="118"/>
        <v>0</v>
      </c>
      <c r="AF185" s="4">
        <f t="shared" si="119"/>
        <v>0</v>
      </c>
      <c r="AG185" s="4">
        <f t="shared" si="120"/>
        <v>0</v>
      </c>
      <c r="AH185" s="4">
        <f t="shared" si="121"/>
        <v>0</v>
      </c>
      <c r="AI185" s="4">
        <f t="shared" ca="1" si="122"/>
        <v>0</v>
      </c>
      <c r="AJ185" s="4">
        <f t="shared" si="123"/>
        <v>0</v>
      </c>
      <c r="AK185" s="4">
        <f t="shared" si="124"/>
        <v>0</v>
      </c>
      <c r="AL185" s="4">
        <f t="shared" si="125"/>
        <v>0</v>
      </c>
      <c r="AM185" s="4">
        <f t="shared" si="126"/>
        <v>0</v>
      </c>
      <c r="AN185" s="4">
        <f t="shared" si="127"/>
        <v>0</v>
      </c>
      <c r="AP185" s="180">
        <f>IF(AQ185&lt;='Premissas Gerais'!$G$6,1,0)</f>
        <v>1</v>
      </c>
      <c r="AQ185" s="1">
        <v>17</v>
      </c>
      <c r="AR185" s="2">
        <f>IF($AQ185&lt;='Premissas Gerais'!$G$6,(IF(OR(AR$167&gt;=$AQ185,AR$166=0),0,IF(SUM(AR$168:AR184)&lt;1,10%,0))),0%)</f>
        <v>0</v>
      </c>
      <c r="AS185" s="2">
        <f>IF($AQ185&lt;='Premissas Gerais'!$G$6,(IF(OR(AS$167&gt;=$AQ185,AS$166=0),0,IF(SUM(AS$168:AS184)&lt;1,10%,0))),0%)</f>
        <v>0</v>
      </c>
      <c r="AT185" s="2">
        <f>IF($AQ185&lt;='Premissas Gerais'!$G$6,(IF(OR(AT$167&gt;=$AQ185,AT$166=0),0,IF(SUM(AT$168:AT184)&lt;1,10%,0))),0%)</f>
        <v>0</v>
      </c>
      <c r="AU185" s="2">
        <f>IF($AQ185&lt;='Premissas Gerais'!$G$6,(IF(OR(AU$167&gt;=$AQ185,AU$166=0),0,IF(SUM(AU$168:AU184)&lt;1,10%,0))),0%)</f>
        <v>0</v>
      </c>
      <c r="AV185" s="2">
        <f ca="1">IF($AQ185&lt;='Premissas Gerais'!$G$6,(IF(OR(AV$167&gt;=$AQ185,AV$166=0),0,IF(SUM(AV$168:AV184)&lt;1,10%,0))),0%)</f>
        <v>0</v>
      </c>
      <c r="AW185" s="2">
        <f>IF($AQ185&lt;='Premissas Gerais'!$G$6,(IF(OR(AW$167&gt;=$AQ185,AW$166=0),0,IF(SUM(AW$168:AW184)&lt;1,10%,0))),0%)</f>
        <v>0</v>
      </c>
      <c r="AX185" s="2">
        <f>IF($AQ185&lt;='Premissas Gerais'!$G$6,(IF(OR(AX$167&gt;=$AQ185,AX$166=0),0,IF(SUM(AX$168:AX184)&lt;1,10%,0))),0%)</f>
        <v>0</v>
      </c>
      <c r="AY185" s="2">
        <f>IF($AQ185&lt;='Premissas Gerais'!$G$6,(IF(OR(AY$167&gt;=$AQ185,AY$166=0),0,IF(SUM(AY$168:AY184)&lt;1,10%,0))),0%)</f>
        <v>0</v>
      </c>
      <c r="AZ185" s="2">
        <f>IF($AQ185&lt;='Premissas Gerais'!$G$6,(IF(OR(AZ$167&gt;=$AQ185,AZ$166=0),0,IF(SUM(AZ$168:AZ184)&lt;1,10%,0))),0%)</f>
        <v>0</v>
      </c>
      <c r="BA185" s="2">
        <f ca="1">IF($AQ185&lt;='Premissas Gerais'!$G$6,(IF(OR(BA$167&gt;=$AQ185,BA$166=0),0,IF(SUM(BA$168:BA184)&lt;1,10%,0))),0%)</f>
        <v>0</v>
      </c>
      <c r="BB185" s="2">
        <f>IF($AQ185&lt;='Premissas Gerais'!$G$6,(IF(OR(BB$167&gt;=$AQ185,BB$166=0),0,IF(SUM(BB$168:BB184)&lt;1,10%,0))),0%)</f>
        <v>0</v>
      </c>
      <c r="BC185" s="2">
        <f>IF($AQ185&lt;='Premissas Gerais'!$G$6,(IF(OR(BC$167&gt;=$AQ185,BC$166=0),0,IF(SUM(BC$168:BC184)&lt;1,10%,0))),0%)</f>
        <v>0</v>
      </c>
      <c r="BD185" s="2">
        <f>IF($AQ185&lt;='Premissas Gerais'!$G$6,(IF(OR(BD$167&gt;=$AQ185,BD$166=0),0,IF(SUM(BD$168:BD184)&lt;1,10%,0))),0%)</f>
        <v>0</v>
      </c>
      <c r="BE185" s="2">
        <f>IF($AQ185&lt;='Premissas Gerais'!$G$6,(IF(OR(BE$167&gt;=$AQ185,BE$166=0),0,IF(SUM(BE$168:BE184)&lt;1,10%,0))),0%)</f>
        <v>0</v>
      </c>
      <c r="BF185" s="2">
        <f ca="1">IF($AQ185&lt;='Premissas Gerais'!$G$6,(IF(OR(BF$167&gt;=$AQ185,BF$166=0),0,IF(SUM(BF$168:BF184)&lt;1,10%,0))),0%)</f>
        <v>0</v>
      </c>
      <c r="BG185" s="2">
        <f>IF($AQ185&lt;='Premissas Gerais'!$G$6,(IF(OR(BG$167&gt;=$AQ185,BG$166=0),0,IF(SUM(BG$168:BG184)&lt;1,10%,0))),0%)</f>
        <v>0</v>
      </c>
      <c r="BH185" s="2">
        <f>IF($AQ185&lt;='Premissas Gerais'!$G$6,(IF(OR(BH$167&gt;=$AQ185,BH$166=0),0,IF(SUM(BH$168:BH184)&lt;1,10%,0))),0%)</f>
        <v>0</v>
      </c>
      <c r="BI185" s="2">
        <f>IF($AQ185&lt;='Premissas Gerais'!$G$6,(IF(OR(BI$167&gt;=$AQ185,BI$166=0),0,IF(SUM(BI$168:BI184)&lt;1,10%,0))),0%)</f>
        <v>0</v>
      </c>
      <c r="BJ185" s="2">
        <f>IF($AQ185&lt;='Premissas Gerais'!$G$6,(IF(OR(BJ$167&gt;=$AQ185,BJ$166=0),0,IF(SUM(BJ$168:BJ184)&lt;1,10%,0))),0%)</f>
        <v>0</v>
      </c>
      <c r="BK185" s="2">
        <f ca="1">IF($AQ185&lt;='Premissas Gerais'!$G$6,(IF(OR(BK$167&gt;=$AQ185,BK$166=0),0,IF(SUM(BK$168:BK184)&lt;1,10%,0))),0%)</f>
        <v>0</v>
      </c>
      <c r="BL185" s="2">
        <f>IF($AQ185&lt;='Premissas Gerais'!$G$6,(IF(OR(BL$167&gt;=$AQ185,BL$166=0),0,IF(SUM(BL$168:BL184)&lt;1,10%,0))),0%)</f>
        <v>0</v>
      </c>
      <c r="BM185" s="2">
        <f>IF($AQ185&lt;='Premissas Gerais'!$G$6,(IF(OR(BM$167&gt;=$AQ185,BM$166=0),0,IF(SUM(BM$168:BM184)&lt;1,10%,0))),0%)</f>
        <v>0</v>
      </c>
      <c r="BN185" s="2">
        <f>IF($AQ185&lt;='Premissas Gerais'!$G$6,(IF(OR(BN$167&gt;=$AQ185,BN$166=0),0,IF(SUM(BN$168:BN184)&lt;1,10%,0))),0%)</f>
        <v>0</v>
      </c>
      <c r="BO185" s="2">
        <f>IF($AQ185&lt;='Premissas Gerais'!$G$6,(IF(OR(BO$167&gt;=$AQ185,BO$166=0),0,IF(SUM(BO$168:BO184)&lt;1,10%,0))),0%)</f>
        <v>0</v>
      </c>
      <c r="BP185" s="2">
        <f ca="1">IF($AQ185&lt;='Premissas Gerais'!$G$6,(IF(OR(BP$167&gt;=$AQ185,BP$166=0),0,IF(SUM(BP$168:BP184)&lt;1,10%,0))),0%)</f>
        <v>0</v>
      </c>
      <c r="BQ185" s="2">
        <f>IF($AQ185&lt;='Premissas Gerais'!$G$6,(IF(OR(BQ$167&gt;=$AQ185,BQ$166=0),0,IF(SUM(BQ$168:BQ184)&lt;1,10%,0))),0%)</f>
        <v>0</v>
      </c>
      <c r="BR185" s="2">
        <f>IF($AQ185&lt;='Premissas Gerais'!$G$6,(IF(OR(BR$167&gt;=$AQ185,BR$166=0),0,IF(SUM(BR$168:BR184)&lt;1,10%,0))),0%)</f>
        <v>0</v>
      </c>
      <c r="BS185" s="2">
        <f>IF($AQ185&lt;='Premissas Gerais'!$G$6,(IF(OR(BS$167&gt;=$AQ185,BS$166=0),0,IF(SUM(BS$168:BS184)&lt;1,10%,0))),0%)</f>
        <v>0</v>
      </c>
      <c r="BT185" s="2">
        <f>IF($AQ185&lt;='Premissas Gerais'!$G$6,(IF(OR(BT$167&gt;=$AQ185,BT$166=0),0,IF(SUM(BT$168:BT184)&lt;1,10%,0))),0%)</f>
        <v>0</v>
      </c>
      <c r="BU185" s="2">
        <f ca="1">IF($AQ185&lt;='Premissas Gerais'!$G$6,(IF(OR(BU$167&gt;=$AQ185,BU$166=0),0,IF(SUM(BU$168:BU184)&lt;1,10%,0))),0%)</f>
        <v>0</v>
      </c>
      <c r="BV185" s="2">
        <f>IF($AQ185&lt;='Premissas Gerais'!$G$6,(IF(OR(BV$167&gt;=$AQ185,BV$166=0),0,IF(SUM(BV$168:BV184)&lt;1,10%,0))),0%)</f>
        <v>0</v>
      </c>
      <c r="BW185" s="2">
        <f>IF($AQ185&lt;='Premissas Gerais'!$G$6,(IF(OR(BW$167&gt;=$AQ185,BW$166=0),0,IF(SUM(BW$168:BW184)&lt;1,10%,0))),0%)</f>
        <v>0</v>
      </c>
      <c r="BX185" s="2">
        <f>IF($AQ185&lt;='Premissas Gerais'!$G$6,(IF(OR(BX$167&gt;=$AQ185,BX$166=0),0,IF(SUM(BX$168:BX184)&lt;1,10%,0))),0%)</f>
        <v>0</v>
      </c>
      <c r="BY185" s="2">
        <f>IF($AQ185&lt;='Premissas Gerais'!$G$6,(IF(OR(BY$167&gt;=$AQ185,BY$166=0),0,IF(SUM(BY$168:BY184)&lt;1,10%,0))),0%)</f>
        <v>0</v>
      </c>
      <c r="BZ185" s="2">
        <f>IF($AQ185&lt;='Premissas Gerais'!$G$6,(IF(OR(BZ$167&gt;=$AQ185,BZ$166=0),0,IF(SUM(BZ$168:BZ184)&lt;1,10%,0))),0%)</f>
        <v>0</v>
      </c>
    </row>
    <row r="186" spans="3:78" outlineLevel="1">
      <c r="C186" s="155">
        <v>17</v>
      </c>
      <c r="E186" s="133">
        <f ca="1">IF(C186&lt;='Premissas Gerais'!$G$6,SUM(F186:AN186),0)</f>
        <v>0</v>
      </c>
      <c r="F186" s="4">
        <f t="shared" si="93"/>
        <v>0</v>
      </c>
      <c r="G186" s="4">
        <f t="shared" si="94"/>
        <v>0</v>
      </c>
      <c r="H186" s="4">
        <f t="shared" si="95"/>
        <v>0</v>
      </c>
      <c r="I186" s="4">
        <f t="shared" si="96"/>
        <v>0</v>
      </c>
      <c r="J186" s="4">
        <f t="shared" ca="1" si="97"/>
        <v>0</v>
      </c>
      <c r="K186" s="4">
        <f t="shared" si="98"/>
        <v>0</v>
      </c>
      <c r="L186" s="4">
        <f t="shared" si="99"/>
        <v>0</v>
      </c>
      <c r="M186" s="4">
        <f t="shared" si="100"/>
        <v>0</v>
      </c>
      <c r="N186" s="4">
        <f t="shared" si="101"/>
        <v>0</v>
      </c>
      <c r="O186" s="4">
        <f t="shared" ca="1" si="102"/>
        <v>0</v>
      </c>
      <c r="P186" s="4">
        <f t="shared" si="103"/>
        <v>0</v>
      </c>
      <c r="Q186" s="4">
        <f t="shared" si="104"/>
        <v>0</v>
      </c>
      <c r="R186" s="4">
        <f t="shared" si="105"/>
        <v>0</v>
      </c>
      <c r="S186" s="4">
        <f t="shared" si="106"/>
        <v>0</v>
      </c>
      <c r="T186" s="4">
        <f t="shared" ca="1" si="107"/>
        <v>0</v>
      </c>
      <c r="U186" s="4">
        <f t="shared" si="108"/>
        <v>0</v>
      </c>
      <c r="V186" s="4">
        <f t="shared" si="109"/>
        <v>0</v>
      </c>
      <c r="W186" s="4">
        <f t="shared" si="110"/>
        <v>0</v>
      </c>
      <c r="X186" s="4">
        <f t="shared" si="111"/>
        <v>0</v>
      </c>
      <c r="Y186" s="4">
        <f t="shared" ca="1" si="112"/>
        <v>0</v>
      </c>
      <c r="Z186" s="4">
        <f t="shared" si="113"/>
        <v>0</v>
      </c>
      <c r="AA186" s="4">
        <f t="shared" si="114"/>
        <v>0</v>
      </c>
      <c r="AB186" s="4">
        <f t="shared" si="115"/>
        <v>0</v>
      </c>
      <c r="AC186" s="4">
        <f t="shared" si="116"/>
        <v>0</v>
      </c>
      <c r="AD186" s="4">
        <f t="shared" ca="1" si="117"/>
        <v>0</v>
      </c>
      <c r="AE186" s="4">
        <f t="shared" si="118"/>
        <v>0</v>
      </c>
      <c r="AF186" s="4">
        <f t="shared" si="119"/>
        <v>0</v>
      </c>
      <c r="AG186" s="4">
        <f t="shared" si="120"/>
        <v>0</v>
      </c>
      <c r="AH186" s="4">
        <f t="shared" si="121"/>
        <v>0</v>
      </c>
      <c r="AI186" s="4">
        <f t="shared" ca="1" si="122"/>
        <v>0</v>
      </c>
      <c r="AJ186" s="4">
        <f t="shared" si="123"/>
        <v>0</v>
      </c>
      <c r="AK186" s="4">
        <f t="shared" si="124"/>
        <v>0</v>
      </c>
      <c r="AL186" s="4">
        <f t="shared" si="125"/>
        <v>0</v>
      </c>
      <c r="AM186" s="4">
        <f t="shared" si="126"/>
        <v>0</v>
      </c>
      <c r="AN186" s="4">
        <f t="shared" si="127"/>
        <v>0</v>
      </c>
      <c r="AP186" s="180">
        <f>IF(AQ186&lt;='Premissas Gerais'!$G$6,1,0)</f>
        <v>1</v>
      </c>
      <c r="AQ186" s="1">
        <v>18</v>
      </c>
      <c r="AR186" s="2">
        <f>IF($AQ186&lt;='Premissas Gerais'!$G$6,(IF(OR(AR$167&gt;=$AQ186,AR$166=0),0,IF(SUM(AR$168:AR185)&lt;1,10%,0))),0%)</f>
        <v>0</v>
      </c>
      <c r="AS186" s="2">
        <f>IF($AQ186&lt;='Premissas Gerais'!$G$6,(IF(OR(AS$167&gt;=$AQ186,AS$166=0),0,IF(SUM(AS$168:AS185)&lt;1,10%,0))),0%)</f>
        <v>0</v>
      </c>
      <c r="AT186" s="2">
        <f>IF($AQ186&lt;='Premissas Gerais'!$G$6,(IF(OR(AT$167&gt;=$AQ186,AT$166=0),0,IF(SUM(AT$168:AT185)&lt;1,10%,0))),0%)</f>
        <v>0</v>
      </c>
      <c r="AU186" s="2">
        <f>IF($AQ186&lt;='Premissas Gerais'!$G$6,(IF(OR(AU$167&gt;=$AQ186,AU$166=0),0,IF(SUM(AU$168:AU185)&lt;1,10%,0))),0%)</f>
        <v>0</v>
      </c>
      <c r="AV186" s="2">
        <f ca="1">IF($AQ186&lt;='Premissas Gerais'!$G$6,(IF(OR(AV$167&gt;=$AQ186,AV$166=0),0,IF(SUM(AV$168:AV185)&lt;1,10%,0))),0%)</f>
        <v>0</v>
      </c>
      <c r="AW186" s="2">
        <f>IF($AQ186&lt;='Premissas Gerais'!$G$6,(IF(OR(AW$167&gt;=$AQ186,AW$166=0),0,IF(SUM(AW$168:AW185)&lt;1,10%,0))),0%)</f>
        <v>0</v>
      </c>
      <c r="AX186" s="2">
        <f>IF($AQ186&lt;='Premissas Gerais'!$G$6,(IF(OR(AX$167&gt;=$AQ186,AX$166=0),0,IF(SUM(AX$168:AX185)&lt;1,10%,0))),0%)</f>
        <v>0</v>
      </c>
      <c r="AY186" s="2">
        <f>IF($AQ186&lt;='Premissas Gerais'!$G$6,(IF(OR(AY$167&gt;=$AQ186,AY$166=0),0,IF(SUM(AY$168:AY185)&lt;1,10%,0))),0%)</f>
        <v>0</v>
      </c>
      <c r="AZ186" s="2">
        <f>IF($AQ186&lt;='Premissas Gerais'!$G$6,(IF(OR(AZ$167&gt;=$AQ186,AZ$166=0),0,IF(SUM(AZ$168:AZ185)&lt;1,10%,0))),0%)</f>
        <v>0</v>
      </c>
      <c r="BA186" s="2">
        <f ca="1">IF($AQ186&lt;='Premissas Gerais'!$G$6,(IF(OR(BA$167&gt;=$AQ186,BA$166=0),0,IF(SUM(BA$168:BA185)&lt;1,10%,0))),0%)</f>
        <v>0</v>
      </c>
      <c r="BB186" s="2">
        <f>IF($AQ186&lt;='Premissas Gerais'!$G$6,(IF(OR(BB$167&gt;=$AQ186,BB$166=0),0,IF(SUM(BB$168:BB185)&lt;1,10%,0))),0%)</f>
        <v>0</v>
      </c>
      <c r="BC186" s="2">
        <f>IF($AQ186&lt;='Premissas Gerais'!$G$6,(IF(OR(BC$167&gt;=$AQ186,BC$166=0),0,IF(SUM(BC$168:BC185)&lt;1,10%,0))),0%)</f>
        <v>0</v>
      </c>
      <c r="BD186" s="2">
        <f>IF($AQ186&lt;='Premissas Gerais'!$G$6,(IF(OR(BD$167&gt;=$AQ186,BD$166=0),0,IF(SUM(BD$168:BD185)&lt;1,10%,0))),0%)</f>
        <v>0</v>
      </c>
      <c r="BE186" s="2">
        <f>IF($AQ186&lt;='Premissas Gerais'!$G$6,(IF(OR(BE$167&gt;=$AQ186,BE$166=0),0,IF(SUM(BE$168:BE185)&lt;1,10%,0))),0%)</f>
        <v>0</v>
      </c>
      <c r="BF186" s="2">
        <f ca="1">IF($AQ186&lt;='Premissas Gerais'!$G$6,(IF(OR(BF$167&gt;=$AQ186,BF$166=0),0,IF(SUM(BF$168:BF185)&lt;1,10%,0))),0%)</f>
        <v>0</v>
      </c>
      <c r="BG186" s="2">
        <f>IF($AQ186&lt;='Premissas Gerais'!$G$6,(IF(OR(BG$167&gt;=$AQ186,BG$166=0),0,IF(SUM(BG$168:BG185)&lt;1,10%,0))),0%)</f>
        <v>0</v>
      </c>
      <c r="BH186" s="2">
        <f>IF($AQ186&lt;='Premissas Gerais'!$G$6,(IF(OR(BH$167&gt;=$AQ186,BH$166=0),0,IF(SUM(BH$168:BH185)&lt;1,10%,0))),0%)</f>
        <v>0</v>
      </c>
      <c r="BI186" s="2">
        <f>IF($AQ186&lt;='Premissas Gerais'!$G$6,(IF(OR(BI$167&gt;=$AQ186,BI$166=0),0,IF(SUM(BI$168:BI185)&lt;1,10%,0))),0%)</f>
        <v>0</v>
      </c>
      <c r="BJ186" s="2">
        <f>IF($AQ186&lt;='Premissas Gerais'!$G$6,(IF(OR(BJ$167&gt;=$AQ186,BJ$166=0),0,IF(SUM(BJ$168:BJ185)&lt;1,10%,0))),0%)</f>
        <v>0</v>
      </c>
      <c r="BK186" s="2">
        <f ca="1">IF($AQ186&lt;='Premissas Gerais'!$G$6,(IF(OR(BK$167&gt;=$AQ186,BK$166=0),0,IF(SUM(BK$168:BK185)&lt;1,10%,0))),0%)</f>
        <v>0</v>
      </c>
      <c r="BL186" s="2">
        <f>IF($AQ186&lt;='Premissas Gerais'!$G$6,(IF(OR(BL$167&gt;=$AQ186,BL$166=0),0,IF(SUM(BL$168:BL185)&lt;1,10%,0))),0%)</f>
        <v>0</v>
      </c>
      <c r="BM186" s="2">
        <f>IF($AQ186&lt;='Premissas Gerais'!$G$6,(IF(OR(BM$167&gt;=$AQ186,BM$166=0),0,IF(SUM(BM$168:BM185)&lt;1,10%,0))),0%)</f>
        <v>0</v>
      </c>
      <c r="BN186" s="2">
        <f>IF($AQ186&lt;='Premissas Gerais'!$G$6,(IF(OR(BN$167&gt;=$AQ186,BN$166=0),0,IF(SUM(BN$168:BN185)&lt;1,10%,0))),0%)</f>
        <v>0</v>
      </c>
      <c r="BO186" s="2">
        <f>IF($AQ186&lt;='Premissas Gerais'!$G$6,(IF(OR(BO$167&gt;=$AQ186,BO$166=0),0,IF(SUM(BO$168:BO185)&lt;1,10%,0))),0%)</f>
        <v>0</v>
      </c>
      <c r="BP186" s="2">
        <f ca="1">IF($AQ186&lt;='Premissas Gerais'!$G$6,(IF(OR(BP$167&gt;=$AQ186,BP$166=0),0,IF(SUM(BP$168:BP185)&lt;1,10%,0))),0%)</f>
        <v>0</v>
      </c>
      <c r="BQ186" s="2">
        <f>IF($AQ186&lt;='Premissas Gerais'!$G$6,(IF(OR(BQ$167&gt;=$AQ186,BQ$166=0),0,IF(SUM(BQ$168:BQ185)&lt;1,10%,0))),0%)</f>
        <v>0</v>
      </c>
      <c r="BR186" s="2">
        <f>IF($AQ186&lt;='Premissas Gerais'!$G$6,(IF(OR(BR$167&gt;=$AQ186,BR$166=0),0,IF(SUM(BR$168:BR185)&lt;1,10%,0))),0%)</f>
        <v>0</v>
      </c>
      <c r="BS186" s="2">
        <f>IF($AQ186&lt;='Premissas Gerais'!$G$6,(IF(OR(BS$167&gt;=$AQ186,BS$166=0),0,IF(SUM(BS$168:BS185)&lt;1,10%,0))),0%)</f>
        <v>0</v>
      </c>
      <c r="BT186" s="2">
        <f>IF($AQ186&lt;='Premissas Gerais'!$G$6,(IF(OR(BT$167&gt;=$AQ186,BT$166=0),0,IF(SUM(BT$168:BT185)&lt;1,10%,0))),0%)</f>
        <v>0</v>
      </c>
      <c r="BU186" s="2">
        <f ca="1">IF($AQ186&lt;='Premissas Gerais'!$G$6,(IF(OR(BU$167&gt;=$AQ186,BU$166=0),0,IF(SUM(BU$168:BU185)&lt;1,10%,0))),0%)</f>
        <v>0</v>
      </c>
      <c r="BV186" s="2">
        <f>IF($AQ186&lt;='Premissas Gerais'!$G$6,(IF(OR(BV$167&gt;=$AQ186,BV$166=0),0,IF(SUM(BV$168:BV185)&lt;1,10%,0))),0%)</f>
        <v>0</v>
      </c>
      <c r="BW186" s="2">
        <f>IF($AQ186&lt;='Premissas Gerais'!$G$6,(IF(OR(BW$167&gt;=$AQ186,BW$166=0),0,IF(SUM(BW$168:BW185)&lt;1,10%,0))),0%)</f>
        <v>0</v>
      </c>
      <c r="BX186" s="2">
        <f>IF($AQ186&lt;='Premissas Gerais'!$G$6,(IF(OR(BX$167&gt;=$AQ186,BX$166=0),0,IF(SUM(BX$168:BX185)&lt;1,10%,0))),0%)</f>
        <v>0</v>
      </c>
      <c r="BY186" s="2">
        <f>IF($AQ186&lt;='Premissas Gerais'!$G$6,(IF(OR(BY$167&gt;=$AQ186,BY$166=0),0,IF(SUM(BY$168:BY185)&lt;1,10%,0))),0%)</f>
        <v>0</v>
      </c>
      <c r="BZ186" s="2">
        <f>IF($AQ186&lt;='Premissas Gerais'!$G$6,(IF(OR(BZ$167&gt;=$AQ186,BZ$166=0),0,IF(SUM(BZ$168:BZ185)&lt;1,10%,0))),0%)</f>
        <v>0</v>
      </c>
    </row>
    <row r="187" spans="3:78" outlineLevel="1">
      <c r="C187" s="155">
        <v>18</v>
      </c>
      <c r="E187" s="133">
        <f ca="1">IF(C187&lt;='Premissas Gerais'!$G$6,SUM(F187:AN187),0)</f>
        <v>0</v>
      </c>
      <c r="F187" s="4">
        <f t="shared" si="93"/>
        <v>0</v>
      </c>
      <c r="G187" s="4">
        <f t="shared" si="94"/>
        <v>0</v>
      </c>
      <c r="H187" s="4">
        <f t="shared" si="95"/>
        <v>0</v>
      </c>
      <c r="I187" s="4">
        <f t="shared" si="96"/>
        <v>0</v>
      </c>
      <c r="J187" s="4">
        <f t="shared" ca="1" si="97"/>
        <v>0</v>
      </c>
      <c r="K187" s="4">
        <f t="shared" si="98"/>
        <v>0</v>
      </c>
      <c r="L187" s="4">
        <f t="shared" si="99"/>
        <v>0</v>
      </c>
      <c r="M187" s="4">
        <f t="shared" si="100"/>
        <v>0</v>
      </c>
      <c r="N187" s="4">
        <f t="shared" si="101"/>
        <v>0</v>
      </c>
      <c r="O187" s="4">
        <f t="shared" ca="1" si="102"/>
        <v>0</v>
      </c>
      <c r="P187" s="4">
        <f t="shared" si="103"/>
        <v>0</v>
      </c>
      <c r="Q187" s="4">
        <f t="shared" si="104"/>
        <v>0</v>
      </c>
      <c r="R187" s="4">
        <f t="shared" si="105"/>
        <v>0</v>
      </c>
      <c r="S187" s="4">
        <f t="shared" si="106"/>
        <v>0</v>
      </c>
      <c r="T187" s="4">
        <f t="shared" ca="1" si="107"/>
        <v>0</v>
      </c>
      <c r="U187" s="4">
        <f t="shared" si="108"/>
        <v>0</v>
      </c>
      <c r="V187" s="4">
        <f t="shared" si="109"/>
        <v>0</v>
      </c>
      <c r="W187" s="4">
        <f t="shared" si="110"/>
        <v>0</v>
      </c>
      <c r="X187" s="4">
        <f t="shared" si="111"/>
        <v>0</v>
      </c>
      <c r="Y187" s="4">
        <f t="shared" ca="1" si="112"/>
        <v>0</v>
      </c>
      <c r="Z187" s="4">
        <f t="shared" si="113"/>
        <v>0</v>
      </c>
      <c r="AA187" s="4">
        <f t="shared" si="114"/>
        <v>0</v>
      </c>
      <c r="AB187" s="4">
        <f t="shared" si="115"/>
        <v>0</v>
      </c>
      <c r="AC187" s="4">
        <f t="shared" si="116"/>
        <v>0</v>
      </c>
      <c r="AD187" s="4">
        <f t="shared" ca="1" si="117"/>
        <v>0</v>
      </c>
      <c r="AE187" s="4">
        <f t="shared" si="118"/>
        <v>0</v>
      </c>
      <c r="AF187" s="4">
        <f t="shared" si="119"/>
        <v>0</v>
      </c>
      <c r="AG187" s="4">
        <f t="shared" si="120"/>
        <v>0</v>
      </c>
      <c r="AH187" s="4">
        <f t="shared" si="121"/>
        <v>0</v>
      </c>
      <c r="AI187" s="4">
        <f t="shared" ca="1" si="122"/>
        <v>0</v>
      </c>
      <c r="AJ187" s="4">
        <f t="shared" si="123"/>
        <v>0</v>
      </c>
      <c r="AK187" s="4">
        <f t="shared" si="124"/>
        <v>0</v>
      </c>
      <c r="AL187" s="4">
        <f t="shared" si="125"/>
        <v>0</v>
      </c>
      <c r="AM187" s="4">
        <f t="shared" si="126"/>
        <v>0</v>
      </c>
      <c r="AN187" s="4">
        <f t="shared" si="127"/>
        <v>0</v>
      </c>
      <c r="AP187" s="180">
        <f>IF(AQ187&lt;='Premissas Gerais'!$G$6,1,0)</f>
        <v>1</v>
      </c>
      <c r="AQ187" s="1">
        <v>19</v>
      </c>
      <c r="AR187" s="2">
        <f>IF($AQ187&lt;='Premissas Gerais'!$G$6,(IF(OR(AR$167&gt;=$AQ187,AR$166=0),0,IF(SUM(AR$168:AR186)&lt;1,10%,0))),0%)</f>
        <v>0</v>
      </c>
      <c r="AS187" s="2">
        <f>IF($AQ187&lt;='Premissas Gerais'!$G$6,(IF(OR(AS$167&gt;=$AQ187,AS$166=0),0,IF(SUM(AS$168:AS186)&lt;1,10%,0))),0%)</f>
        <v>0</v>
      </c>
      <c r="AT187" s="2">
        <f>IF($AQ187&lt;='Premissas Gerais'!$G$6,(IF(OR(AT$167&gt;=$AQ187,AT$166=0),0,IF(SUM(AT$168:AT186)&lt;1,10%,0))),0%)</f>
        <v>0</v>
      </c>
      <c r="AU187" s="2">
        <f>IF($AQ187&lt;='Premissas Gerais'!$G$6,(IF(OR(AU$167&gt;=$AQ187,AU$166=0),0,IF(SUM(AU$168:AU186)&lt;1,10%,0))),0%)</f>
        <v>0</v>
      </c>
      <c r="AV187" s="2">
        <f ca="1">IF($AQ187&lt;='Premissas Gerais'!$G$6,(IF(OR(AV$167&gt;=$AQ187,AV$166=0),0,IF(SUM(AV$168:AV186)&lt;1,10%,0))),0%)</f>
        <v>0</v>
      </c>
      <c r="AW187" s="2">
        <f>IF($AQ187&lt;='Premissas Gerais'!$G$6,(IF(OR(AW$167&gt;=$AQ187,AW$166=0),0,IF(SUM(AW$168:AW186)&lt;1,10%,0))),0%)</f>
        <v>0</v>
      </c>
      <c r="AX187" s="2">
        <f>IF($AQ187&lt;='Premissas Gerais'!$G$6,(IF(OR(AX$167&gt;=$AQ187,AX$166=0),0,IF(SUM(AX$168:AX186)&lt;1,10%,0))),0%)</f>
        <v>0</v>
      </c>
      <c r="AY187" s="2">
        <f>IF($AQ187&lt;='Premissas Gerais'!$G$6,(IF(OR(AY$167&gt;=$AQ187,AY$166=0),0,IF(SUM(AY$168:AY186)&lt;1,10%,0))),0%)</f>
        <v>0</v>
      </c>
      <c r="AZ187" s="2">
        <f>IF($AQ187&lt;='Premissas Gerais'!$G$6,(IF(OR(AZ$167&gt;=$AQ187,AZ$166=0),0,IF(SUM(AZ$168:AZ186)&lt;1,10%,0))),0%)</f>
        <v>0</v>
      </c>
      <c r="BA187" s="2">
        <f ca="1">IF($AQ187&lt;='Premissas Gerais'!$G$6,(IF(OR(BA$167&gt;=$AQ187,BA$166=0),0,IF(SUM(BA$168:BA186)&lt;1,10%,0))),0%)</f>
        <v>0</v>
      </c>
      <c r="BB187" s="2">
        <f>IF($AQ187&lt;='Premissas Gerais'!$G$6,(IF(OR(BB$167&gt;=$AQ187,BB$166=0),0,IF(SUM(BB$168:BB186)&lt;1,10%,0))),0%)</f>
        <v>0</v>
      </c>
      <c r="BC187" s="2">
        <f>IF($AQ187&lt;='Premissas Gerais'!$G$6,(IF(OR(BC$167&gt;=$AQ187,BC$166=0),0,IF(SUM(BC$168:BC186)&lt;1,10%,0))),0%)</f>
        <v>0</v>
      </c>
      <c r="BD187" s="2">
        <f>IF($AQ187&lt;='Premissas Gerais'!$G$6,(IF(OR(BD$167&gt;=$AQ187,BD$166=0),0,IF(SUM(BD$168:BD186)&lt;1,10%,0))),0%)</f>
        <v>0</v>
      </c>
      <c r="BE187" s="2">
        <f>IF($AQ187&lt;='Premissas Gerais'!$G$6,(IF(OR(BE$167&gt;=$AQ187,BE$166=0),0,IF(SUM(BE$168:BE186)&lt;1,10%,0))),0%)</f>
        <v>0</v>
      </c>
      <c r="BF187" s="2">
        <f ca="1">IF($AQ187&lt;='Premissas Gerais'!$G$6,(IF(OR(BF$167&gt;=$AQ187,BF$166=0),0,IF(SUM(BF$168:BF186)&lt;1,10%,0))),0%)</f>
        <v>0</v>
      </c>
      <c r="BG187" s="2">
        <f>IF($AQ187&lt;='Premissas Gerais'!$G$6,(IF(OR(BG$167&gt;=$AQ187,BG$166=0),0,IF(SUM(BG$168:BG186)&lt;1,10%,0))),0%)</f>
        <v>0</v>
      </c>
      <c r="BH187" s="2">
        <f>IF($AQ187&lt;='Premissas Gerais'!$G$6,(IF(OR(BH$167&gt;=$AQ187,BH$166=0),0,IF(SUM(BH$168:BH186)&lt;1,10%,0))),0%)</f>
        <v>0</v>
      </c>
      <c r="BI187" s="2">
        <f>IF($AQ187&lt;='Premissas Gerais'!$G$6,(IF(OR(BI$167&gt;=$AQ187,BI$166=0),0,IF(SUM(BI$168:BI186)&lt;1,10%,0))),0%)</f>
        <v>0</v>
      </c>
      <c r="BJ187" s="2">
        <f>IF($AQ187&lt;='Premissas Gerais'!$G$6,(IF(OR(BJ$167&gt;=$AQ187,BJ$166=0),0,IF(SUM(BJ$168:BJ186)&lt;1,10%,0))),0%)</f>
        <v>0</v>
      </c>
      <c r="BK187" s="2">
        <f ca="1">IF($AQ187&lt;='Premissas Gerais'!$G$6,(IF(OR(BK$167&gt;=$AQ187,BK$166=0),0,IF(SUM(BK$168:BK186)&lt;1,10%,0))),0%)</f>
        <v>0</v>
      </c>
      <c r="BL187" s="2">
        <f>IF($AQ187&lt;='Premissas Gerais'!$G$6,(IF(OR(BL$167&gt;=$AQ187,BL$166=0),0,IF(SUM(BL$168:BL186)&lt;1,10%,0))),0%)</f>
        <v>0</v>
      </c>
      <c r="BM187" s="2">
        <f>IF($AQ187&lt;='Premissas Gerais'!$G$6,(IF(OR(BM$167&gt;=$AQ187,BM$166=0),0,IF(SUM(BM$168:BM186)&lt;1,10%,0))),0%)</f>
        <v>0</v>
      </c>
      <c r="BN187" s="2">
        <f>IF($AQ187&lt;='Premissas Gerais'!$G$6,(IF(OR(BN$167&gt;=$AQ187,BN$166=0),0,IF(SUM(BN$168:BN186)&lt;1,10%,0))),0%)</f>
        <v>0</v>
      </c>
      <c r="BO187" s="2">
        <f>IF($AQ187&lt;='Premissas Gerais'!$G$6,(IF(OR(BO$167&gt;=$AQ187,BO$166=0),0,IF(SUM(BO$168:BO186)&lt;1,10%,0))),0%)</f>
        <v>0</v>
      </c>
      <c r="BP187" s="2">
        <f ca="1">IF($AQ187&lt;='Premissas Gerais'!$G$6,(IF(OR(BP$167&gt;=$AQ187,BP$166=0),0,IF(SUM(BP$168:BP186)&lt;1,10%,0))),0%)</f>
        <v>0</v>
      </c>
      <c r="BQ187" s="2">
        <f>IF($AQ187&lt;='Premissas Gerais'!$G$6,(IF(OR(BQ$167&gt;=$AQ187,BQ$166=0),0,IF(SUM(BQ$168:BQ186)&lt;1,10%,0))),0%)</f>
        <v>0</v>
      </c>
      <c r="BR187" s="2">
        <f>IF($AQ187&lt;='Premissas Gerais'!$G$6,(IF(OR(BR$167&gt;=$AQ187,BR$166=0),0,IF(SUM(BR$168:BR186)&lt;1,10%,0))),0%)</f>
        <v>0</v>
      </c>
      <c r="BS187" s="2">
        <f>IF($AQ187&lt;='Premissas Gerais'!$G$6,(IF(OR(BS$167&gt;=$AQ187,BS$166=0),0,IF(SUM(BS$168:BS186)&lt;1,10%,0))),0%)</f>
        <v>0</v>
      </c>
      <c r="BT187" s="2">
        <f>IF($AQ187&lt;='Premissas Gerais'!$G$6,(IF(OR(BT$167&gt;=$AQ187,BT$166=0),0,IF(SUM(BT$168:BT186)&lt;1,10%,0))),0%)</f>
        <v>0</v>
      </c>
      <c r="BU187" s="2">
        <f ca="1">IF($AQ187&lt;='Premissas Gerais'!$G$6,(IF(OR(BU$167&gt;=$AQ187,BU$166=0),0,IF(SUM(BU$168:BU186)&lt;1,10%,0))),0%)</f>
        <v>0</v>
      </c>
      <c r="BV187" s="2">
        <f>IF($AQ187&lt;='Premissas Gerais'!$G$6,(IF(OR(BV$167&gt;=$AQ187,BV$166=0),0,IF(SUM(BV$168:BV186)&lt;1,10%,0))),0%)</f>
        <v>0</v>
      </c>
      <c r="BW187" s="2">
        <f>IF($AQ187&lt;='Premissas Gerais'!$G$6,(IF(OR(BW$167&gt;=$AQ187,BW$166=0),0,IF(SUM(BW$168:BW186)&lt;1,10%,0))),0%)</f>
        <v>0</v>
      </c>
      <c r="BX187" s="2">
        <f>IF($AQ187&lt;='Premissas Gerais'!$G$6,(IF(OR(BX$167&gt;=$AQ187,BX$166=0),0,IF(SUM(BX$168:BX186)&lt;1,10%,0))),0%)</f>
        <v>0</v>
      </c>
      <c r="BY187" s="2">
        <f>IF($AQ187&lt;='Premissas Gerais'!$G$6,(IF(OR(BY$167&gt;=$AQ187,BY$166=0),0,IF(SUM(BY$168:BY186)&lt;1,10%,0))),0%)</f>
        <v>0</v>
      </c>
      <c r="BZ187" s="2">
        <f>IF($AQ187&lt;='Premissas Gerais'!$G$6,(IF(OR(BZ$167&gt;=$AQ187,BZ$166=0),0,IF(SUM(BZ$168:BZ186)&lt;1,10%,0))),0%)</f>
        <v>0</v>
      </c>
    </row>
    <row r="188" spans="3:78" outlineLevel="1">
      <c r="C188" s="155">
        <v>19</v>
      </c>
      <c r="E188" s="133">
        <f ca="1">IF(C188&lt;='Premissas Gerais'!$G$6,SUM(F188:AN188),0)</f>
        <v>0</v>
      </c>
      <c r="F188" s="4">
        <f t="shared" si="93"/>
        <v>0</v>
      </c>
      <c r="G188" s="4">
        <f t="shared" si="94"/>
        <v>0</v>
      </c>
      <c r="H188" s="4">
        <f t="shared" si="95"/>
        <v>0</v>
      </c>
      <c r="I188" s="4">
        <f t="shared" si="96"/>
        <v>0</v>
      </c>
      <c r="J188" s="4">
        <f t="shared" ca="1" si="97"/>
        <v>0</v>
      </c>
      <c r="K188" s="4">
        <f t="shared" si="98"/>
        <v>0</v>
      </c>
      <c r="L188" s="4">
        <f t="shared" si="99"/>
        <v>0</v>
      </c>
      <c r="M188" s="4">
        <f t="shared" si="100"/>
        <v>0</v>
      </c>
      <c r="N188" s="4">
        <f t="shared" si="101"/>
        <v>0</v>
      </c>
      <c r="O188" s="4">
        <f t="shared" ca="1" si="102"/>
        <v>0</v>
      </c>
      <c r="P188" s="4">
        <f t="shared" si="103"/>
        <v>0</v>
      </c>
      <c r="Q188" s="4">
        <f t="shared" si="104"/>
        <v>0</v>
      </c>
      <c r="R188" s="4">
        <f t="shared" si="105"/>
        <v>0</v>
      </c>
      <c r="S188" s="4">
        <f t="shared" si="106"/>
        <v>0</v>
      </c>
      <c r="T188" s="4">
        <f t="shared" ca="1" si="107"/>
        <v>0</v>
      </c>
      <c r="U188" s="4">
        <f t="shared" si="108"/>
        <v>0</v>
      </c>
      <c r="V188" s="4">
        <f t="shared" si="109"/>
        <v>0</v>
      </c>
      <c r="W188" s="4">
        <f t="shared" si="110"/>
        <v>0</v>
      </c>
      <c r="X188" s="4">
        <f t="shared" si="111"/>
        <v>0</v>
      </c>
      <c r="Y188" s="4">
        <f t="shared" ca="1" si="112"/>
        <v>0</v>
      </c>
      <c r="Z188" s="4">
        <f t="shared" si="113"/>
        <v>0</v>
      </c>
      <c r="AA188" s="4">
        <f t="shared" si="114"/>
        <v>0</v>
      </c>
      <c r="AB188" s="4">
        <f t="shared" si="115"/>
        <v>0</v>
      </c>
      <c r="AC188" s="4">
        <f t="shared" si="116"/>
        <v>0</v>
      </c>
      <c r="AD188" s="4">
        <f t="shared" ca="1" si="117"/>
        <v>0</v>
      </c>
      <c r="AE188" s="4">
        <f t="shared" si="118"/>
        <v>0</v>
      </c>
      <c r="AF188" s="4">
        <f t="shared" si="119"/>
        <v>0</v>
      </c>
      <c r="AG188" s="4">
        <f t="shared" si="120"/>
        <v>0</v>
      </c>
      <c r="AH188" s="4">
        <f t="shared" si="121"/>
        <v>0</v>
      </c>
      <c r="AI188" s="4">
        <f t="shared" ca="1" si="122"/>
        <v>0</v>
      </c>
      <c r="AJ188" s="4">
        <f t="shared" si="123"/>
        <v>0</v>
      </c>
      <c r="AK188" s="4">
        <f t="shared" si="124"/>
        <v>0</v>
      </c>
      <c r="AL188" s="4">
        <f t="shared" si="125"/>
        <v>0</v>
      </c>
      <c r="AM188" s="4">
        <f t="shared" si="126"/>
        <v>0</v>
      </c>
      <c r="AN188" s="4">
        <f t="shared" si="127"/>
        <v>0</v>
      </c>
      <c r="AP188" s="180">
        <f>IF(AQ188&lt;='Premissas Gerais'!$G$6,1,0)</f>
        <v>1</v>
      </c>
      <c r="AQ188" s="1">
        <v>20</v>
      </c>
      <c r="AR188" s="2">
        <f>IF($AQ188&lt;='Premissas Gerais'!$G$6,(IF(OR(AR$167&gt;=$AQ188,AR$166=0),0,IF(SUM(AR$168:AR187)&lt;1,10%,0))),0%)</f>
        <v>0</v>
      </c>
      <c r="AS188" s="2">
        <f>IF($AQ188&lt;='Premissas Gerais'!$G$6,(IF(OR(AS$167&gt;=$AQ188,AS$166=0),0,IF(SUM(AS$168:AS187)&lt;1,10%,0))),0%)</f>
        <v>0</v>
      </c>
      <c r="AT188" s="2">
        <f>IF($AQ188&lt;='Premissas Gerais'!$G$6,(IF(OR(AT$167&gt;=$AQ188,AT$166=0),0,IF(SUM(AT$168:AT187)&lt;1,10%,0))),0%)</f>
        <v>0</v>
      </c>
      <c r="AU188" s="2">
        <f>IF($AQ188&lt;='Premissas Gerais'!$G$6,(IF(OR(AU$167&gt;=$AQ188,AU$166=0),0,IF(SUM(AU$168:AU187)&lt;1,10%,0))),0%)</f>
        <v>0</v>
      </c>
      <c r="AV188" s="2">
        <f ca="1">IF($AQ188&lt;='Premissas Gerais'!$G$6,(IF(OR(AV$167&gt;=$AQ188,AV$166=0),0,IF(SUM(AV$168:AV187)&lt;1,10%,0))),0%)</f>
        <v>0</v>
      </c>
      <c r="AW188" s="2">
        <f>IF($AQ188&lt;='Premissas Gerais'!$G$6,(IF(OR(AW$167&gt;=$AQ188,AW$166=0),0,IF(SUM(AW$168:AW187)&lt;1,10%,0))),0%)</f>
        <v>0</v>
      </c>
      <c r="AX188" s="2">
        <f>IF($AQ188&lt;='Premissas Gerais'!$G$6,(IF(OR(AX$167&gt;=$AQ188,AX$166=0),0,IF(SUM(AX$168:AX187)&lt;1,10%,0))),0%)</f>
        <v>0</v>
      </c>
      <c r="AY188" s="2">
        <f>IF($AQ188&lt;='Premissas Gerais'!$G$6,(IF(OR(AY$167&gt;=$AQ188,AY$166=0),0,IF(SUM(AY$168:AY187)&lt;1,10%,0))),0%)</f>
        <v>0</v>
      </c>
      <c r="AZ188" s="2">
        <f>IF($AQ188&lt;='Premissas Gerais'!$G$6,(IF(OR(AZ$167&gt;=$AQ188,AZ$166=0),0,IF(SUM(AZ$168:AZ187)&lt;1,10%,0))),0%)</f>
        <v>0</v>
      </c>
      <c r="BA188" s="2">
        <f ca="1">IF($AQ188&lt;='Premissas Gerais'!$G$6,(IF(OR(BA$167&gt;=$AQ188,BA$166=0),0,IF(SUM(BA$168:BA187)&lt;1,10%,0))),0%)</f>
        <v>0</v>
      </c>
      <c r="BB188" s="2">
        <f>IF($AQ188&lt;='Premissas Gerais'!$G$6,(IF(OR(BB$167&gt;=$AQ188,BB$166=0),0,IF(SUM(BB$168:BB187)&lt;1,10%,0))),0%)</f>
        <v>0</v>
      </c>
      <c r="BC188" s="2">
        <f>IF($AQ188&lt;='Premissas Gerais'!$G$6,(IF(OR(BC$167&gt;=$AQ188,BC$166=0),0,IF(SUM(BC$168:BC187)&lt;1,10%,0))),0%)</f>
        <v>0</v>
      </c>
      <c r="BD188" s="2">
        <f>IF($AQ188&lt;='Premissas Gerais'!$G$6,(IF(OR(BD$167&gt;=$AQ188,BD$166=0),0,IF(SUM(BD$168:BD187)&lt;1,10%,0))),0%)</f>
        <v>0</v>
      </c>
      <c r="BE188" s="2">
        <f>IF($AQ188&lt;='Premissas Gerais'!$G$6,(IF(OR(BE$167&gt;=$AQ188,BE$166=0),0,IF(SUM(BE$168:BE187)&lt;1,10%,0))),0%)</f>
        <v>0</v>
      </c>
      <c r="BF188" s="2">
        <f ca="1">IF($AQ188&lt;='Premissas Gerais'!$G$6,(IF(OR(BF$167&gt;=$AQ188,BF$166=0),0,IF(SUM(BF$168:BF187)&lt;1,10%,0))),0%)</f>
        <v>0</v>
      </c>
      <c r="BG188" s="2">
        <f>IF($AQ188&lt;='Premissas Gerais'!$G$6,(IF(OR(BG$167&gt;=$AQ188,BG$166=0),0,IF(SUM(BG$168:BG187)&lt;1,10%,0))),0%)</f>
        <v>0</v>
      </c>
      <c r="BH188" s="2">
        <f>IF($AQ188&lt;='Premissas Gerais'!$G$6,(IF(OR(BH$167&gt;=$AQ188,BH$166=0),0,IF(SUM(BH$168:BH187)&lt;1,10%,0))),0%)</f>
        <v>0</v>
      </c>
      <c r="BI188" s="2">
        <f>IF($AQ188&lt;='Premissas Gerais'!$G$6,(IF(OR(BI$167&gt;=$AQ188,BI$166=0),0,IF(SUM(BI$168:BI187)&lt;1,10%,0))),0%)</f>
        <v>0</v>
      </c>
      <c r="BJ188" s="2">
        <f>IF($AQ188&lt;='Premissas Gerais'!$G$6,(IF(OR(BJ$167&gt;=$AQ188,BJ$166=0),0,IF(SUM(BJ$168:BJ187)&lt;1,10%,0))),0%)</f>
        <v>0</v>
      </c>
      <c r="BK188" s="2">
        <f ca="1">IF($AQ188&lt;='Premissas Gerais'!$G$6,(IF(OR(BK$167&gt;=$AQ188,BK$166=0),0,IF(SUM(BK$168:BK187)&lt;1,10%,0))),0%)</f>
        <v>0</v>
      </c>
      <c r="BL188" s="2">
        <f>IF($AQ188&lt;='Premissas Gerais'!$G$6,(IF(OR(BL$167&gt;=$AQ188,BL$166=0),0,IF(SUM(BL$168:BL187)&lt;1,10%,0))),0%)</f>
        <v>0</v>
      </c>
      <c r="BM188" s="2">
        <f>IF($AQ188&lt;='Premissas Gerais'!$G$6,(IF(OR(BM$167&gt;=$AQ188,BM$166=0),0,IF(SUM(BM$168:BM187)&lt;1,10%,0))),0%)</f>
        <v>0</v>
      </c>
      <c r="BN188" s="2">
        <f>IF($AQ188&lt;='Premissas Gerais'!$G$6,(IF(OR(BN$167&gt;=$AQ188,BN$166=0),0,IF(SUM(BN$168:BN187)&lt;1,10%,0))),0%)</f>
        <v>0</v>
      </c>
      <c r="BO188" s="2">
        <f>IF($AQ188&lt;='Premissas Gerais'!$G$6,(IF(OR(BO$167&gt;=$AQ188,BO$166=0),0,IF(SUM(BO$168:BO187)&lt;1,10%,0))),0%)</f>
        <v>0</v>
      </c>
      <c r="BP188" s="2">
        <f ca="1">IF($AQ188&lt;='Premissas Gerais'!$G$6,(IF(OR(BP$167&gt;=$AQ188,BP$166=0),0,IF(SUM(BP$168:BP187)&lt;1,10%,0))),0%)</f>
        <v>0</v>
      </c>
      <c r="BQ188" s="2">
        <f>IF($AQ188&lt;='Premissas Gerais'!$G$6,(IF(OR(BQ$167&gt;=$AQ188,BQ$166=0),0,IF(SUM(BQ$168:BQ187)&lt;1,10%,0))),0%)</f>
        <v>0</v>
      </c>
      <c r="BR188" s="2">
        <f>IF($AQ188&lt;='Premissas Gerais'!$G$6,(IF(OR(BR$167&gt;=$AQ188,BR$166=0),0,IF(SUM(BR$168:BR187)&lt;1,10%,0))),0%)</f>
        <v>0</v>
      </c>
      <c r="BS188" s="2">
        <f>IF($AQ188&lt;='Premissas Gerais'!$G$6,(IF(OR(BS$167&gt;=$AQ188,BS$166=0),0,IF(SUM(BS$168:BS187)&lt;1,10%,0))),0%)</f>
        <v>0</v>
      </c>
      <c r="BT188" s="2">
        <f>IF($AQ188&lt;='Premissas Gerais'!$G$6,(IF(OR(BT$167&gt;=$AQ188,BT$166=0),0,IF(SUM(BT$168:BT187)&lt;1,10%,0))),0%)</f>
        <v>0</v>
      </c>
      <c r="BU188" s="2">
        <f ca="1">IF($AQ188&lt;='Premissas Gerais'!$G$6,(IF(OR(BU$167&gt;=$AQ188,BU$166=0),0,IF(SUM(BU$168:BU187)&lt;1,10%,0))),0%)</f>
        <v>0</v>
      </c>
      <c r="BV188" s="2">
        <f>IF($AQ188&lt;='Premissas Gerais'!$G$6,(IF(OR(BV$167&gt;=$AQ188,BV$166=0),0,IF(SUM(BV$168:BV187)&lt;1,10%,0))),0%)</f>
        <v>0</v>
      </c>
      <c r="BW188" s="2">
        <f>IF($AQ188&lt;='Premissas Gerais'!$G$6,(IF(OR(BW$167&gt;=$AQ188,BW$166=0),0,IF(SUM(BW$168:BW187)&lt;1,10%,0))),0%)</f>
        <v>0</v>
      </c>
      <c r="BX188" s="2">
        <f>IF($AQ188&lt;='Premissas Gerais'!$G$6,(IF(OR(BX$167&gt;=$AQ188,BX$166=0),0,IF(SUM(BX$168:BX187)&lt;1,10%,0))),0%)</f>
        <v>0</v>
      </c>
      <c r="BY188" s="2">
        <f>IF($AQ188&lt;='Premissas Gerais'!$G$6,(IF(OR(BY$167&gt;=$AQ188,BY$166=0),0,IF(SUM(BY$168:BY187)&lt;1,10%,0))),0%)</f>
        <v>0</v>
      </c>
      <c r="BZ188" s="2">
        <f>IF($AQ188&lt;='Premissas Gerais'!$G$6,(IF(OR(BZ$167&gt;=$AQ188,BZ$166=0),0,IF(SUM(BZ$168:BZ187)&lt;1,10%,0))),0%)</f>
        <v>0</v>
      </c>
    </row>
    <row r="189" spans="3:78" outlineLevel="1">
      <c r="C189" s="155">
        <v>20</v>
      </c>
      <c r="E189" s="133">
        <f ca="1">IF(C189&lt;='Premissas Gerais'!$G$6,SUM(F189:AN189),0)</f>
        <v>0</v>
      </c>
      <c r="F189" s="4">
        <f t="shared" si="93"/>
        <v>0</v>
      </c>
      <c r="G189" s="4">
        <f t="shared" si="94"/>
        <v>0</v>
      </c>
      <c r="H189" s="4">
        <f t="shared" si="95"/>
        <v>0</v>
      </c>
      <c r="I189" s="4">
        <f t="shared" si="96"/>
        <v>0</v>
      </c>
      <c r="J189" s="4">
        <f t="shared" ca="1" si="97"/>
        <v>0</v>
      </c>
      <c r="K189" s="4">
        <f t="shared" si="98"/>
        <v>0</v>
      </c>
      <c r="L189" s="4">
        <f t="shared" si="99"/>
        <v>0</v>
      </c>
      <c r="M189" s="4">
        <f t="shared" si="100"/>
        <v>0</v>
      </c>
      <c r="N189" s="4">
        <f t="shared" si="101"/>
        <v>0</v>
      </c>
      <c r="O189" s="4">
        <f t="shared" ca="1" si="102"/>
        <v>0</v>
      </c>
      <c r="P189" s="4">
        <f t="shared" si="103"/>
        <v>0</v>
      </c>
      <c r="Q189" s="4">
        <f t="shared" si="104"/>
        <v>0</v>
      </c>
      <c r="R189" s="4">
        <f t="shared" si="105"/>
        <v>0</v>
      </c>
      <c r="S189" s="4">
        <f t="shared" si="106"/>
        <v>0</v>
      </c>
      <c r="T189" s="4">
        <f t="shared" ca="1" si="107"/>
        <v>0</v>
      </c>
      <c r="U189" s="4">
        <f t="shared" si="108"/>
        <v>0</v>
      </c>
      <c r="V189" s="4">
        <f t="shared" si="109"/>
        <v>0</v>
      </c>
      <c r="W189" s="4">
        <f t="shared" si="110"/>
        <v>0</v>
      </c>
      <c r="X189" s="4">
        <f t="shared" si="111"/>
        <v>0</v>
      </c>
      <c r="Y189" s="4">
        <f t="shared" ca="1" si="112"/>
        <v>0</v>
      </c>
      <c r="Z189" s="4">
        <f t="shared" si="113"/>
        <v>0</v>
      </c>
      <c r="AA189" s="4">
        <f t="shared" si="114"/>
        <v>0</v>
      </c>
      <c r="AB189" s="4">
        <f t="shared" si="115"/>
        <v>0</v>
      </c>
      <c r="AC189" s="4">
        <f t="shared" si="116"/>
        <v>0</v>
      </c>
      <c r="AD189" s="4">
        <f t="shared" ca="1" si="117"/>
        <v>0</v>
      </c>
      <c r="AE189" s="4">
        <f t="shared" si="118"/>
        <v>0</v>
      </c>
      <c r="AF189" s="4">
        <f t="shared" si="119"/>
        <v>0</v>
      </c>
      <c r="AG189" s="4">
        <f t="shared" si="120"/>
        <v>0</v>
      </c>
      <c r="AH189" s="4">
        <f t="shared" si="121"/>
        <v>0</v>
      </c>
      <c r="AI189" s="4">
        <f t="shared" ca="1" si="122"/>
        <v>0</v>
      </c>
      <c r="AJ189" s="4">
        <f t="shared" si="123"/>
        <v>0</v>
      </c>
      <c r="AK189" s="4">
        <f t="shared" si="124"/>
        <v>0</v>
      </c>
      <c r="AL189" s="4">
        <f t="shared" si="125"/>
        <v>0</v>
      </c>
      <c r="AM189" s="4">
        <f t="shared" si="126"/>
        <v>0</v>
      </c>
      <c r="AN189" s="4">
        <f t="shared" si="127"/>
        <v>0</v>
      </c>
      <c r="AP189" s="180">
        <f>IF(AQ189&lt;='Premissas Gerais'!$G$6,1,0)</f>
        <v>1</v>
      </c>
      <c r="AQ189" s="1">
        <v>21</v>
      </c>
      <c r="AR189" s="2">
        <f>IF($AQ189&lt;='Premissas Gerais'!$G$6,(IF(OR(AR$167&gt;=$AQ189,AR$166=0),0,IF(SUM(AR$168:AR188)&lt;1,10%,0))),0%)</f>
        <v>0</v>
      </c>
      <c r="AS189" s="2">
        <f>IF($AQ189&lt;='Premissas Gerais'!$G$6,(IF(OR(AS$167&gt;=$AQ189,AS$166=0),0,IF(SUM(AS$168:AS188)&lt;1,10%,0))),0%)</f>
        <v>0</v>
      </c>
      <c r="AT189" s="2">
        <f>IF($AQ189&lt;='Premissas Gerais'!$G$6,(IF(OR(AT$167&gt;=$AQ189,AT$166=0),0,IF(SUM(AT$168:AT188)&lt;1,10%,0))),0%)</f>
        <v>0</v>
      </c>
      <c r="AU189" s="2">
        <f>IF($AQ189&lt;='Premissas Gerais'!$G$6,(IF(OR(AU$167&gt;=$AQ189,AU$166=0),0,IF(SUM(AU$168:AU188)&lt;1,10%,0))),0%)</f>
        <v>0</v>
      </c>
      <c r="AV189" s="2">
        <f ca="1">IF($AQ189&lt;='Premissas Gerais'!$G$6,(IF(OR(AV$167&gt;=$AQ189,AV$166=0),0,IF(SUM(AV$168:AV188)&lt;1,10%,0))),0%)</f>
        <v>0</v>
      </c>
      <c r="AW189" s="2">
        <f>IF($AQ189&lt;='Premissas Gerais'!$G$6,(IF(OR(AW$167&gt;=$AQ189,AW$166=0),0,IF(SUM(AW$168:AW188)&lt;1,10%,0))),0%)</f>
        <v>0</v>
      </c>
      <c r="AX189" s="2">
        <f>IF($AQ189&lt;='Premissas Gerais'!$G$6,(IF(OR(AX$167&gt;=$AQ189,AX$166=0),0,IF(SUM(AX$168:AX188)&lt;1,10%,0))),0%)</f>
        <v>0</v>
      </c>
      <c r="AY189" s="2">
        <f>IF($AQ189&lt;='Premissas Gerais'!$G$6,(IF(OR(AY$167&gt;=$AQ189,AY$166=0),0,IF(SUM(AY$168:AY188)&lt;1,10%,0))),0%)</f>
        <v>0</v>
      </c>
      <c r="AZ189" s="2">
        <f>IF($AQ189&lt;='Premissas Gerais'!$G$6,(IF(OR(AZ$167&gt;=$AQ189,AZ$166=0),0,IF(SUM(AZ$168:AZ188)&lt;1,10%,0))),0%)</f>
        <v>0</v>
      </c>
      <c r="BA189" s="2">
        <f ca="1">IF($AQ189&lt;='Premissas Gerais'!$G$6,(IF(OR(BA$167&gt;=$AQ189,BA$166=0),0,IF(SUM(BA$168:BA188)&lt;1,10%,0))),0%)</f>
        <v>0</v>
      </c>
      <c r="BB189" s="2">
        <f>IF($AQ189&lt;='Premissas Gerais'!$G$6,(IF(OR(BB$167&gt;=$AQ189,BB$166=0),0,IF(SUM(BB$168:BB188)&lt;1,10%,0))),0%)</f>
        <v>0</v>
      </c>
      <c r="BC189" s="2">
        <f>IF($AQ189&lt;='Premissas Gerais'!$G$6,(IF(OR(BC$167&gt;=$AQ189,BC$166=0),0,IF(SUM(BC$168:BC188)&lt;1,10%,0))),0%)</f>
        <v>0</v>
      </c>
      <c r="BD189" s="2">
        <f>IF($AQ189&lt;='Premissas Gerais'!$G$6,(IF(OR(BD$167&gt;=$AQ189,BD$166=0),0,IF(SUM(BD$168:BD188)&lt;1,10%,0))),0%)</f>
        <v>0</v>
      </c>
      <c r="BE189" s="2">
        <f>IF($AQ189&lt;='Premissas Gerais'!$G$6,(IF(OR(BE$167&gt;=$AQ189,BE$166=0),0,IF(SUM(BE$168:BE188)&lt;1,10%,0))),0%)</f>
        <v>0</v>
      </c>
      <c r="BF189" s="2">
        <f ca="1">IF($AQ189&lt;='Premissas Gerais'!$G$6,(IF(OR(BF$167&gt;=$AQ189,BF$166=0),0,IF(SUM(BF$168:BF188)&lt;1,10%,0))),0%)</f>
        <v>0</v>
      </c>
      <c r="BG189" s="2">
        <f>IF($AQ189&lt;='Premissas Gerais'!$G$6,(IF(OR(BG$167&gt;=$AQ189,BG$166=0),0,IF(SUM(BG$168:BG188)&lt;1,10%,0))),0%)</f>
        <v>0</v>
      </c>
      <c r="BH189" s="2">
        <f>IF($AQ189&lt;='Premissas Gerais'!$G$6,(IF(OR(BH$167&gt;=$AQ189,BH$166=0),0,IF(SUM(BH$168:BH188)&lt;1,10%,0))),0%)</f>
        <v>0</v>
      </c>
      <c r="BI189" s="2">
        <f>IF($AQ189&lt;='Premissas Gerais'!$G$6,(IF(OR(BI$167&gt;=$AQ189,BI$166=0),0,IF(SUM(BI$168:BI188)&lt;1,10%,0))),0%)</f>
        <v>0</v>
      </c>
      <c r="BJ189" s="2">
        <f>IF($AQ189&lt;='Premissas Gerais'!$G$6,(IF(OR(BJ$167&gt;=$AQ189,BJ$166=0),0,IF(SUM(BJ$168:BJ188)&lt;1,10%,0))),0%)</f>
        <v>0</v>
      </c>
      <c r="BK189" s="2">
        <f ca="1">IF($AQ189&lt;='Premissas Gerais'!$G$6,(IF(OR(BK$167&gt;=$AQ189,BK$166=0),0,IF(SUM(BK$168:BK188)&lt;1,10%,0))),0%)</f>
        <v>0</v>
      </c>
      <c r="BL189" s="2">
        <f>IF($AQ189&lt;='Premissas Gerais'!$G$6,(IF(OR(BL$167&gt;=$AQ189,BL$166=0),0,IF(SUM(BL$168:BL188)&lt;1,10%,0))),0%)</f>
        <v>0</v>
      </c>
      <c r="BM189" s="2">
        <f>IF($AQ189&lt;='Premissas Gerais'!$G$6,(IF(OR(BM$167&gt;=$AQ189,BM$166=0),0,IF(SUM(BM$168:BM188)&lt;1,10%,0))),0%)</f>
        <v>0</v>
      </c>
      <c r="BN189" s="2">
        <f>IF($AQ189&lt;='Premissas Gerais'!$G$6,(IF(OR(BN$167&gt;=$AQ189,BN$166=0),0,IF(SUM(BN$168:BN188)&lt;1,10%,0))),0%)</f>
        <v>0</v>
      </c>
      <c r="BO189" s="2">
        <f>IF($AQ189&lt;='Premissas Gerais'!$G$6,(IF(OR(BO$167&gt;=$AQ189,BO$166=0),0,IF(SUM(BO$168:BO188)&lt;1,10%,0))),0%)</f>
        <v>0</v>
      </c>
      <c r="BP189" s="2">
        <f ca="1">IF($AQ189&lt;='Premissas Gerais'!$G$6,(IF(OR(BP$167&gt;=$AQ189,BP$166=0),0,IF(SUM(BP$168:BP188)&lt;1,10%,0))),0%)</f>
        <v>0</v>
      </c>
      <c r="BQ189" s="2">
        <f>IF($AQ189&lt;='Premissas Gerais'!$G$6,(IF(OR(BQ$167&gt;=$AQ189,BQ$166=0),0,IF(SUM(BQ$168:BQ188)&lt;1,10%,0))),0%)</f>
        <v>0</v>
      </c>
      <c r="BR189" s="2">
        <f>IF($AQ189&lt;='Premissas Gerais'!$G$6,(IF(OR(BR$167&gt;=$AQ189,BR$166=0),0,IF(SUM(BR$168:BR188)&lt;1,10%,0))),0%)</f>
        <v>0</v>
      </c>
      <c r="BS189" s="2">
        <f>IF($AQ189&lt;='Premissas Gerais'!$G$6,(IF(OR(BS$167&gt;=$AQ189,BS$166=0),0,IF(SUM(BS$168:BS188)&lt;1,10%,0))),0%)</f>
        <v>0</v>
      </c>
      <c r="BT189" s="2">
        <f>IF($AQ189&lt;='Premissas Gerais'!$G$6,(IF(OR(BT$167&gt;=$AQ189,BT$166=0),0,IF(SUM(BT$168:BT188)&lt;1,10%,0))),0%)</f>
        <v>0</v>
      </c>
      <c r="BU189" s="2">
        <f ca="1">IF($AQ189&lt;='Premissas Gerais'!$G$6,(IF(OR(BU$167&gt;=$AQ189,BU$166=0),0,IF(SUM(BU$168:BU188)&lt;1,10%,0))),0%)</f>
        <v>0</v>
      </c>
      <c r="BV189" s="2">
        <f>IF($AQ189&lt;='Premissas Gerais'!$G$6,(IF(OR(BV$167&gt;=$AQ189,BV$166=0),0,IF(SUM(BV$168:BV188)&lt;1,10%,0))),0%)</f>
        <v>0</v>
      </c>
      <c r="BW189" s="2">
        <f>IF($AQ189&lt;='Premissas Gerais'!$G$6,(IF(OR(BW$167&gt;=$AQ189,BW$166=0),0,IF(SUM(BW$168:BW188)&lt;1,10%,0))),0%)</f>
        <v>0</v>
      </c>
      <c r="BX189" s="2">
        <f>IF($AQ189&lt;='Premissas Gerais'!$G$6,(IF(OR(BX$167&gt;=$AQ189,BX$166=0),0,IF(SUM(BX$168:BX188)&lt;1,10%,0))),0%)</f>
        <v>0</v>
      </c>
      <c r="BY189" s="2">
        <f>IF($AQ189&lt;='Premissas Gerais'!$G$6,(IF(OR(BY$167&gt;=$AQ189,BY$166=0),0,IF(SUM(BY$168:BY188)&lt;1,10%,0))),0%)</f>
        <v>0</v>
      </c>
      <c r="BZ189" s="2">
        <f>IF($AQ189&lt;='Premissas Gerais'!$G$6,(IF(OR(BZ$167&gt;=$AQ189,BZ$166=0),0,IF(SUM(BZ$168:BZ188)&lt;1,10%,0))),0%)</f>
        <v>0</v>
      </c>
    </row>
    <row r="190" spans="3:78" outlineLevel="1">
      <c r="C190" s="155">
        <v>21</v>
      </c>
      <c r="E190" s="133">
        <f ca="1">IF(C190&lt;='Premissas Gerais'!$G$6,SUM(F190:AN190),0)</f>
        <v>0</v>
      </c>
      <c r="F190" s="4">
        <f t="shared" si="93"/>
        <v>0</v>
      </c>
      <c r="G190" s="4">
        <f t="shared" si="94"/>
        <v>0</v>
      </c>
      <c r="H190" s="4">
        <f t="shared" si="95"/>
        <v>0</v>
      </c>
      <c r="I190" s="4">
        <f t="shared" si="96"/>
        <v>0</v>
      </c>
      <c r="J190" s="4">
        <f t="shared" ca="1" si="97"/>
        <v>0</v>
      </c>
      <c r="K190" s="4">
        <f t="shared" si="98"/>
        <v>0</v>
      </c>
      <c r="L190" s="4">
        <f t="shared" si="99"/>
        <v>0</v>
      </c>
      <c r="M190" s="4">
        <f t="shared" si="100"/>
        <v>0</v>
      </c>
      <c r="N190" s="4">
        <f t="shared" si="101"/>
        <v>0</v>
      </c>
      <c r="O190" s="4">
        <f t="shared" ca="1" si="102"/>
        <v>0</v>
      </c>
      <c r="P190" s="4">
        <f t="shared" si="103"/>
        <v>0</v>
      </c>
      <c r="Q190" s="4">
        <f t="shared" si="104"/>
        <v>0</v>
      </c>
      <c r="R190" s="4">
        <f t="shared" si="105"/>
        <v>0</v>
      </c>
      <c r="S190" s="4">
        <f t="shared" si="106"/>
        <v>0</v>
      </c>
      <c r="T190" s="4">
        <f t="shared" ca="1" si="107"/>
        <v>0</v>
      </c>
      <c r="U190" s="4">
        <f t="shared" si="108"/>
        <v>0</v>
      </c>
      <c r="V190" s="4">
        <f t="shared" si="109"/>
        <v>0</v>
      </c>
      <c r="W190" s="4">
        <f t="shared" si="110"/>
        <v>0</v>
      </c>
      <c r="X190" s="4">
        <f t="shared" si="111"/>
        <v>0</v>
      </c>
      <c r="Y190" s="4">
        <f t="shared" ca="1" si="112"/>
        <v>0</v>
      </c>
      <c r="Z190" s="4">
        <f t="shared" si="113"/>
        <v>0</v>
      </c>
      <c r="AA190" s="4">
        <f t="shared" si="114"/>
        <v>0</v>
      </c>
      <c r="AB190" s="4">
        <f t="shared" si="115"/>
        <v>0</v>
      </c>
      <c r="AC190" s="4">
        <f t="shared" si="116"/>
        <v>0</v>
      </c>
      <c r="AD190" s="4">
        <f t="shared" ca="1" si="117"/>
        <v>0</v>
      </c>
      <c r="AE190" s="4">
        <f t="shared" si="118"/>
        <v>0</v>
      </c>
      <c r="AF190" s="4">
        <f t="shared" si="119"/>
        <v>0</v>
      </c>
      <c r="AG190" s="4">
        <f t="shared" si="120"/>
        <v>0</v>
      </c>
      <c r="AH190" s="4">
        <f t="shared" si="121"/>
        <v>0</v>
      </c>
      <c r="AI190" s="4">
        <f t="shared" ca="1" si="122"/>
        <v>0</v>
      </c>
      <c r="AJ190" s="4">
        <f t="shared" si="123"/>
        <v>0</v>
      </c>
      <c r="AK190" s="4">
        <f t="shared" si="124"/>
        <v>0</v>
      </c>
      <c r="AL190" s="4">
        <f t="shared" si="125"/>
        <v>0</v>
      </c>
      <c r="AM190" s="4">
        <f t="shared" si="126"/>
        <v>0</v>
      </c>
      <c r="AN190" s="4">
        <f t="shared" si="127"/>
        <v>0</v>
      </c>
      <c r="AP190" s="180">
        <f>IF(AQ190&lt;='Premissas Gerais'!$G$6,1,0)</f>
        <v>1</v>
      </c>
      <c r="AQ190" s="1">
        <v>22</v>
      </c>
      <c r="AR190" s="2">
        <f>IF($AQ190&lt;='Premissas Gerais'!$G$6,(IF(OR(AR$167&gt;=$AQ190,AR$166=0),0,IF(SUM(AR$168:AR189)&lt;1,10%,0))),0%)</f>
        <v>0</v>
      </c>
      <c r="AS190" s="2">
        <f>IF($AQ190&lt;='Premissas Gerais'!$G$6,(IF(OR(AS$167&gt;=$AQ190,AS$166=0),0,IF(SUM(AS$168:AS189)&lt;1,10%,0))),0%)</f>
        <v>0</v>
      </c>
      <c r="AT190" s="2">
        <f>IF($AQ190&lt;='Premissas Gerais'!$G$6,(IF(OR(AT$167&gt;=$AQ190,AT$166=0),0,IF(SUM(AT$168:AT189)&lt;1,10%,0))),0%)</f>
        <v>0</v>
      </c>
      <c r="AU190" s="2">
        <f>IF($AQ190&lt;='Premissas Gerais'!$G$6,(IF(OR(AU$167&gt;=$AQ190,AU$166=0),0,IF(SUM(AU$168:AU189)&lt;1,10%,0))),0%)</f>
        <v>0</v>
      </c>
      <c r="AV190" s="2">
        <f ca="1">IF($AQ190&lt;='Premissas Gerais'!$G$6,(IF(OR(AV$167&gt;=$AQ190,AV$166=0),0,IF(SUM(AV$168:AV189)&lt;1,10%,0))),0%)</f>
        <v>0</v>
      </c>
      <c r="AW190" s="2">
        <f>IF($AQ190&lt;='Premissas Gerais'!$G$6,(IF(OR(AW$167&gt;=$AQ190,AW$166=0),0,IF(SUM(AW$168:AW189)&lt;1,10%,0))),0%)</f>
        <v>0</v>
      </c>
      <c r="AX190" s="2">
        <f>IF($AQ190&lt;='Premissas Gerais'!$G$6,(IF(OR(AX$167&gt;=$AQ190,AX$166=0),0,IF(SUM(AX$168:AX189)&lt;1,10%,0))),0%)</f>
        <v>0</v>
      </c>
      <c r="AY190" s="2">
        <f>IF($AQ190&lt;='Premissas Gerais'!$G$6,(IF(OR(AY$167&gt;=$AQ190,AY$166=0),0,IF(SUM(AY$168:AY189)&lt;1,10%,0))),0%)</f>
        <v>0</v>
      </c>
      <c r="AZ190" s="2">
        <f>IF($AQ190&lt;='Premissas Gerais'!$G$6,(IF(OR(AZ$167&gt;=$AQ190,AZ$166=0),0,IF(SUM(AZ$168:AZ189)&lt;1,10%,0))),0%)</f>
        <v>0</v>
      </c>
      <c r="BA190" s="2">
        <f ca="1">IF($AQ190&lt;='Premissas Gerais'!$G$6,(IF(OR(BA$167&gt;=$AQ190,BA$166=0),0,IF(SUM(BA$168:BA189)&lt;1,10%,0))),0%)</f>
        <v>0</v>
      </c>
      <c r="BB190" s="2">
        <f>IF($AQ190&lt;='Premissas Gerais'!$G$6,(IF(OR(BB$167&gt;=$AQ190,BB$166=0),0,IF(SUM(BB$168:BB189)&lt;1,10%,0))),0%)</f>
        <v>0</v>
      </c>
      <c r="BC190" s="2">
        <f>IF($AQ190&lt;='Premissas Gerais'!$G$6,(IF(OR(BC$167&gt;=$AQ190,BC$166=0),0,IF(SUM(BC$168:BC189)&lt;1,10%,0))),0%)</f>
        <v>0</v>
      </c>
      <c r="BD190" s="2">
        <f>IF($AQ190&lt;='Premissas Gerais'!$G$6,(IF(OR(BD$167&gt;=$AQ190,BD$166=0),0,IF(SUM(BD$168:BD189)&lt;1,10%,0))),0%)</f>
        <v>0</v>
      </c>
      <c r="BE190" s="2">
        <f>IF($AQ190&lt;='Premissas Gerais'!$G$6,(IF(OR(BE$167&gt;=$AQ190,BE$166=0),0,IF(SUM(BE$168:BE189)&lt;1,10%,0))),0%)</f>
        <v>0</v>
      </c>
      <c r="BF190" s="2">
        <f ca="1">IF($AQ190&lt;='Premissas Gerais'!$G$6,(IF(OR(BF$167&gt;=$AQ190,BF$166=0),0,IF(SUM(BF$168:BF189)&lt;1,10%,0))),0%)</f>
        <v>0</v>
      </c>
      <c r="BG190" s="2">
        <f>IF($AQ190&lt;='Premissas Gerais'!$G$6,(IF(OR(BG$167&gt;=$AQ190,BG$166=0),0,IF(SUM(BG$168:BG189)&lt;1,10%,0))),0%)</f>
        <v>0</v>
      </c>
      <c r="BH190" s="2">
        <f>IF($AQ190&lt;='Premissas Gerais'!$G$6,(IF(OR(BH$167&gt;=$AQ190,BH$166=0),0,IF(SUM(BH$168:BH189)&lt;1,10%,0))),0%)</f>
        <v>0</v>
      </c>
      <c r="BI190" s="2">
        <f>IF($AQ190&lt;='Premissas Gerais'!$G$6,(IF(OR(BI$167&gt;=$AQ190,BI$166=0),0,IF(SUM(BI$168:BI189)&lt;1,10%,0))),0%)</f>
        <v>0</v>
      </c>
      <c r="BJ190" s="2">
        <f>IF($AQ190&lt;='Premissas Gerais'!$G$6,(IF(OR(BJ$167&gt;=$AQ190,BJ$166=0),0,IF(SUM(BJ$168:BJ189)&lt;1,10%,0))),0%)</f>
        <v>0</v>
      </c>
      <c r="BK190" s="2">
        <f ca="1">IF($AQ190&lt;='Premissas Gerais'!$G$6,(IF(OR(BK$167&gt;=$AQ190,BK$166=0),0,IF(SUM(BK$168:BK189)&lt;1,10%,0))),0%)</f>
        <v>0</v>
      </c>
      <c r="BL190" s="2">
        <f>IF($AQ190&lt;='Premissas Gerais'!$G$6,(IF(OR(BL$167&gt;=$AQ190,BL$166=0),0,IF(SUM(BL$168:BL189)&lt;1,10%,0))),0%)</f>
        <v>0</v>
      </c>
      <c r="BM190" s="2">
        <f>IF($AQ190&lt;='Premissas Gerais'!$G$6,(IF(OR(BM$167&gt;=$AQ190,BM$166=0),0,IF(SUM(BM$168:BM189)&lt;1,10%,0))),0%)</f>
        <v>0</v>
      </c>
      <c r="BN190" s="2">
        <f>IF($AQ190&lt;='Premissas Gerais'!$G$6,(IF(OR(BN$167&gt;=$AQ190,BN$166=0),0,IF(SUM(BN$168:BN189)&lt;1,10%,0))),0%)</f>
        <v>0</v>
      </c>
      <c r="BO190" s="2">
        <f>IF($AQ190&lt;='Premissas Gerais'!$G$6,(IF(OR(BO$167&gt;=$AQ190,BO$166=0),0,IF(SUM(BO$168:BO189)&lt;1,10%,0))),0%)</f>
        <v>0</v>
      </c>
      <c r="BP190" s="2">
        <f ca="1">IF($AQ190&lt;='Premissas Gerais'!$G$6,(IF(OR(BP$167&gt;=$AQ190,BP$166=0),0,IF(SUM(BP$168:BP189)&lt;1,10%,0))),0%)</f>
        <v>0</v>
      </c>
      <c r="BQ190" s="2">
        <f>IF($AQ190&lt;='Premissas Gerais'!$G$6,(IF(OR(BQ$167&gt;=$AQ190,BQ$166=0),0,IF(SUM(BQ$168:BQ189)&lt;1,10%,0))),0%)</f>
        <v>0</v>
      </c>
      <c r="BR190" s="2">
        <f>IF($AQ190&lt;='Premissas Gerais'!$G$6,(IF(OR(BR$167&gt;=$AQ190,BR$166=0),0,IF(SUM(BR$168:BR189)&lt;1,10%,0))),0%)</f>
        <v>0</v>
      </c>
      <c r="BS190" s="2">
        <f>IF($AQ190&lt;='Premissas Gerais'!$G$6,(IF(OR(BS$167&gt;=$AQ190,BS$166=0),0,IF(SUM(BS$168:BS189)&lt;1,10%,0))),0%)</f>
        <v>0</v>
      </c>
      <c r="BT190" s="2">
        <f>IF($AQ190&lt;='Premissas Gerais'!$G$6,(IF(OR(BT$167&gt;=$AQ190,BT$166=0),0,IF(SUM(BT$168:BT189)&lt;1,10%,0))),0%)</f>
        <v>0</v>
      </c>
      <c r="BU190" s="2">
        <f ca="1">IF($AQ190&lt;='Premissas Gerais'!$G$6,(IF(OR(BU$167&gt;=$AQ190,BU$166=0),0,IF(SUM(BU$168:BU189)&lt;1,10%,0))),0%)</f>
        <v>0</v>
      </c>
      <c r="BV190" s="2">
        <f>IF($AQ190&lt;='Premissas Gerais'!$G$6,(IF(OR(BV$167&gt;=$AQ190,BV$166=0),0,IF(SUM(BV$168:BV189)&lt;1,10%,0))),0%)</f>
        <v>0</v>
      </c>
      <c r="BW190" s="2">
        <f>IF($AQ190&lt;='Premissas Gerais'!$G$6,(IF(OR(BW$167&gt;=$AQ190,BW$166=0),0,IF(SUM(BW$168:BW189)&lt;1,10%,0))),0%)</f>
        <v>0</v>
      </c>
      <c r="BX190" s="2">
        <f>IF($AQ190&lt;='Premissas Gerais'!$G$6,(IF(OR(BX$167&gt;=$AQ190,BX$166=0),0,IF(SUM(BX$168:BX189)&lt;1,10%,0))),0%)</f>
        <v>0</v>
      </c>
      <c r="BY190" s="2">
        <f>IF($AQ190&lt;='Premissas Gerais'!$G$6,(IF(OR(BY$167&gt;=$AQ190,BY$166=0),0,IF(SUM(BY$168:BY189)&lt;1,10%,0))),0%)</f>
        <v>0</v>
      </c>
      <c r="BZ190" s="2">
        <f>IF($AQ190&lt;='Premissas Gerais'!$G$6,(IF(OR(BZ$167&gt;=$AQ190,BZ$166=0),0,IF(SUM(BZ$168:BZ189)&lt;1,10%,0))),0%)</f>
        <v>0</v>
      </c>
    </row>
    <row r="191" spans="3:78" outlineLevel="1">
      <c r="C191" s="155">
        <v>22</v>
      </c>
      <c r="E191" s="133">
        <f ca="1">IF(C191&lt;='Premissas Gerais'!$G$6,SUM(F191:AN191),0)</f>
        <v>0</v>
      </c>
      <c r="F191" s="4">
        <f t="shared" si="93"/>
        <v>0</v>
      </c>
      <c r="G191" s="4">
        <f t="shared" si="94"/>
        <v>0</v>
      </c>
      <c r="H191" s="4">
        <f t="shared" si="95"/>
        <v>0</v>
      </c>
      <c r="I191" s="4">
        <f t="shared" si="96"/>
        <v>0</v>
      </c>
      <c r="J191" s="4">
        <f t="shared" ca="1" si="97"/>
        <v>0</v>
      </c>
      <c r="K191" s="4">
        <f t="shared" si="98"/>
        <v>0</v>
      </c>
      <c r="L191" s="4">
        <f t="shared" si="99"/>
        <v>0</v>
      </c>
      <c r="M191" s="4">
        <f t="shared" si="100"/>
        <v>0</v>
      </c>
      <c r="N191" s="4">
        <f t="shared" si="101"/>
        <v>0</v>
      </c>
      <c r="O191" s="4">
        <f t="shared" ca="1" si="102"/>
        <v>0</v>
      </c>
      <c r="P191" s="4">
        <f t="shared" si="103"/>
        <v>0</v>
      </c>
      <c r="Q191" s="4">
        <f t="shared" si="104"/>
        <v>0</v>
      </c>
      <c r="R191" s="4">
        <f t="shared" si="105"/>
        <v>0</v>
      </c>
      <c r="S191" s="4">
        <f t="shared" si="106"/>
        <v>0</v>
      </c>
      <c r="T191" s="4">
        <f t="shared" ca="1" si="107"/>
        <v>0</v>
      </c>
      <c r="U191" s="4">
        <f t="shared" si="108"/>
        <v>0</v>
      </c>
      <c r="V191" s="4">
        <f t="shared" si="109"/>
        <v>0</v>
      </c>
      <c r="W191" s="4">
        <f t="shared" si="110"/>
        <v>0</v>
      </c>
      <c r="X191" s="4">
        <f t="shared" si="111"/>
        <v>0</v>
      </c>
      <c r="Y191" s="4">
        <f t="shared" ca="1" si="112"/>
        <v>0</v>
      </c>
      <c r="Z191" s="4">
        <f t="shared" si="113"/>
        <v>0</v>
      </c>
      <c r="AA191" s="4">
        <f t="shared" si="114"/>
        <v>0</v>
      </c>
      <c r="AB191" s="4">
        <f t="shared" si="115"/>
        <v>0</v>
      </c>
      <c r="AC191" s="4">
        <f t="shared" si="116"/>
        <v>0</v>
      </c>
      <c r="AD191" s="4">
        <f t="shared" ca="1" si="117"/>
        <v>0</v>
      </c>
      <c r="AE191" s="4">
        <f t="shared" si="118"/>
        <v>0</v>
      </c>
      <c r="AF191" s="4">
        <f t="shared" si="119"/>
        <v>0</v>
      </c>
      <c r="AG191" s="4">
        <f t="shared" si="120"/>
        <v>0</v>
      </c>
      <c r="AH191" s="4">
        <f t="shared" si="121"/>
        <v>0</v>
      </c>
      <c r="AI191" s="4">
        <f t="shared" ca="1" si="122"/>
        <v>0</v>
      </c>
      <c r="AJ191" s="4">
        <f t="shared" si="123"/>
        <v>0</v>
      </c>
      <c r="AK191" s="4">
        <f t="shared" si="124"/>
        <v>0</v>
      </c>
      <c r="AL191" s="4">
        <f t="shared" si="125"/>
        <v>0</v>
      </c>
      <c r="AM191" s="4">
        <f t="shared" si="126"/>
        <v>0</v>
      </c>
      <c r="AN191" s="4">
        <f t="shared" si="127"/>
        <v>0</v>
      </c>
      <c r="AP191" s="180">
        <f>IF(AQ191&lt;='Premissas Gerais'!$G$6,1,0)</f>
        <v>1</v>
      </c>
      <c r="AQ191" s="1">
        <v>23</v>
      </c>
      <c r="AR191" s="2">
        <f>IF($AQ191&lt;='Premissas Gerais'!$G$6,(IF(OR(AR$167&gt;=$AQ191,AR$166=0),0,IF(SUM(AR$168:AR190)&lt;1,10%,0))),0%)</f>
        <v>0</v>
      </c>
      <c r="AS191" s="2">
        <f>IF($AQ191&lt;='Premissas Gerais'!$G$6,(IF(OR(AS$167&gt;=$AQ191,AS$166=0),0,IF(SUM(AS$168:AS190)&lt;1,10%,0))),0%)</f>
        <v>0</v>
      </c>
      <c r="AT191" s="2">
        <f>IF($AQ191&lt;='Premissas Gerais'!$G$6,(IF(OR(AT$167&gt;=$AQ191,AT$166=0),0,IF(SUM(AT$168:AT190)&lt;1,10%,0))),0%)</f>
        <v>0</v>
      </c>
      <c r="AU191" s="2">
        <f>IF($AQ191&lt;='Premissas Gerais'!$G$6,(IF(OR(AU$167&gt;=$AQ191,AU$166=0),0,IF(SUM(AU$168:AU190)&lt;1,10%,0))),0%)</f>
        <v>0</v>
      </c>
      <c r="AV191" s="2">
        <f ca="1">IF($AQ191&lt;='Premissas Gerais'!$G$6,(IF(OR(AV$167&gt;=$AQ191,AV$166=0),0,IF(SUM(AV$168:AV190)&lt;1,10%,0))),0%)</f>
        <v>0</v>
      </c>
      <c r="AW191" s="2">
        <f>IF($AQ191&lt;='Premissas Gerais'!$G$6,(IF(OR(AW$167&gt;=$AQ191,AW$166=0),0,IF(SUM(AW$168:AW190)&lt;1,10%,0))),0%)</f>
        <v>0</v>
      </c>
      <c r="AX191" s="2">
        <f>IF($AQ191&lt;='Premissas Gerais'!$G$6,(IF(OR(AX$167&gt;=$AQ191,AX$166=0),0,IF(SUM(AX$168:AX190)&lt;1,10%,0))),0%)</f>
        <v>0</v>
      </c>
      <c r="AY191" s="2">
        <f>IF($AQ191&lt;='Premissas Gerais'!$G$6,(IF(OR(AY$167&gt;=$AQ191,AY$166=0),0,IF(SUM(AY$168:AY190)&lt;1,10%,0))),0%)</f>
        <v>0</v>
      </c>
      <c r="AZ191" s="2">
        <f>IF($AQ191&lt;='Premissas Gerais'!$G$6,(IF(OR(AZ$167&gt;=$AQ191,AZ$166=0),0,IF(SUM(AZ$168:AZ190)&lt;1,10%,0))),0%)</f>
        <v>0</v>
      </c>
      <c r="BA191" s="2">
        <f ca="1">IF($AQ191&lt;='Premissas Gerais'!$G$6,(IF(OR(BA$167&gt;=$AQ191,BA$166=0),0,IF(SUM(BA$168:BA190)&lt;1,10%,0))),0%)</f>
        <v>0</v>
      </c>
      <c r="BB191" s="2">
        <f>IF($AQ191&lt;='Premissas Gerais'!$G$6,(IF(OR(BB$167&gt;=$AQ191,BB$166=0),0,IF(SUM(BB$168:BB190)&lt;1,10%,0))),0%)</f>
        <v>0</v>
      </c>
      <c r="BC191" s="2">
        <f>IF($AQ191&lt;='Premissas Gerais'!$G$6,(IF(OR(BC$167&gt;=$AQ191,BC$166=0),0,IF(SUM(BC$168:BC190)&lt;1,10%,0))),0%)</f>
        <v>0</v>
      </c>
      <c r="BD191" s="2">
        <f>IF($AQ191&lt;='Premissas Gerais'!$G$6,(IF(OR(BD$167&gt;=$AQ191,BD$166=0),0,IF(SUM(BD$168:BD190)&lt;1,10%,0))),0%)</f>
        <v>0</v>
      </c>
      <c r="BE191" s="2">
        <f>IF($AQ191&lt;='Premissas Gerais'!$G$6,(IF(OR(BE$167&gt;=$AQ191,BE$166=0),0,IF(SUM(BE$168:BE190)&lt;1,10%,0))),0%)</f>
        <v>0</v>
      </c>
      <c r="BF191" s="2">
        <f ca="1">IF($AQ191&lt;='Premissas Gerais'!$G$6,(IF(OR(BF$167&gt;=$AQ191,BF$166=0),0,IF(SUM(BF$168:BF190)&lt;1,10%,0))),0%)</f>
        <v>0</v>
      </c>
      <c r="BG191" s="2">
        <f>IF($AQ191&lt;='Premissas Gerais'!$G$6,(IF(OR(BG$167&gt;=$AQ191,BG$166=0),0,IF(SUM(BG$168:BG190)&lt;1,10%,0))),0%)</f>
        <v>0</v>
      </c>
      <c r="BH191" s="2">
        <f>IF($AQ191&lt;='Premissas Gerais'!$G$6,(IF(OR(BH$167&gt;=$AQ191,BH$166=0),0,IF(SUM(BH$168:BH190)&lt;1,10%,0))),0%)</f>
        <v>0</v>
      </c>
      <c r="BI191" s="2">
        <f>IF($AQ191&lt;='Premissas Gerais'!$G$6,(IF(OR(BI$167&gt;=$AQ191,BI$166=0),0,IF(SUM(BI$168:BI190)&lt;1,10%,0))),0%)</f>
        <v>0</v>
      </c>
      <c r="BJ191" s="2">
        <f>IF($AQ191&lt;='Premissas Gerais'!$G$6,(IF(OR(BJ$167&gt;=$AQ191,BJ$166=0),0,IF(SUM(BJ$168:BJ190)&lt;1,10%,0))),0%)</f>
        <v>0</v>
      </c>
      <c r="BK191" s="2">
        <f ca="1">IF($AQ191&lt;='Premissas Gerais'!$G$6,(IF(OR(BK$167&gt;=$AQ191,BK$166=0),0,IF(SUM(BK$168:BK190)&lt;1,10%,0))),0%)</f>
        <v>0</v>
      </c>
      <c r="BL191" s="2">
        <f>IF($AQ191&lt;='Premissas Gerais'!$G$6,(IF(OR(BL$167&gt;=$AQ191,BL$166=0),0,IF(SUM(BL$168:BL190)&lt;1,10%,0))),0%)</f>
        <v>0</v>
      </c>
      <c r="BM191" s="2">
        <f>IF($AQ191&lt;='Premissas Gerais'!$G$6,(IF(OR(BM$167&gt;=$AQ191,BM$166=0),0,IF(SUM(BM$168:BM190)&lt;1,10%,0))),0%)</f>
        <v>0</v>
      </c>
      <c r="BN191" s="2">
        <f>IF($AQ191&lt;='Premissas Gerais'!$G$6,(IF(OR(BN$167&gt;=$AQ191,BN$166=0),0,IF(SUM(BN$168:BN190)&lt;1,10%,0))),0%)</f>
        <v>0</v>
      </c>
      <c r="BO191" s="2">
        <f>IF($AQ191&lt;='Premissas Gerais'!$G$6,(IF(OR(BO$167&gt;=$AQ191,BO$166=0),0,IF(SUM(BO$168:BO190)&lt;1,10%,0))),0%)</f>
        <v>0</v>
      </c>
      <c r="BP191" s="2">
        <f ca="1">IF($AQ191&lt;='Premissas Gerais'!$G$6,(IF(OR(BP$167&gt;=$AQ191,BP$166=0),0,IF(SUM(BP$168:BP190)&lt;1,10%,0))),0%)</f>
        <v>0</v>
      </c>
      <c r="BQ191" s="2">
        <f>IF($AQ191&lt;='Premissas Gerais'!$G$6,(IF(OR(BQ$167&gt;=$AQ191,BQ$166=0),0,IF(SUM(BQ$168:BQ190)&lt;1,10%,0))),0%)</f>
        <v>0</v>
      </c>
      <c r="BR191" s="2">
        <f>IF($AQ191&lt;='Premissas Gerais'!$G$6,(IF(OR(BR$167&gt;=$AQ191,BR$166=0),0,IF(SUM(BR$168:BR190)&lt;1,10%,0))),0%)</f>
        <v>0</v>
      </c>
      <c r="BS191" s="2">
        <f>IF($AQ191&lt;='Premissas Gerais'!$G$6,(IF(OR(BS$167&gt;=$AQ191,BS$166=0),0,IF(SUM(BS$168:BS190)&lt;1,10%,0))),0%)</f>
        <v>0</v>
      </c>
      <c r="BT191" s="2">
        <f>IF($AQ191&lt;='Premissas Gerais'!$G$6,(IF(OR(BT$167&gt;=$AQ191,BT$166=0),0,IF(SUM(BT$168:BT190)&lt;1,10%,0))),0%)</f>
        <v>0</v>
      </c>
      <c r="BU191" s="2">
        <f ca="1">IF($AQ191&lt;='Premissas Gerais'!$G$6,(IF(OR(BU$167&gt;=$AQ191,BU$166=0),0,IF(SUM(BU$168:BU190)&lt;1,10%,0))),0%)</f>
        <v>0</v>
      </c>
      <c r="BV191" s="2">
        <f>IF($AQ191&lt;='Premissas Gerais'!$G$6,(IF(OR(BV$167&gt;=$AQ191,BV$166=0),0,IF(SUM(BV$168:BV190)&lt;1,10%,0))),0%)</f>
        <v>0</v>
      </c>
      <c r="BW191" s="2">
        <f>IF($AQ191&lt;='Premissas Gerais'!$G$6,(IF(OR(BW$167&gt;=$AQ191,BW$166=0),0,IF(SUM(BW$168:BW190)&lt;1,10%,0))),0%)</f>
        <v>0</v>
      </c>
      <c r="BX191" s="2">
        <f>IF($AQ191&lt;='Premissas Gerais'!$G$6,(IF(OR(BX$167&gt;=$AQ191,BX$166=0),0,IF(SUM(BX$168:BX190)&lt;1,10%,0))),0%)</f>
        <v>0</v>
      </c>
      <c r="BY191" s="2">
        <f>IF($AQ191&lt;='Premissas Gerais'!$G$6,(IF(OR(BY$167&gt;=$AQ191,BY$166=0),0,IF(SUM(BY$168:BY190)&lt;1,10%,0))),0%)</f>
        <v>0</v>
      </c>
      <c r="BZ191" s="2">
        <f>IF($AQ191&lt;='Premissas Gerais'!$G$6,(IF(OR(BZ$167&gt;=$AQ191,BZ$166=0),0,IF(SUM(BZ$168:BZ190)&lt;1,10%,0))),0%)</f>
        <v>0</v>
      </c>
    </row>
    <row r="192" spans="3:78" outlineLevel="1">
      <c r="C192" s="155">
        <v>23</v>
      </c>
      <c r="E192" s="133">
        <f ca="1">IF(C192&lt;='Premissas Gerais'!$G$6,SUM(F192:AN192),0)</f>
        <v>0</v>
      </c>
      <c r="F192" s="4">
        <f t="shared" si="93"/>
        <v>0</v>
      </c>
      <c r="G192" s="4">
        <f t="shared" si="94"/>
        <v>0</v>
      </c>
      <c r="H192" s="4">
        <f t="shared" si="95"/>
        <v>0</v>
      </c>
      <c r="I192" s="4">
        <f t="shared" si="96"/>
        <v>0</v>
      </c>
      <c r="J192" s="4">
        <f t="shared" ca="1" si="97"/>
        <v>0</v>
      </c>
      <c r="K192" s="4">
        <f t="shared" si="98"/>
        <v>0</v>
      </c>
      <c r="L192" s="4">
        <f t="shared" si="99"/>
        <v>0</v>
      </c>
      <c r="M192" s="4">
        <f t="shared" si="100"/>
        <v>0</v>
      </c>
      <c r="N192" s="4">
        <f t="shared" si="101"/>
        <v>0</v>
      </c>
      <c r="O192" s="4">
        <f t="shared" ca="1" si="102"/>
        <v>0</v>
      </c>
      <c r="P192" s="4">
        <f t="shared" si="103"/>
        <v>0</v>
      </c>
      <c r="Q192" s="4">
        <f t="shared" si="104"/>
        <v>0</v>
      </c>
      <c r="R192" s="4">
        <f t="shared" si="105"/>
        <v>0</v>
      </c>
      <c r="S192" s="4">
        <f t="shared" si="106"/>
        <v>0</v>
      </c>
      <c r="T192" s="4">
        <f t="shared" ca="1" si="107"/>
        <v>0</v>
      </c>
      <c r="U192" s="4">
        <f t="shared" si="108"/>
        <v>0</v>
      </c>
      <c r="V192" s="4">
        <f t="shared" si="109"/>
        <v>0</v>
      </c>
      <c r="W192" s="4">
        <f t="shared" si="110"/>
        <v>0</v>
      </c>
      <c r="X192" s="4">
        <f t="shared" si="111"/>
        <v>0</v>
      </c>
      <c r="Y192" s="4">
        <f t="shared" ca="1" si="112"/>
        <v>0</v>
      </c>
      <c r="Z192" s="4">
        <f t="shared" si="113"/>
        <v>0</v>
      </c>
      <c r="AA192" s="4">
        <f t="shared" si="114"/>
        <v>0</v>
      </c>
      <c r="AB192" s="4">
        <f t="shared" si="115"/>
        <v>0</v>
      </c>
      <c r="AC192" s="4">
        <f t="shared" si="116"/>
        <v>0</v>
      </c>
      <c r="AD192" s="4">
        <f t="shared" ca="1" si="117"/>
        <v>0</v>
      </c>
      <c r="AE192" s="4">
        <f t="shared" si="118"/>
        <v>0</v>
      </c>
      <c r="AF192" s="4">
        <f t="shared" si="119"/>
        <v>0</v>
      </c>
      <c r="AG192" s="4">
        <f t="shared" si="120"/>
        <v>0</v>
      </c>
      <c r="AH192" s="4">
        <f t="shared" si="121"/>
        <v>0</v>
      </c>
      <c r="AI192" s="4">
        <f t="shared" ca="1" si="122"/>
        <v>0</v>
      </c>
      <c r="AJ192" s="4">
        <f t="shared" si="123"/>
        <v>0</v>
      </c>
      <c r="AK192" s="4">
        <f t="shared" si="124"/>
        <v>0</v>
      </c>
      <c r="AL192" s="4">
        <f t="shared" si="125"/>
        <v>0</v>
      </c>
      <c r="AM192" s="4">
        <f t="shared" si="126"/>
        <v>0</v>
      </c>
      <c r="AN192" s="4">
        <f t="shared" si="127"/>
        <v>0</v>
      </c>
      <c r="AP192" s="180">
        <f>IF(AQ192&lt;='Premissas Gerais'!$G$6,1,0)</f>
        <v>1</v>
      </c>
      <c r="AQ192" s="1">
        <v>24</v>
      </c>
      <c r="AR192" s="2">
        <f>IF($AQ192&lt;='Premissas Gerais'!$G$6,(IF(OR(AR$167&gt;=$AQ192,AR$166=0),0,IF(SUM(AR$168:AR191)&lt;1,10%,0))),0%)</f>
        <v>0</v>
      </c>
      <c r="AS192" s="2">
        <f>IF($AQ192&lt;='Premissas Gerais'!$G$6,(IF(OR(AS$167&gt;=$AQ192,AS$166=0),0,IF(SUM(AS$168:AS191)&lt;1,10%,0))),0%)</f>
        <v>0</v>
      </c>
      <c r="AT192" s="2">
        <f>IF($AQ192&lt;='Premissas Gerais'!$G$6,(IF(OR(AT$167&gt;=$AQ192,AT$166=0),0,IF(SUM(AT$168:AT191)&lt;1,10%,0))),0%)</f>
        <v>0</v>
      </c>
      <c r="AU192" s="2">
        <f>IF($AQ192&lt;='Premissas Gerais'!$G$6,(IF(OR(AU$167&gt;=$AQ192,AU$166=0),0,IF(SUM(AU$168:AU191)&lt;1,10%,0))),0%)</f>
        <v>0</v>
      </c>
      <c r="AV192" s="2">
        <f ca="1">IF($AQ192&lt;='Premissas Gerais'!$G$6,(IF(OR(AV$167&gt;=$AQ192,AV$166=0),0,IF(SUM(AV$168:AV191)&lt;1,10%,0))),0%)</f>
        <v>0</v>
      </c>
      <c r="AW192" s="2">
        <f>IF($AQ192&lt;='Premissas Gerais'!$G$6,(IF(OR(AW$167&gt;=$AQ192,AW$166=0),0,IF(SUM(AW$168:AW191)&lt;1,10%,0))),0%)</f>
        <v>0</v>
      </c>
      <c r="AX192" s="2">
        <f>IF($AQ192&lt;='Premissas Gerais'!$G$6,(IF(OR(AX$167&gt;=$AQ192,AX$166=0),0,IF(SUM(AX$168:AX191)&lt;1,10%,0))),0%)</f>
        <v>0</v>
      </c>
      <c r="AY192" s="2">
        <f>IF($AQ192&lt;='Premissas Gerais'!$G$6,(IF(OR(AY$167&gt;=$AQ192,AY$166=0),0,IF(SUM(AY$168:AY191)&lt;1,10%,0))),0%)</f>
        <v>0</v>
      </c>
      <c r="AZ192" s="2">
        <f>IF($AQ192&lt;='Premissas Gerais'!$G$6,(IF(OR(AZ$167&gt;=$AQ192,AZ$166=0),0,IF(SUM(AZ$168:AZ191)&lt;1,10%,0))),0%)</f>
        <v>0</v>
      </c>
      <c r="BA192" s="2">
        <f ca="1">IF($AQ192&lt;='Premissas Gerais'!$G$6,(IF(OR(BA$167&gt;=$AQ192,BA$166=0),0,IF(SUM(BA$168:BA191)&lt;1,10%,0))),0%)</f>
        <v>0</v>
      </c>
      <c r="BB192" s="2">
        <f>IF($AQ192&lt;='Premissas Gerais'!$G$6,(IF(OR(BB$167&gt;=$AQ192,BB$166=0),0,IF(SUM(BB$168:BB191)&lt;1,10%,0))),0%)</f>
        <v>0</v>
      </c>
      <c r="BC192" s="2">
        <f>IF($AQ192&lt;='Premissas Gerais'!$G$6,(IF(OR(BC$167&gt;=$AQ192,BC$166=0),0,IF(SUM(BC$168:BC191)&lt;1,10%,0))),0%)</f>
        <v>0</v>
      </c>
      <c r="BD192" s="2">
        <f>IF($AQ192&lt;='Premissas Gerais'!$G$6,(IF(OR(BD$167&gt;=$AQ192,BD$166=0),0,IF(SUM(BD$168:BD191)&lt;1,10%,0))),0%)</f>
        <v>0</v>
      </c>
      <c r="BE192" s="2">
        <f>IF($AQ192&lt;='Premissas Gerais'!$G$6,(IF(OR(BE$167&gt;=$AQ192,BE$166=0),0,IF(SUM(BE$168:BE191)&lt;1,10%,0))),0%)</f>
        <v>0</v>
      </c>
      <c r="BF192" s="2">
        <f ca="1">IF($AQ192&lt;='Premissas Gerais'!$G$6,(IF(OR(BF$167&gt;=$AQ192,BF$166=0),0,IF(SUM(BF$168:BF191)&lt;1,10%,0))),0%)</f>
        <v>0</v>
      </c>
      <c r="BG192" s="2">
        <f>IF($AQ192&lt;='Premissas Gerais'!$G$6,(IF(OR(BG$167&gt;=$AQ192,BG$166=0),0,IF(SUM(BG$168:BG191)&lt;1,10%,0))),0%)</f>
        <v>0</v>
      </c>
      <c r="BH192" s="2">
        <f>IF($AQ192&lt;='Premissas Gerais'!$G$6,(IF(OR(BH$167&gt;=$AQ192,BH$166=0),0,IF(SUM(BH$168:BH191)&lt;1,10%,0))),0%)</f>
        <v>0</v>
      </c>
      <c r="BI192" s="2">
        <f>IF($AQ192&lt;='Premissas Gerais'!$G$6,(IF(OR(BI$167&gt;=$AQ192,BI$166=0),0,IF(SUM(BI$168:BI191)&lt;1,10%,0))),0%)</f>
        <v>0</v>
      </c>
      <c r="BJ192" s="2">
        <f>IF($AQ192&lt;='Premissas Gerais'!$G$6,(IF(OR(BJ$167&gt;=$AQ192,BJ$166=0),0,IF(SUM(BJ$168:BJ191)&lt;1,10%,0))),0%)</f>
        <v>0</v>
      </c>
      <c r="BK192" s="2">
        <f ca="1">IF($AQ192&lt;='Premissas Gerais'!$G$6,(IF(OR(BK$167&gt;=$AQ192,BK$166=0),0,IF(SUM(BK$168:BK191)&lt;1,10%,0))),0%)</f>
        <v>0</v>
      </c>
      <c r="BL192" s="2">
        <f>IF($AQ192&lt;='Premissas Gerais'!$G$6,(IF(OR(BL$167&gt;=$AQ192,BL$166=0),0,IF(SUM(BL$168:BL191)&lt;1,10%,0))),0%)</f>
        <v>0</v>
      </c>
      <c r="BM192" s="2">
        <f>IF($AQ192&lt;='Premissas Gerais'!$G$6,(IF(OR(BM$167&gt;=$AQ192,BM$166=0),0,IF(SUM(BM$168:BM191)&lt;1,10%,0))),0%)</f>
        <v>0</v>
      </c>
      <c r="BN192" s="2">
        <f>IF($AQ192&lt;='Premissas Gerais'!$G$6,(IF(OR(BN$167&gt;=$AQ192,BN$166=0),0,IF(SUM(BN$168:BN191)&lt;1,10%,0))),0%)</f>
        <v>0</v>
      </c>
      <c r="BO192" s="2">
        <f>IF($AQ192&lt;='Premissas Gerais'!$G$6,(IF(OR(BO$167&gt;=$AQ192,BO$166=0),0,IF(SUM(BO$168:BO191)&lt;1,10%,0))),0%)</f>
        <v>0</v>
      </c>
      <c r="BP192" s="2">
        <f ca="1">IF($AQ192&lt;='Premissas Gerais'!$G$6,(IF(OR(BP$167&gt;=$AQ192,BP$166=0),0,IF(SUM(BP$168:BP191)&lt;1,10%,0))),0%)</f>
        <v>0</v>
      </c>
      <c r="BQ192" s="2">
        <f>IF($AQ192&lt;='Premissas Gerais'!$G$6,(IF(OR(BQ$167&gt;=$AQ192,BQ$166=0),0,IF(SUM(BQ$168:BQ191)&lt;1,10%,0))),0%)</f>
        <v>0</v>
      </c>
      <c r="BR192" s="2">
        <f>IF($AQ192&lt;='Premissas Gerais'!$G$6,(IF(OR(BR$167&gt;=$AQ192,BR$166=0),0,IF(SUM(BR$168:BR191)&lt;1,10%,0))),0%)</f>
        <v>0</v>
      </c>
      <c r="BS192" s="2">
        <f>IF($AQ192&lt;='Premissas Gerais'!$G$6,(IF(OR(BS$167&gt;=$AQ192,BS$166=0),0,IF(SUM(BS$168:BS191)&lt;1,10%,0))),0%)</f>
        <v>0</v>
      </c>
      <c r="BT192" s="2">
        <f>IF($AQ192&lt;='Premissas Gerais'!$G$6,(IF(OR(BT$167&gt;=$AQ192,BT$166=0),0,IF(SUM(BT$168:BT191)&lt;1,10%,0))),0%)</f>
        <v>0</v>
      </c>
      <c r="BU192" s="2">
        <f ca="1">IF($AQ192&lt;='Premissas Gerais'!$G$6,(IF(OR(BU$167&gt;=$AQ192,BU$166=0),0,IF(SUM(BU$168:BU191)&lt;1,10%,0))),0%)</f>
        <v>0</v>
      </c>
      <c r="BV192" s="2">
        <f>IF($AQ192&lt;='Premissas Gerais'!$G$6,(IF(OR(BV$167&gt;=$AQ192,BV$166=0),0,IF(SUM(BV$168:BV191)&lt;1,10%,0))),0%)</f>
        <v>0</v>
      </c>
      <c r="BW192" s="2">
        <f>IF($AQ192&lt;='Premissas Gerais'!$G$6,(IF(OR(BW$167&gt;=$AQ192,BW$166=0),0,IF(SUM(BW$168:BW191)&lt;1,10%,0))),0%)</f>
        <v>0</v>
      </c>
      <c r="BX192" s="2">
        <f>IF($AQ192&lt;='Premissas Gerais'!$G$6,(IF(OR(BX$167&gt;=$AQ192,BX$166=0),0,IF(SUM(BX$168:BX191)&lt;1,10%,0))),0%)</f>
        <v>0</v>
      </c>
      <c r="BY192" s="2">
        <f>IF($AQ192&lt;='Premissas Gerais'!$G$6,(IF(OR(BY$167&gt;=$AQ192,BY$166=0),0,IF(SUM(BY$168:BY191)&lt;1,10%,0))),0%)</f>
        <v>0</v>
      </c>
      <c r="BZ192" s="2">
        <f>IF($AQ192&lt;='Premissas Gerais'!$G$6,(IF(OR(BZ$167&gt;=$AQ192,BZ$166=0),0,IF(SUM(BZ$168:BZ191)&lt;1,10%,0))),0%)</f>
        <v>0</v>
      </c>
    </row>
    <row r="193" spans="3:78" outlineLevel="1">
      <c r="C193" s="155">
        <v>24</v>
      </c>
      <c r="E193" s="133">
        <f ca="1">IF(C193&lt;='Premissas Gerais'!$G$6,SUM(F193:AN193),0)</f>
        <v>0</v>
      </c>
      <c r="F193" s="4">
        <f t="shared" si="93"/>
        <v>0</v>
      </c>
      <c r="G193" s="4">
        <f t="shared" si="94"/>
        <v>0</v>
      </c>
      <c r="H193" s="4">
        <f t="shared" si="95"/>
        <v>0</v>
      </c>
      <c r="I193" s="4">
        <f t="shared" si="96"/>
        <v>0</v>
      </c>
      <c r="J193" s="4">
        <f t="shared" ca="1" si="97"/>
        <v>0</v>
      </c>
      <c r="K193" s="4">
        <f t="shared" si="98"/>
        <v>0</v>
      </c>
      <c r="L193" s="4">
        <f t="shared" si="99"/>
        <v>0</v>
      </c>
      <c r="M193" s="4">
        <f t="shared" si="100"/>
        <v>0</v>
      </c>
      <c r="N193" s="4">
        <f t="shared" si="101"/>
        <v>0</v>
      </c>
      <c r="O193" s="4">
        <f t="shared" ca="1" si="102"/>
        <v>0</v>
      </c>
      <c r="P193" s="4">
        <f t="shared" si="103"/>
        <v>0</v>
      </c>
      <c r="Q193" s="4">
        <f t="shared" si="104"/>
        <v>0</v>
      </c>
      <c r="R193" s="4">
        <f t="shared" si="105"/>
        <v>0</v>
      </c>
      <c r="S193" s="4">
        <f t="shared" si="106"/>
        <v>0</v>
      </c>
      <c r="T193" s="4">
        <f t="shared" ca="1" si="107"/>
        <v>0</v>
      </c>
      <c r="U193" s="4">
        <f t="shared" si="108"/>
        <v>0</v>
      </c>
      <c r="V193" s="4">
        <f t="shared" si="109"/>
        <v>0</v>
      </c>
      <c r="W193" s="4">
        <f t="shared" si="110"/>
        <v>0</v>
      </c>
      <c r="X193" s="4">
        <f t="shared" si="111"/>
        <v>0</v>
      </c>
      <c r="Y193" s="4">
        <f t="shared" ca="1" si="112"/>
        <v>0</v>
      </c>
      <c r="Z193" s="4">
        <f t="shared" si="113"/>
        <v>0</v>
      </c>
      <c r="AA193" s="4">
        <f t="shared" si="114"/>
        <v>0</v>
      </c>
      <c r="AB193" s="4">
        <f t="shared" si="115"/>
        <v>0</v>
      </c>
      <c r="AC193" s="4">
        <f t="shared" si="116"/>
        <v>0</v>
      </c>
      <c r="AD193" s="4">
        <f t="shared" ca="1" si="117"/>
        <v>0</v>
      </c>
      <c r="AE193" s="4">
        <f t="shared" si="118"/>
        <v>0</v>
      </c>
      <c r="AF193" s="4">
        <f t="shared" si="119"/>
        <v>0</v>
      </c>
      <c r="AG193" s="4">
        <f t="shared" si="120"/>
        <v>0</v>
      </c>
      <c r="AH193" s="4">
        <f t="shared" si="121"/>
        <v>0</v>
      </c>
      <c r="AI193" s="4">
        <f t="shared" ca="1" si="122"/>
        <v>0</v>
      </c>
      <c r="AJ193" s="4">
        <f t="shared" si="123"/>
        <v>0</v>
      </c>
      <c r="AK193" s="4">
        <f t="shared" si="124"/>
        <v>0</v>
      </c>
      <c r="AL193" s="4">
        <f t="shared" si="125"/>
        <v>0</v>
      </c>
      <c r="AM193" s="4">
        <f t="shared" si="126"/>
        <v>0</v>
      </c>
      <c r="AN193" s="4">
        <f t="shared" si="127"/>
        <v>0</v>
      </c>
      <c r="AP193" s="180">
        <f>IF(AQ193&lt;='Premissas Gerais'!$G$6,1,0)</f>
        <v>1</v>
      </c>
      <c r="AQ193" s="1">
        <v>25</v>
      </c>
      <c r="AR193" s="2">
        <f>IF($AQ193&lt;='Premissas Gerais'!$G$6,(IF(OR(AR$167&gt;=$AQ193,AR$166=0),0,IF(SUM(AR$168:AR192)&lt;1,10%,0))),0%)</f>
        <v>0</v>
      </c>
      <c r="AS193" s="2">
        <f>IF($AQ193&lt;='Premissas Gerais'!$G$6,(IF(OR(AS$167&gt;=$AQ193,AS$166=0),0,IF(SUM(AS$168:AS192)&lt;1,10%,0))),0%)</f>
        <v>0</v>
      </c>
      <c r="AT193" s="2">
        <f>IF($AQ193&lt;='Premissas Gerais'!$G$6,(IF(OR(AT$167&gt;=$AQ193,AT$166=0),0,IF(SUM(AT$168:AT192)&lt;1,10%,0))),0%)</f>
        <v>0</v>
      </c>
      <c r="AU193" s="2">
        <f>IF($AQ193&lt;='Premissas Gerais'!$G$6,(IF(OR(AU$167&gt;=$AQ193,AU$166=0),0,IF(SUM(AU$168:AU192)&lt;1,10%,0))),0%)</f>
        <v>0</v>
      </c>
      <c r="AV193" s="2">
        <f ca="1">IF($AQ193&lt;='Premissas Gerais'!$G$6,(IF(OR(AV$167&gt;=$AQ193,AV$166=0),0,IF(SUM(AV$168:AV192)&lt;1,10%,0))),0%)</f>
        <v>0</v>
      </c>
      <c r="AW193" s="2">
        <f>IF($AQ193&lt;='Premissas Gerais'!$G$6,(IF(OR(AW$167&gt;=$AQ193,AW$166=0),0,IF(SUM(AW$168:AW192)&lt;1,10%,0))),0%)</f>
        <v>0</v>
      </c>
      <c r="AX193" s="2">
        <f>IF($AQ193&lt;='Premissas Gerais'!$G$6,(IF(OR(AX$167&gt;=$AQ193,AX$166=0),0,IF(SUM(AX$168:AX192)&lt;1,10%,0))),0%)</f>
        <v>0</v>
      </c>
      <c r="AY193" s="2">
        <f>IF($AQ193&lt;='Premissas Gerais'!$G$6,(IF(OR(AY$167&gt;=$AQ193,AY$166=0),0,IF(SUM(AY$168:AY192)&lt;1,10%,0))),0%)</f>
        <v>0</v>
      </c>
      <c r="AZ193" s="2">
        <f>IF($AQ193&lt;='Premissas Gerais'!$G$6,(IF(OR(AZ$167&gt;=$AQ193,AZ$166=0),0,IF(SUM(AZ$168:AZ192)&lt;1,10%,0))),0%)</f>
        <v>0</v>
      </c>
      <c r="BA193" s="2">
        <f ca="1">IF($AQ193&lt;='Premissas Gerais'!$G$6,(IF(OR(BA$167&gt;=$AQ193,BA$166=0),0,IF(SUM(BA$168:BA192)&lt;1,10%,0))),0%)</f>
        <v>0</v>
      </c>
      <c r="BB193" s="2">
        <f>IF($AQ193&lt;='Premissas Gerais'!$G$6,(IF(OR(BB$167&gt;=$AQ193,BB$166=0),0,IF(SUM(BB$168:BB192)&lt;1,10%,0))),0%)</f>
        <v>0</v>
      </c>
      <c r="BC193" s="2">
        <f>IF($AQ193&lt;='Premissas Gerais'!$G$6,(IF(OR(BC$167&gt;=$AQ193,BC$166=0),0,IF(SUM(BC$168:BC192)&lt;1,10%,0))),0%)</f>
        <v>0</v>
      </c>
      <c r="BD193" s="2">
        <f>IF($AQ193&lt;='Premissas Gerais'!$G$6,(IF(OR(BD$167&gt;=$AQ193,BD$166=0),0,IF(SUM(BD$168:BD192)&lt;1,10%,0))),0%)</f>
        <v>0</v>
      </c>
      <c r="BE193" s="2">
        <f>IF($AQ193&lt;='Premissas Gerais'!$G$6,(IF(OR(BE$167&gt;=$AQ193,BE$166=0),0,IF(SUM(BE$168:BE192)&lt;1,10%,0))),0%)</f>
        <v>0</v>
      </c>
      <c r="BF193" s="2">
        <f ca="1">IF($AQ193&lt;='Premissas Gerais'!$G$6,(IF(OR(BF$167&gt;=$AQ193,BF$166=0),0,IF(SUM(BF$168:BF192)&lt;1,10%,0))),0%)</f>
        <v>0</v>
      </c>
      <c r="BG193" s="2">
        <f>IF($AQ193&lt;='Premissas Gerais'!$G$6,(IF(OR(BG$167&gt;=$AQ193,BG$166=0),0,IF(SUM(BG$168:BG192)&lt;1,10%,0))),0%)</f>
        <v>0</v>
      </c>
      <c r="BH193" s="2">
        <f>IF($AQ193&lt;='Premissas Gerais'!$G$6,(IF(OR(BH$167&gt;=$AQ193,BH$166=0),0,IF(SUM(BH$168:BH192)&lt;1,10%,0))),0%)</f>
        <v>0</v>
      </c>
      <c r="BI193" s="2">
        <f>IF($AQ193&lt;='Premissas Gerais'!$G$6,(IF(OR(BI$167&gt;=$AQ193,BI$166=0),0,IF(SUM(BI$168:BI192)&lt;1,10%,0))),0%)</f>
        <v>0</v>
      </c>
      <c r="BJ193" s="2">
        <f>IF($AQ193&lt;='Premissas Gerais'!$G$6,(IF(OR(BJ$167&gt;=$AQ193,BJ$166=0),0,IF(SUM(BJ$168:BJ192)&lt;1,10%,0))),0%)</f>
        <v>0</v>
      </c>
      <c r="BK193" s="2">
        <f ca="1">IF($AQ193&lt;='Premissas Gerais'!$G$6,(IF(OR(BK$167&gt;=$AQ193,BK$166=0),0,IF(SUM(BK$168:BK192)&lt;1,10%,0))),0%)</f>
        <v>0</v>
      </c>
      <c r="BL193" s="2">
        <f>IF($AQ193&lt;='Premissas Gerais'!$G$6,(IF(OR(BL$167&gt;=$AQ193,BL$166=0),0,IF(SUM(BL$168:BL192)&lt;1,10%,0))),0%)</f>
        <v>0</v>
      </c>
      <c r="BM193" s="2">
        <f>IF($AQ193&lt;='Premissas Gerais'!$G$6,(IF(OR(BM$167&gt;=$AQ193,BM$166=0),0,IF(SUM(BM$168:BM192)&lt;1,10%,0))),0%)</f>
        <v>0</v>
      </c>
      <c r="BN193" s="2">
        <f>IF($AQ193&lt;='Premissas Gerais'!$G$6,(IF(OR(BN$167&gt;=$AQ193,BN$166=0),0,IF(SUM(BN$168:BN192)&lt;1,10%,0))),0%)</f>
        <v>0</v>
      </c>
      <c r="BO193" s="2">
        <f>IF($AQ193&lt;='Premissas Gerais'!$G$6,(IF(OR(BO$167&gt;=$AQ193,BO$166=0),0,IF(SUM(BO$168:BO192)&lt;1,10%,0))),0%)</f>
        <v>0</v>
      </c>
      <c r="BP193" s="2">
        <f ca="1">IF($AQ193&lt;='Premissas Gerais'!$G$6,(IF(OR(BP$167&gt;=$AQ193,BP$166=0),0,IF(SUM(BP$168:BP192)&lt;1,10%,0))),0%)</f>
        <v>0</v>
      </c>
      <c r="BQ193" s="2">
        <f>IF($AQ193&lt;='Premissas Gerais'!$G$6,(IF(OR(BQ$167&gt;=$AQ193,BQ$166=0),0,IF(SUM(BQ$168:BQ192)&lt;1,10%,0))),0%)</f>
        <v>0</v>
      </c>
      <c r="BR193" s="2">
        <f>IF($AQ193&lt;='Premissas Gerais'!$G$6,(IF(OR(BR$167&gt;=$AQ193,BR$166=0),0,IF(SUM(BR$168:BR192)&lt;1,10%,0))),0%)</f>
        <v>0</v>
      </c>
      <c r="BS193" s="2">
        <f>IF($AQ193&lt;='Premissas Gerais'!$G$6,(IF(OR(BS$167&gt;=$AQ193,BS$166=0),0,IF(SUM(BS$168:BS192)&lt;1,10%,0))),0%)</f>
        <v>0</v>
      </c>
      <c r="BT193" s="2">
        <f>IF($AQ193&lt;='Premissas Gerais'!$G$6,(IF(OR(BT$167&gt;=$AQ193,BT$166=0),0,IF(SUM(BT$168:BT192)&lt;1,10%,0))),0%)</f>
        <v>0</v>
      </c>
      <c r="BU193" s="2">
        <f ca="1">IF($AQ193&lt;='Premissas Gerais'!$G$6,(IF(OR(BU$167&gt;=$AQ193,BU$166=0),0,IF(SUM(BU$168:BU192)&lt;1,10%,0))),0%)</f>
        <v>0</v>
      </c>
      <c r="BV193" s="2">
        <f>IF($AQ193&lt;='Premissas Gerais'!$G$6,(IF(OR(BV$167&gt;=$AQ193,BV$166=0),0,IF(SUM(BV$168:BV192)&lt;1,10%,0))),0%)</f>
        <v>0</v>
      </c>
      <c r="BW193" s="2">
        <f>IF($AQ193&lt;='Premissas Gerais'!$G$6,(IF(OR(BW$167&gt;=$AQ193,BW$166=0),0,IF(SUM(BW$168:BW192)&lt;1,10%,0))),0%)</f>
        <v>0</v>
      </c>
      <c r="BX193" s="2">
        <f>IF($AQ193&lt;='Premissas Gerais'!$G$6,(IF(OR(BX$167&gt;=$AQ193,BX$166=0),0,IF(SUM(BX$168:BX192)&lt;1,10%,0))),0%)</f>
        <v>0</v>
      </c>
      <c r="BY193" s="2">
        <f>IF($AQ193&lt;='Premissas Gerais'!$G$6,(IF(OR(BY$167&gt;=$AQ193,BY$166=0),0,IF(SUM(BY$168:BY192)&lt;1,10%,0))),0%)</f>
        <v>0</v>
      </c>
      <c r="BZ193" s="2">
        <f>IF($AQ193&lt;='Premissas Gerais'!$G$6,(IF(OR(BZ$167&gt;=$AQ193,BZ$166=0),0,IF(SUM(BZ$168:BZ192)&lt;1,10%,0))),0%)</f>
        <v>0</v>
      </c>
    </row>
    <row r="194" spans="3:78" outlineLevel="1">
      <c r="C194" s="155">
        <v>25</v>
      </c>
      <c r="E194" s="133">
        <f ca="1">IF(C194&lt;='Premissas Gerais'!$G$6,SUM(F194:AN194),0)</f>
        <v>0</v>
      </c>
      <c r="F194" s="4">
        <f t="shared" si="93"/>
        <v>0</v>
      </c>
      <c r="G194" s="4">
        <f t="shared" si="94"/>
        <v>0</v>
      </c>
      <c r="H194" s="4">
        <f t="shared" si="95"/>
        <v>0</v>
      </c>
      <c r="I194" s="4">
        <f t="shared" si="96"/>
        <v>0</v>
      </c>
      <c r="J194" s="4">
        <f t="shared" ca="1" si="97"/>
        <v>0</v>
      </c>
      <c r="K194" s="4">
        <f t="shared" si="98"/>
        <v>0</v>
      </c>
      <c r="L194" s="4">
        <f t="shared" si="99"/>
        <v>0</v>
      </c>
      <c r="M194" s="4">
        <f t="shared" si="100"/>
        <v>0</v>
      </c>
      <c r="N194" s="4">
        <f t="shared" si="101"/>
        <v>0</v>
      </c>
      <c r="O194" s="4">
        <f t="shared" ca="1" si="102"/>
        <v>0</v>
      </c>
      <c r="P194" s="4">
        <f t="shared" si="103"/>
        <v>0</v>
      </c>
      <c r="Q194" s="4">
        <f t="shared" si="104"/>
        <v>0</v>
      </c>
      <c r="R194" s="4">
        <f t="shared" si="105"/>
        <v>0</v>
      </c>
      <c r="S194" s="4">
        <f t="shared" si="106"/>
        <v>0</v>
      </c>
      <c r="T194" s="4">
        <f t="shared" ca="1" si="107"/>
        <v>0</v>
      </c>
      <c r="U194" s="4">
        <f t="shared" si="108"/>
        <v>0</v>
      </c>
      <c r="V194" s="4">
        <f t="shared" si="109"/>
        <v>0</v>
      </c>
      <c r="W194" s="4">
        <f t="shared" si="110"/>
        <v>0</v>
      </c>
      <c r="X194" s="4">
        <f t="shared" si="111"/>
        <v>0</v>
      </c>
      <c r="Y194" s="4">
        <f t="shared" ca="1" si="112"/>
        <v>0</v>
      </c>
      <c r="Z194" s="4">
        <f t="shared" si="113"/>
        <v>0</v>
      </c>
      <c r="AA194" s="4">
        <f t="shared" si="114"/>
        <v>0</v>
      </c>
      <c r="AB194" s="4">
        <f t="shared" si="115"/>
        <v>0</v>
      </c>
      <c r="AC194" s="4">
        <f t="shared" si="116"/>
        <v>0</v>
      </c>
      <c r="AD194" s="4">
        <f t="shared" ca="1" si="117"/>
        <v>0</v>
      </c>
      <c r="AE194" s="4">
        <f t="shared" si="118"/>
        <v>0</v>
      </c>
      <c r="AF194" s="4">
        <f t="shared" si="119"/>
        <v>0</v>
      </c>
      <c r="AG194" s="4">
        <f t="shared" si="120"/>
        <v>0</v>
      </c>
      <c r="AH194" s="4">
        <f t="shared" si="121"/>
        <v>0</v>
      </c>
      <c r="AI194" s="4">
        <f t="shared" ca="1" si="122"/>
        <v>0</v>
      </c>
      <c r="AJ194" s="4">
        <f t="shared" si="123"/>
        <v>0</v>
      </c>
      <c r="AK194" s="4">
        <f t="shared" si="124"/>
        <v>0</v>
      </c>
      <c r="AL194" s="4">
        <f t="shared" si="125"/>
        <v>0</v>
      </c>
      <c r="AM194" s="4">
        <f t="shared" si="126"/>
        <v>0</v>
      </c>
      <c r="AN194" s="4">
        <f t="shared" si="127"/>
        <v>0</v>
      </c>
      <c r="AP194" s="180">
        <f>IF(AQ194&lt;='Premissas Gerais'!$G$6,1,0)</f>
        <v>1</v>
      </c>
      <c r="AQ194" s="1">
        <v>26</v>
      </c>
      <c r="AR194" s="2">
        <f>IF($AQ194&lt;='Premissas Gerais'!$G$6,(IF(OR(AR$167&gt;=$AQ194,AR$166=0),0,IF(SUM(AR$168:AR193)&lt;1,10%,0))),0%)</f>
        <v>0</v>
      </c>
      <c r="AS194" s="2">
        <f>IF($AQ194&lt;='Premissas Gerais'!$G$6,(IF(OR(AS$167&gt;=$AQ194,AS$166=0),0,IF(SUM(AS$168:AS193)&lt;1,10%,0))),0%)</f>
        <v>0</v>
      </c>
      <c r="AT194" s="2">
        <f>IF($AQ194&lt;='Premissas Gerais'!$G$6,(IF(OR(AT$167&gt;=$AQ194,AT$166=0),0,IF(SUM(AT$168:AT193)&lt;1,10%,0))),0%)</f>
        <v>0</v>
      </c>
      <c r="AU194" s="2">
        <f>IF($AQ194&lt;='Premissas Gerais'!$G$6,(IF(OR(AU$167&gt;=$AQ194,AU$166=0),0,IF(SUM(AU$168:AU193)&lt;1,10%,0))),0%)</f>
        <v>0</v>
      </c>
      <c r="AV194" s="2">
        <f ca="1">IF($AQ194&lt;='Premissas Gerais'!$G$6,(IF(OR(AV$167&gt;=$AQ194,AV$166=0),0,IF(SUM(AV$168:AV193)&lt;1,10%,0))),0%)</f>
        <v>0</v>
      </c>
      <c r="AW194" s="2">
        <f>IF($AQ194&lt;='Premissas Gerais'!$G$6,(IF(OR(AW$167&gt;=$AQ194,AW$166=0),0,IF(SUM(AW$168:AW193)&lt;1,10%,0))),0%)</f>
        <v>0</v>
      </c>
      <c r="AX194" s="2">
        <f>IF($AQ194&lt;='Premissas Gerais'!$G$6,(IF(OR(AX$167&gt;=$AQ194,AX$166=0),0,IF(SUM(AX$168:AX193)&lt;1,10%,0))),0%)</f>
        <v>0</v>
      </c>
      <c r="AY194" s="2">
        <f>IF($AQ194&lt;='Premissas Gerais'!$G$6,(IF(OR(AY$167&gt;=$AQ194,AY$166=0),0,IF(SUM(AY$168:AY193)&lt;1,10%,0))),0%)</f>
        <v>0</v>
      </c>
      <c r="AZ194" s="2">
        <f>IF($AQ194&lt;='Premissas Gerais'!$G$6,(IF(OR(AZ$167&gt;=$AQ194,AZ$166=0),0,IF(SUM(AZ$168:AZ193)&lt;1,10%,0))),0%)</f>
        <v>0</v>
      </c>
      <c r="BA194" s="2">
        <f ca="1">IF($AQ194&lt;='Premissas Gerais'!$G$6,(IF(OR(BA$167&gt;=$AQ194,BA$166=0),0,IF(SUM(BA$168:BA193)&lt;1,10%,0))),0%)</f>
        <v>0</v>
      </c>
      <c r="BB194" s="2">
        <f>IF($AQ194&lt;='Premissas Gerais'!$G$6,(IF(OR(BB$167&gt;=$AQ194,BB$166=0),0,IF(SUM(BB$168:BB193)&lt;1,10%,0))),0%)</f>
        <v>0</v>
      </c>
      <c r="BC194" s="2">
        <f>IF($AQ194&lt;='Premissas Gerais'!$G$6,(IF(OR(BC$167&gt;=$AQ194,BC$166=0),0,IF(SUM(BC$168:BC193)&lt;1,10%,0))),0%)</f>
        <v>0</v>
      </c>
      <c r="BD194" s="2">
        <f>IF($AQ194&lt;='Premissas Gerais'!$G$6,(IF(OR(BD$167&gt;=$AQ194,BD$166=0),0,IF(SUM(BD$168:BD193)&lt;1,10%,0))),0%)</f>
        <v>0</v>
      </c>
      <c r="BE194" s="2">
        <f>IF($AQ194&lt;='Premissas Gerais'!$G$6,(IF(OR(BE$167&gt;=$AQ194,BE$166=0),0,IF(SUM(BE$168:BE193)&lt;1,10%,0))),0%)</f>
        <v>0</v>
      </c>
      <c r="BF194" s="2">
        <f ca="1">IF($AQ194&lt;='Premissas Gerais'!$G$6,(IF(OR(BF$167&gt;=$AQ194,BF$166=0),0,IF(SUM(BF$168:BF193)&lt;1,10%,0))),0%)</f>
        <v>0</v>
      </c>
      <c r="BG194" s="2">
        <f>IF($AQ194&lt;='Premissas Gerais'!$G$6,(IF(OR(BG$167&gt;=$AQ194,BG$166=0),0,IF(SUM(BG$168:BG193)&lt;1,10%,0))),0%)</f>
        <v>0</v>
      </c>
      <c r="BH194" s="2">
        <f>IF($AQ194&lt;='Premissas Gerais'!$G$6,(IF(OR(BH$167&gt;=$AQ194,BH$166=0),0,IF(SUM(BH$168:BH193)&lt;1,10%,0))),0%)</f>
        <v>0</v>
      </c>
      <c r="BI194" s="2">
        <f>IF($AQ194&lt;='Premissas Gerais'!$G$6,(IF(OR(BI$167&gt;=$AQ194,BI$166=0),0,IF(SUM(BI$168:BI193)&lt;1,10%,0))),0%)</f>
        <v>0</v>
      </c>
      <c r="BJ194" s="2">
        <f>IF($AQ194&lt;='Premissas Gerais'!$G$6,(IF(OR(BJ$167&gt;=$AQ194,BJ$166=0),0,IF(SUM(BJ$168:BJ193)&lt;1,10%,0))),0%)</f>
        <v>0</v>
      </c>
      <c r="BK194" s="2">
        <f ca="1">IF($AQ194&lt;='Premissas Gerais'!$G$6,(IF(OR(BK$167&gt;=$AQ194,BK$166=0),0,IF(SUM(BK$168:BK193)&lt;1,10%,0))),0%)</f>
        <v>0</v>
      </c>
      <c r="BL194" s="2">
        <f>IF($AQ194&lt;='Premissas Gerais'!$G$6,(IF(OR(BL$167&gt;=$AQ194,BL$166=0),0,IF(SUM(BL$168:BL193)&lt;1,10%,0))),0%)</f>
        <v>0</v>
      </c>
      <c r="BM194" s="2">
        <f>IF($AQ194&lt;='Premissas Gerais'!$G$6,(IF(OR(BM$167&gt;=$AQ194,BM$166=0),0,IF(SUM(BM$168:BM193)&lt;1,10%,0))),0%)</f>
        <v>0</v>
      </c>
      <c r="BN194" s="2">
        <f>IF($AQ194&lt;='Premissas Gerais'!$G$6,(IF(OR(BN$167&gt;=$AQ194,BN$166=0),0,IF(SUM(BN$168:BN193)&lt;1,10%,0))),0%)</f>
        <v>0</v>
      </c>
      <c r="BO194" s="2">
        <f>IF($AQ194&lt;='Premissas Gerais'!$G$6,(IF(OR(BO$167&gt;=$AQ194,BO$166=0),0,IF(SUM(BO$168:BO193)&lt;1,10%,0))),0%)</f>
        <v>0</v>
      </c>
      <c r="BP194" s="2">
        <f ca="1">IF($AQ194&lt;='Premissas Gerais'!$G$6,(IF(OR(BP$167&gt;=$AQ194,BP$166=0),0,IF(SUM(BP$168:BP193)&lt;1,10%,0))),0%)</f>
        <v>0</v>
      </c>
      <c r="BQ194" s="2">
        <f>IF($AQ194&lt;='Premissas Gerais'!$G$6,(IF(OR(BQ$167&gt;=$AQ194,BQ$166=0),0,IF(SUM(BQ$168:BQ193)&lt;1,10%,0))),0%)</f>
        <v>0</v>
      </c>
      <c r="BR194" s="2">
        <f>IF($AQ194&lt;='Premissas Gerais'!$G$6,(IF(OR(BR$167&gt;=$AQ194,BR$166=0),0,IF(SUM(BR$168:BR193)&lt;1,10%,0))),0%)</f>
        <v>0</v>
      </c>
      <c r="BS194" s="2">
        <f>IF($AQ194&lt;='Premissas Gerais'!$G$6,(IF(OR(BS$167&gt;=$AQ194,BS$166=0),0,IF(SUM(BS$168:BS193)&lt;1,10%,0))),0%)</f>
        <v>0</v>
      </c>
      <c r="BT194" s="2">
        <f>IF($AQ194&lt;='Premissas Gerais'!$G$6,(IF(OR(BT$167&gt;=$AQ194,BT$166=0),0,IF(SUM(BT$168:BT193)&lt;1,10%,0))),0%)</f>
        <v>0</v>
      </c>
      <c r="BU194" s="2">
        <f ca="1">IF($AQ194&lt;='Premissas Gerais'!$G$6,(IF(OR(BU$167&gt;=$AQ194,BU$166=0),0,IF(SUM(BU$168:BU193)&lt;1,10%,0))),0%)</f>
        <v>0</v>
      </c>
      <c r="BV194" s="2">
        <f>IF($AQ194&lt;='Premissas Gerais'!$G$6,(IF(OR(BV$167&gt;=$AQ194,BV$166=0),0,IF(SUM(BV$168:BV193)&lt;1,10%,0))),0%)</f>
        <v>0</v>
      </c>
      <c r="BW194" s="2">
        <f>IF($AQ194&lt;='Premissas Gerais'!$G$6,(IF(OR(BW$167&gt;=$AQ194,BW$166=0),0,IF(SUM(BW$168:BW193)&lt;1,10%,0))),0%)</f>
        <v>0</v>
      </c>
      <c r="BX194" s="2">
        <f>IF($AQ194&lt;='Premissas Gerais'!$G$6,(IF(OR(BX$167&gt;=$AQ194,BX$166=0),0,IF(SUM(BX$168:BX193)&lt;1,10%,0))),0%)</f>
        <v>0</v>
      </c>
      <c r="BY194" s="2">
        <f>IF($AQ194&lt;='Premissas Gerais'!$G$6,(IF(OR(BY$167&gt;=$AQ194,BY$166=0),0,IF(SUM(BY$168:BY193)&lt;1,10%,0))),0%)</f>
        <v>0</v>
      </c>
      <c r="BZ194" s="2">
        <f>IF($AQ194&lt;='Premissas Gerais'!$G$6,(IF(OR(BZ$167&gt;=$AQ194,BZ$166=0),0,IF(SUM(BZ$168:BZ193)&lt;1,10%,0))),0%)</f>
        <v>0</v>
      </c>
    </row>
    <row r="195" spans="3:78" outlineLevel="1">
      <c r="C195" s="155">
        <v>26</v>
      </c>
      <c r="E195" s="133">
        <f ca="1">IF(C195&lt;='Premissas Gerais'!$G$6,SUM(F195:AN195),0)</f>
        <v>0</v>
      </c>
      <c r="F195" s="4">
        <f t="shared" si="93"/>
        <v>0</v>
      </c>
      <c r="G195" s="4">
        <f t="shared" si="94"/>
        <v>0</v>
      </c>
      <c r="H195" s="4">
        <f t="shared" si="95"/>
        <v>0</v>
      </c>
      <c r="I195" s="4">
        <f t="shared" si="96"/>
        <v>0</v>
      </c>
      <c r="J195" s="4">
        <f t="shared" ca="1" si="97"/>
        <v>0</v>
      </c>
      <c r="K195" s="4">
        <f t="shared" si="98"/>
        <v>0</v>
      </c>
      <c r="L195" s="4">
        <f t="shared" si="99"/>
        <v>0</v>
      </c>
      <c r="M195" s="4">
        <f t="shared" si="100"/>
        <v>0</v>
      </c>
      <c r="N195" s="4">
        <f t="shared" si="101"/>
        <v>0</v>
      </c>
      <c r="O195" s="4">
        <f t="shared" ca="1" si="102"/>
        <v>0</v>
      </c>
      <c r="P195" s="4">
        <f t="shared" si="103"/>
        <v>0</v>
      </c>
      <c r="Q195" s="4">
        <f t="shared" si="104"/>
        <v>0</v>
      </c>
      <c r="R195" s="4">
        <f t="shared" si="105"/>
        <v>0</v>
      </c>
      <c r="S195" s="4">
        <f t="shared" si="106"/>
        <v>0</v>
      </c>
      <c r="T195" s="4">
        <f t="shared" ca="1" si="107"/>
        <v>0</v>
      </c>
      <c r="U195" s="4">
        <f t="shared" si="108"/>
        <v>0</v>
      </c>
      <c r="V195" s="4">
        <f t="shared" si="109"/>
        <v>0</v>
      </c>
      <c r="W195" s="4">
        <f t="shared" si="110"/>
        <v>0</v>
      </c>
      <c r="X195" s="4">
        <f t="shared" si="111"/>
        <v>0</v>
      </c>
      <c r="Y195" s="4">
        <f t="shared" ca="1" si="112"/>
        <v>0</v>
      </c>
      <c r="Z195" s="4">
        <f t="shared" si="113"/>
        <v>0</v>
      </c>
      <c r="AA195" s="4">
        <f t="shared" si="114"/>
        <v>0</v>
      </c>
      <c r="AB195" s="4">
        <f t="shared" si="115"/>
        <v>0</v>
      </c>
      <c r="AC195" s="4">
        <f t="shared" si="116"/>
        <v>0</v>
      </c>
      <c r="AD195" s="4">
        <f t="shared" ca="1" si="117"/>
        <v>0</v>
      </c>
      <c r="AE195" s="4">
        <f t="shared" si="118"/>
        <v>0</v>
      </c>
      <c r="AF195" s="4">
        <f t="shared" si="119"/>
        <v>0</v>
      </c>
      <c r="AG195" s="4">
        <f t="shared" si="120"/>
        <v>0</v>
      </c>
      <c r="AH195" s="4">
        <f t="shared" si="121"/>
        <v>0</v>
      </c>
      <c r="AI195" s="4">
        <f t="shared" ca="1" si="122"/>
        <v>0</v>
      </c>
      <c r="AJ195" s="4">
        <f t="shared" si="123"/>
        <v>0</v>
      </c>
      <c r="AK195" s="4">
        <f t="shared" si="124"/>
        <v>0</v>
      </c>
      <c r="AL195" s="4">
        <f t="shared" si="125"/>
        <v>0</v>
      </c>
      <c r="AM195" s="4">
        <f t="shared" si="126"/>
        <v>0</v>
      </c>
      <c r="AN195" s="4">
        <f t="shared" si="127"/>
        <v>0</v>
      </c>
      <c r="AP195" s="180">
        <f>IF(AQ195&lt;='Premissas Gerais'!$G$6,1,0)</f>
        <v>1</v>
      </c>
      <c r="AQ195" s="1">
        <v>27</v>
      </c>
      <c r="AR195" s="2">
        <f>IF($AQ195&lt;='Premissas Gerais'!$G$6,(IF(OR(AR$167&gt;=$AQ195,AR$166=0),0,IF(SUM(AR$168:AR194)&lt;1,10%,0))),0%)</f>
        <v>0</v>
      </c>
      <c r="AS195" s="2">
        <f>IF($AQ195&lt;='Premissas Gerais'!$G$6,(IF(OR(AS$167&gt;=$AQ195,AS$166=0),0,IF(SUM(AS$168:AS194)&lt;1,10%,0))),0%)</f>
        <v>0</v>
      </c>
      <c r="AT195" s="2">
        <f>IF($AQ195&lt;='Premissas Gerais'!$G$6,(IF(OR(AT$167&gt;=$AQ195,AT$166=0),0,IF(SUM(AT$168:AT194)&lt;1,10%,0))),0%)</f>
        <v>0</v>
      </c>
      <c r="AU195" s="2">
        <f>IF($AQ195&lt;='Premissas Gerais'!$G$6,(IF(OR(AU$167&gt;=$AQ195,AU$166=0),0,IF(SUM(AU$168:AU194)&lt;1,10%,0))),0%)</f>
        <v>0</v>
      </c>
      <c r="AV195" s="2">
        <f ca="1">IF($AQ195&lt;='Premissas Gerais'!$G$6,(IF(OR(AV$167&gt;=$AQ195,AV$166=0),0,IF(SUM(AV$168:AV194)&lt;1,10%,0))),0%)</f>
        <v>0</v>
      </c>
      <c r="AW195" s="2">
        <f>IF($AQ195&lt;='Premissas Gerais'!$G$6,(IF(OR(AW$167&gt;=$AQ195,AW$166=0),0,IF(SUM(AW$168:AW194)&lt;1,10%,0))),0%)</f>
        <v>0</v>
      </c>
      <c r="AX195" s="2">
        <f>IF($AQ195&lt;='Premissas Gerais'!$G$6,(IF(OR(AX$167&gt;=$AQ195,AX$166=0),0,IF(SUM(AX$168:AX194)&lt;1,10%,0))),0%)</f>
        <v>0</v>
      </c>
      <c r="AY195" s="2">
        <f>IF($AQ195&lt;='Premissas Gerais'!$G$6,(IF(OR(AY$167&gt;=$AQ195,AY$166=0),0,IF(SUM(AY$168:AY194)&lt;1,10%,0))),0%)</f>
        <v>0</v>
      </c>
      <c r="AZ195" s="2">
        <f>IF($AQ195&lt;='Premissas Gerais'!$G$6,(IF(OR(AZ$167&gt;=$AQ195,AZ$166=0),0,IF(SUM(AZ$168:AZ194)&lt;1,10%,0))),0%)</f>
        <v>0</v>
      </c>
      <c r="BA195" s="2">
        <f ca="1">IF($AQ195&lt;='Premissas Gerais'!$G$6,(IF(OR(BA$167&gt;=$AQ195,BA$166=0),0,IF(SUM(BA$168:BA194)&lt;1,10%,0))),0%)</f>
        <v>0</v>
      </c>
      <c r="BB195" s="2">
        <f>IF($AQ195&lt;='Premissas Gerais'!$G$6,(IF(OR(BB$167&gt;=$AQ195,BB$166=0),0,IF(SUM(BB$168:BB194)&lt;1,10%,0))),0%)</f>
        <v>0</v>
      </c>
      <c r="BC195" s="2">
        <f>IF($AQ195&lt;='Premissas Gerais'!$G$6,(IF(OR(BC$167&gt;=$AQ195,BC$166=0),0,IF(SUM(BC$168:BC194)&lt;1,10%,0))),0%)</f>
        <v>0</v>
      </c>
      <c r="BD195" s="2">
        <f>IF($AQ195&lt;='Premissas Gerais'!$G$6,(IF(OR(BD$167&gt;=$AQ195,BD$166=0),0,IF(SUM(BD$168:BD194)&lt;1,10%,0))),0%)</f>
        <v>0</v>
      </c>
      <c r="BE195" s="2">
        <f>IF($AQ195&lt;='Premissas Gerais'!$G$6,(IF(OR(BE$167&gt;=$AQ195,BE$166=0),0,IF(SUM(BE$168:BE194)&lt;1,10%,0))),0%)</f>
        <v>0</v>
      </c>
      <c r="BF195" s="2">
        <f ca="1">IF($AQ195&lt;='Premissas Gerais'!$G$6,(IF(OR(BF$167&gt;=$AQ195,BF$166=0),0,IF(SUM(BF$168:BF194)&lt;1,10%,0))),0%)</f>
        <v>0</v>
      </c>
      <c r="BG195" s="2">
        <f>IF($AQ195&lt;='Premissas Gerais'!$G$6,(IF(OR(BG$167&gt;=$AQ195,BG$166=0),0,IF(SUM(BG$168:BG194)&lt;1,10%,0))),0%)</f>
        <v>0</v>
      </c>
      <c r="BH195" s="2">
        <f>IF($AQ195&lt;='Premissas Gerais'!$G$6,(IF(OR(BH$167&gt;=$AQ195,BH$166=0),0,IF(SUM(BH$168:BH194)&lt;1,10%,0))),0%)</f>
        <v>0</v>
      </c>
      <c r="BI195" s="2">
        <f>IF($AQ195&lt;='Premissas Gerais'!$G$6,(IF(OR(BI$167&gt;=$AQ195,BI$166=0),0,IF(SUM(BI$168:BI194)&lt;1,10%,0))),0%)</f>
        <v>0</v>
      </c>
      <c r="BJ195" s="2">
        <f>IF($AQ195&lt;='Premissas Gerais'!$G$6,(IF(OR(BJ$167&gt;=$AQ195,BJ$166=0),0,IF(SUM(BJ$168:BJ194)&lt;1,10%,0))),0%)</f>
        <v>0</v>
      </c>
      <c r="BK195" s="2">
        <f ca="1">IF($AQ195&lt;='Premissas Gerais'!$G$6,(IF(OR(BK$167&gt;=$AQ195,BK$166=0),0,IF(SUM(BK$168:BK194)&lt;1,10%,0))),0%)</f>
        <v>0</v>
      </c>
      <c r="BL195" s="2">
        <f>IF($AQ195&lt;='Premissas Gerais'!$G$6,(IF(OR(BL$167&gt;=$AQ195,BL$166=0),0,IF(SUM(BL$168:BL194)&lt;1,10%,0))),0%)</f>
        <v>0</v>
      </c>
      <c r="BM195" s="2">
        <f>IF($AQ195&lt;='Premissas Gerais'!$G$6,(IF(OR(BM$167&gt;=$AQ195,BM$166=0),0,IF(SUM(BM$168:BM194)&lt;1,10%,0))),0%)</f>
        <v>0</v>
      </c>
      <c r="BN195" s="2">
        <f>IF($AQ195&lt;='Premissas Gerais'!$G$6,(IF(OR(BN$167&gt;=$AQ195,BN$166=0),0,IF(SUM(BN$168:BN194)&lt;1,10%,0))),0%)</f>
        <v>0</v>
      </c>
      <c r="BO195" s="2">
        <f>IF($AQ195&lt;='Premissas Gerais'!$G$6,(IF(OR(BO$167&gt;=$AQ195,BO$166=0),0,IF(SUM(BO$168:BO194)&lt;1,10%,0))),0%)</f>
        <v>0</v>
      </c>
      <c r="BP195" s="2">
        <f ca="1">IF($AQ195&lt;='Premissas Gerais'!$G$6,(IF(OR(BP$167&gt;=$AQ195,BP$166=0),0,IF(SUM(BP$168:BP194)&lt;1,10%,0))),0%)</f>
        <v>0</v>
      </c>
      <c r="BQ195" s="2">
        <f>IF($AQ195&lt;='Premissas Gerais'!$G$6,(IF(OR(BQ$167&gt;=$AQ195,BQ$166=0),0,IF(SUM(BQ$168:BQ194)&lt;1,10%,0))),0%)</f>
        <v>0</v>
      </c>
      <c r="BR195" s="2">
        <f>IF($AQ195&lt;='Premissas Gerais'!$G$6,(IF(OR(BR$167&gt;=$AQ195,BR$166=0),0,IF(SUM(BR$168:BR194)&lt;1,10%,0))),0%)</f>
        <v>0</v>
      </c>
      <c r="BS195" s="2">
        <f>IF($AQ195&lt;='Premissas Gerais'!$G$6,(IF(OR(BS$167&gt;=$AQ195,BS$166=0),0,IF(SUM(BS$168:BS194)&lt;1,10%,0))),0%)</f>
        <v>0</v>
      </c>
      <c r="BT195" s="2">
        <f>IF($AQ195&lt;='Premissas Gerais'!$G$6,(IF(OR(BT$167&gt;=$AQ195,BT$166=0),0,IF(SUM(BT$168:BT194)&lt;1,10%,0))),0%)</f>
        <v>0</v>
      </c>
      <c r="BU195" s="2">
        <f ca="1">IF($AQ195&lt;='Premissas Gerais'!$G$6,(IF(OR(BU$167&gt;=$AQ195,BU$166=0),0,IF(SUM(BU$168:BU194)&lt;1,10%,0))),0%)</f>
        <v>0</v>
      </c>
      <c r="BV195" s="2">
        <f>IF($AQ195&lt;='Premissas Gerais'!$G$6,(IF(OR(BV$167&gt;=$AQ195,BV$166=0),0,IF(SUM(BV$168:BV194)&lt;1,10%,0))),0%)</f>
        <v>0</v>
      </c>
      <c r="BW195" s="2">
        <f>IF($AQ195&lt;='Premissas Gerais'!$G$6,(IF(OR(BW$167&gt;=$AQ195,BW$166=0),0,IF(SUM(BW$168:BW194)&lt;1,10%,0))),0%)</f>
        <v>0</v>
      </c>
      <c r="BX195" s="2">
        <f>IF($AQ195&lt;='Premissas Gerais'!$G$6,(IF(OR(BX$167&gt;=$AQ195,BX$166=0),0,IF(SUM(BX$168:BX194)&lt;1,10%,0))),0%)</f>
        <v>0</v>
      </c>
      <c r="BY195" s="2">
        <f>IF($AQ195&lt;='Premissas Gerais'!$G$6,(IF(OR(BY$167&gt;=$AQ195,BY$166=0),0,IF(SUM(BY$168:BY194)&lt;1,10%,0))),0%)</f>
        <v>0</v>
      </c>
      <c r="BZ195" s="2">
        <f>IF($AQ195&lt;='Premissas Gerais'!$G$6,(IF(OR(BZ$167&gt;=$AQ195,BZ$166=0),0,IF(SUM(BZ$168:BZ194)&lt;1,10%,0))),0%)</f>
        <v>0</v>
      </c>
    </row>
    <row r="196" spans="3:78" outlineLevel="1">
      <c r="C196" s="155">
        <v>27</v>
      </c>
      <c r="E196" s="133">
        <f ca="1">IF(C196&lt;='Premissas Gerais'!$G$6,SUM(F196:AN196),0)</f>
        <v>0</v>
      </c>
      <c r="F196" s="4">
        <f t="shared" si="93"/>
        <v>0</v>
      </c>
      <c r="G196" s="4">
        <f t="shared" si="94"/>
        <v>0</v>
      </c>
      <c r="H196" s="4">
        <f t="shared" si="95"/>
        <v>0</v>
      </c>
      <c r="I196" s="4">
        <f t="shared" si="96"/>
        <v>0</v>
      </c>
      <c r="J196" s="4">
        <f t="shared" ca="1" si="97"/>
        <v>0</v>
      </c>
      <c r="K196" s="4">
        <f t="shared" si="98"/>
        <v>0</v>
      </c>
      <c r="L196" s="4">
        <f t="shared" si="99"/>
        <v>0</v>
      </c>
      <c r="M196" s="4">
        <f t="shared" si="100"/>
        <v>0</v>
      </c>
      <c r="N196" s="4">
        <f t="shared" si="101"/>
        <v>0</v>
      </c>
      <c r="O196" s="4">
        <f t="shared" ca="1" si="102"/>
        <v>0</v>
      </c>
      <c r="P196" s="4">
        <f t="shared" si="103"/>
        <v>0</v>
      </c>
      <c r="Q196" s="4">
        <f t="shared" si="104"/>
        <v>0</v>
      </c>
      <c r="R196" s="4">
        <f t="shared" si="105"/>
        <v>0</v>
      </c>
      <c r="S196" s="4">
        <f t="shared" si="106"/>
        <v>0</v>
      </c>
      <c r="T196" s="4">
        <f t="shared" ca="1" si="107"/>
        <v>0</v>
      </c>
      <c r="U196" s="4">
        <f t="shared" si="108"/>
        <v>0</v>
      </c>
      <c r="V196" s="4">
        <f t="shared" si="109"/>
        <v>0</v>
      </c>
      <c r="W196" s="4">
        <f t="shared" si="110"/>
        <v>0</v>
      </c>
      <c r="X196" s="4">
        <f t="shared" si="111"/>
        <v>0</v>
      </c>
      <c r="Y196" s="4">
        <f t="shared" ca="1" si="112"/>
        <v>0</v>
      </c>
      <c r="Z196" s="4">
        <f t="shared" si="113"/>
        <v>0</v>
      </c>
      <c r="AA196" s="4">
        <f t="shared" si="114"/>
        <v>0</v>
      </c>
      <c r="AB196" s="4">
        <f t="shared" si="115"/>
        <v>0</v>
      </c>
      <c r="AC196" s="4">
        <f t="shared" si="116"/>
        <v>0</v>
      </c>
      <c r="AD196" s="4">
        <f t="shared" ca="1" si="117"/>
        <v>0</v>
      </c>
      <c r="AE196" s="4">
        <f t="shared" si="118"/>
        <v>0</v>
      </c>
      <c r="AF196" s="4">
        <f t="shared" si="119"/>
        <v>0</v>
      </c>
      <c r="AG196" s="4">
        <f t="shared" si="120"/>
        <v>0</v>
      </c>
      <c r="AH196" s="4">
        <f t="shared" si="121"/>
        <v>0</v>
      </c>
      <c r="AI196" s="4">
        <f t="shared" ca="1" si="122"/>
        <v>0</v>
      </c>
      <c r="AJ196" s="4">
        <f t="shared" si="123"/>
        <v>0</v>
      </c>
      <c r="AK196" s="4">
        <f t="shared" si="124"/>
        <v>0</v>
      </c>
      <c r="AL196" s="4">
        <f t="shared" si="125"/>
        <v>0</v>
      </c>
      <c r="AM196" s="4">
        <f t="shared" si="126"/>
        <v>0</v>
      </c>
      <c r="AN196" s="4">
        <f t="shared" si="127"/>
        <v>0</v>
      </c>
      <c r="AP196" s="180">
        <f>IF(AQ196&lt;='Premissas Gerais'!$G$6,1,0)</f>
        <v>1</v>
      </c>
      <c r="AQ196" s="1">
        <v>28</v>
      </c>
      <c r="AR196" s="2">
        <f>IF($AQ196&lt;='Premissas Gerais'!$G$6,(IF(OR(AR$167&gt;=$AQ196,AR$166=0),0,IF(SUM(AR$168:AR195)&lt;1,10%,0))),0%)</f>
        <v>0</v>
      </c>
      <c r="AS196" s="2">
        <f>IF($AQ196&lt;='Premissas Gerais'!$G$6,(IF(OR(AS$167&gt;=$AQ196,AS$166=0),0,IF(SUM(AS$168:AS195)&lt;1,10%,0))),0%)</f>
        <v>0</v>
      </c>
      <c r="AT196" s="2">
        <f>IF($AQ196&lt;='Premissas Gerais'!$G$6,(IF(OR(AT$167&gt;=$AQ196,AT$166=0),0,IF(SUM(AT$168:AT195)&lt;1,10%,0))),0%)</f>
        <v>0</v>
      </c>
      <c r="AU196" s="2">
        <f>IF($AQ196&lt;='Premissas Gerais'!$G$6,(IF(OR(AU$167&gt;=$AQ196,AU$166=0),0,IF(SUM(AU$168:AU195)&lt;1,10%,0))),0%)</f>
        <v>0</v>
      </c>
      <c r="AV196" s="2">
        <f ca="1">IF($AQ196&lt;='Premissas Gerais'!$G$6,(IF(OR(AV$167&gt;=$AQ196,AV$166=0),0,IF(SUM(AV$168:AV195)&lt;1,10%,0))),0%)</f>
        <v>0</v>
      </c>
      <c r="AW196" s="2">
        <f>IF($AQ196&lt;='Premissas Gerais'!$G$6,(IF(OR(AW$167&gt;=$AQ196,AW$166=0),0,IF(SUM(AW$168:AW195)&lt;1,10%,0))),0%)</f>
        <v>0</v>
      </c>
      <c r="AX196" s="2">
        <f>IF($AQ196&lt;='Premissas Gerais'!$G$6,(IF(OR(AX$167&gt;=$AQ196,AX$166=0),0,IF(SUM(AX$168:AX195)&lt;1,10%,0))),0%)</f>
        <v>0</v>
      </c>
      <c r="AY196" s="2">
        <f>IF($AQ196&lt;='Premissas Gerais'!$G$6,(IF(OR(AY$167&gt;=$AQ196,AY$166=0),0,IF(SUM(AY$168:AY195)&lt;1,10%,0))),0%)</f>
        <v>0</v>
      </c>
      <c r="AZ196" s="2">
        <f>IF($AQ196&lt;='Premissas Gerais'!$G$6,(IF(OR(AZ$167&gt;=$AQ196,AZ$166=0),0,IF(SUM(AZ$168:AZ195)&lt;1,10%,0))),0%)</f>
        <v>0</v>
      </c>
      <c r="BA196" s="2">
        <f ca="1">IF($AQ196&lt;='Premissas Gerais'!$G$6,(IF(OR(BA$167&gt;=$AQ196,BA$166=0),0,IF(SUM(BA$168:BA195)&lt;1,10%,0))),0%)</f>
        <v>0</v>
      </c>
      <c r="BB196" s="2">
        <f>IF($AQ196&lt;='Premissas Gerais'!$G$6,(IF(OR(BB$167&gt;=$AQ196,BB$166=0),0,IF(SUM(BB$168:BB195)&lt;1,10%,0))),0%)</f>
        <v>0</v>
      </c>
      <c r="BC196" s="2">
        <f>IF($AQ196&lt;='Premissas Gerais'!$G$6,(IF(OR(BC$167&gt;=$AQ196,BC$166=0),0,IF(SUM(BC$168:BC195)&lt;1,10%,0))),0%)</f>
        <v>0</v>
      </c>
      <c r="BD196" s="2">
        <f>IF($AQ196&lt;='Premissas Gerais'!$G$6,(IF(OR(BD$167&gt;=$AQ196,BD$166=0),0,IF(SUM(BD$168:BD195)&lt;1,10%,0))),0%)</f>
        <v>0</v>
      </c>
      <c r="BE196" s="2">
        <f>IF($AQ196&lt;='Premissas Gerais'!$G$6,(IF(OR(BE$167&gt;=$AQ196,BE$166=0),0,IF(SUM(BE$168:BE195)&lt;1,10%,0))),0%)</f>
        <v>0</v>
      </c>
      <c r="BF196" s="2">
        <f ca="1">IF($AQ196&lt;='Premissas Gerais'!$G$6,(IF(OR(BF$167&gt;=$AQ196,BF$166=0),0,IF(SUM(BF$168:BF195)&lt;1,10%,0))),0%)</f>
        <v>0</v>
      </c>
      <c r="BG196" s="2">
        <f>IF($AQ196&lt;='Premissas Gerais'!$G$6,(IF(OR(BG$167&gt;=$AQ196,BG$166=0),0,IF(SUM(BG$168:BG195)&lt;1,10%,0))),0%)</f>
        <v>0</v>
      </c>
      <c r="BH196" s="2">
        <f>IF($AQ196&lt;='Premissas Gerais'!$G$6,(IF(OR(BH$167&gt;=$AQ196,BH$166=0),0,IF(SUM(BH$168:BH195)&lt;1,10%,0))),0%)</f>
        <v>0</v>
      </c>
      <c r="BI196" s="2">
        <f>IF($AQ196&lt;='Premissas Gerais'!$G$6,(IF(OR(BI$167&gt;=$AQ196,BI$166=0),0,IF(SUM(BI$168:BI195)&lt;1,10%,0))),0%)</f>
        <v>0</v>
      </c>
      <c r="BJ196" s="2">
        <f>IF($AQ196&lt;='Premissas Gerais'!$G$6,(IF(OR(BJ$167&gt;=$AQ196,BJ$166=0),0,IF(SUM(BJ$168:BJ195)&lt;1,10%,0))),0%)</f>
        <v>0</v>
      </c>
      <c r="BK196" s="2">
        <f ca="1">IF($AQ196&lt;='Premissas Gerais'!$G$6,(IF(OR(BK$167&gt;=$AQ196,BK$166=0),0,IF(SUM(BK$168:BK195)&lt;1,10%,0))),0%)</f>
        <v>0</v>
      </c>
      <c r="BL196" s="2">
        <f>IF($AQ196&lt;='Premissas Gerais'!$G$6,(IF(OR(BL$167&gt;=$AQ196,BL$166=0),0,IF(SUM(BL$168:BL195)&lt;1,10%,0))),0%)</f>
        <v>0</v>
      </c>
      <c r="BM196" s="2">
        <f>IF($AQ196&lt;='Premissas Gerais'!$G$6,(IF(OR(BM$167&gt;=$AQ196,BM$166=0),0,IF(SUM(BM$168:BM195)&lt;1,10%,0))),0%)</f>
        <v>0</v>
      </c>
      <c r="BN196" s="2">
        <f>IF($AQ196&lt;='Premissas Gerais'!$G$6,(IF(OR(BN$167&gt;=$AQ196,BN$166=0),0,IF(SUM(BN$168:BN195)&lt;1,10%,0))),0%)</f>
        <v>0</v>
      </c>
      <c r="BO196" s="2">
        <f>IF($AQ196&lt;='Premissas Gerais'!$G$6,(IF(OR(BO$167&gt;=$AQ196,BO$166=0),0,IF(SUM(BO$168:BO195)&lt;1,10%,0))),0%)</f>
        <v>0</v>
      </c>
      <c r="BP196" s="2">
        <f ca="1">IF($AQ196&lt;='Premissas Gerais'!$G$6,(IF(OR(BP$167&gt;=$AQ196,BP$166=0),0,IF(SUM(BP$168:BP195)&lt;1,10%,0))),0%)</f>
        <v>0</v>
      </c>
      <c r="BQ196" s="2">
        <f>IF($AQ196&lt;='Premissas Gerais'!$G$6,(IF(OR(BQ$167&gt;=$AQ196,BQ$166=0),0,IF(SUM(BQ$168:BQ195)&lt;1,10%,0))),0%)</f>
        <v>0</v>
      </c>
      <c r="BR196" s="2">
        <f>IF($AQ196&lt;='Premissas Gerais'!$G$6,(IF(OR(BR$167&gt;=$AQ196,BR$166=0),0,IF(SUM(BR$168:BR195)&lt;1,10%,0))),0%)</f>
        <v>0</v>
      </c>
      <c r="BS196" s="2">
        <f>IF($AQ196&lt;='Premissas Gerais'!$G$6,(IF(OR(BS$167&gt;=$AQ196,BS$166=0),0,IF(SUM(BS$168:BS195)&lt;1,10%,0))),0%)</f>
        <v>0</v>
      </c>
      <c r="BT196" s="2">
        <f>IF($AQ196&lt;='Premissas Gerais'!$G$6,(IF(OR(BT$167&gt;=$AQ196,BT$166=0),0,IF(SUM(BT$168:BT195)&lt;1,10%,0))),0%)</f>
        <v>0</v>
      </c>
      <c r="BU196" s="2">
        <f ca="1">IF($AQ196&lt;='Premissas Gerais'!$G$6,(IF(OR(BU$167&gt;=$AQ196,BU$166=0),0,IF(SUM(BU$168:BU195)&lt;1,10%,0))),0%)</f>
        <v>0</v>
      </c>
      <c r="BV196" s="2">
        <f>IF($AQ196&lt;='Premissas Gerais'!$G$6,(IF(OR(BV$167&gt;=$AQ196,BV$166=0),0,IF(SUM(BV$168:BV195)&lt;1,10%,0))),0%)</f>
        <v>0</v>
      </c>
      <c r="BW196" s="2">
        <f>IF($AQ196&lt;='Premissas Gerais'!$G$6,(IF(OR(BW$167&gt;=$AQ196,BW$166=0),0,IF(SUM(BW$168:BW195)&lt;1,10%,0))),0%)</f>
        <v>0</v>
      </c>
      <c r="BX196" s="2">
        <f>IF($AQ196&lt;='Premissas Gerais'!$G$6,(IF(OR(BX$167&gt;=$AQ196,BX$166=0),0,IF(SUM(BX$168:BX195)&lt;1,10%,0))),0%)</f>
        <v>0</v>
      </c>
      <c r="BY196" s="2">
        <f>IF($AQ196&lt;='Premissas Gerais'!$G$6,(IF(OR(BY$167&gt;=$AQ196,BY$166=0),0,IF(SUM(BY$168:BY195)&lt;1,10%,0))),0%)</f>
        <v>0</v>
      </c>
      <c r="BZ196" s="2">
        <f>IF($AQ196&lt;='Premissas Gerais'!$G$6,(IF(OR(BZ$167&gt;=$AQ196,BZ$166=0),0,IF(SUM(BZ$168:BZ195)&lt;1,10%,0))),0%)</f>
        <v>0</v>
      </c>
    </row>
    <row r="197" spans="3:78" outlineLevel="1">
      <c r="C197" s="155">
        <v>28</v>
      </c>
      <c r="E197" s="133">
        <f ca="1">IF(C197&lt;='Premissas Gerais'!$G$6,SUM(F197:AN197),0)</f>
        <v>0</v>
      </c>
      <c r="F197" s="4">
        <f t="shared" si="93"/>
        <v>0</v>
      </c>
      <c r="G197" s="4">
        <f t="shared" si="94"/>
        <v>0</v>
      </c>
      <c r="H197" s="4">
        <f t="shared" si="95"/>
        <v>0</v>
      </c>
      <c r="I197" s="4">
        <f t="shared" si="96"/>
        <v>0</v>
      </c>
      <c r="J197" s="4">
        <f t="shared" ca="1" si="97"/>
        <v>0</v>
      </c>
      <c r="K197" s="4">
        <f t="shared" si="98"/>
        <v>0</v>
      </c>
      <c r="L197" s="4">
        <f t="shared" si="99"/>
        <v>0</v>
      </c>
      <c r="M197" s="4">
        <f t="shared" si="100"/>
        <v>0</v>
      </c>
      <c r="N197" s="4">
        <f t="shared" si="101"/>
        <v>0</v>
      </c>
      <c r="O197" s="4">
        <f t="shared" ca="1" si="102"/>
        <v>0</v>
      </c>
      <c r="P197" s="4">
        <f t="shared" si="103"/>
        <v>0</v>
      </c>
      <c r="Q197" s="4">
        <f t="shared" si="104"/>
        <v>0</v>
      </c>
      <c r="R197" s="4">
        <f t="shared" si="105"/>
        <v>0</v>
      </c>
      <c r="S197" s="4">
        <f t="shared" si="106"/>
        <v>0</v>
      </c>
      <c r="T197" s="4">
        <f t="shared" ca="1" si="107"/>
        <v>0</v>
      </c>
      <c r="U197" s="4">
        <f t="shared" si="108"/>
        <v>0</v>
      </c>
      <c r="V197" s="4">
        <f t="shared" si="109"/>
        <v>0</v>
      </c>
      <c r="W197" s="4">
        <f t="shared" si="110"/>
        <v>0</v>
      </c>
      <c r="X197" s="4">
        <f t="shared" si="111"/>
        <v>0</v>
      </c>
      <c r="Y197" s="4">
        <f t="shared" ca="1" si="112"/>
        <v>0</v>
      </c>
      <c r="Z197" s="4">
        <f t="shared" si="113"/>
        <v>0</v>
      </c>
      <c r="AA197" s="4">
        <f t="shared" si="114"/>
        <v>0</v>
      </c>
      <c r="AB197" s="4">
        <f t="shared" si="115"/>
        <v>0</v>
      </c>
      <c r="AC197" s="4">
        <f t="shared" si="116"/>
        <v>0</v>
      </c>
      <c r="AD197" s="4">
        <f t="shared" ca="1" si="117"/>
        <v>0</v>
      </c>
      <c r="AE197" s="4">
        <f t="shared" si="118"/>
        <v>0</v>
      </c>
      <c r="AF197" s="4">
        <f t="shared" si="119"/>
        <v>0</v>
      </c>
      <c r="AG197" s="4">
        <f t="shared" si="120"/>
        <v>0</v>
      </c>
      <c r="AH197" s="4">
        <f t="shared" si="121"/>
        <v>0</v>
      </c>
      <c r="AI197" s="4">
        <f t="shared" ca="1" si="122"/>
        <v>0</v>
      </c>
      <c r="AJ197" s="4">
        <f t="shared" si="123"/>
        <v>0</v>
      </c>
      <c r="AK197" s="4">
        <f t="shared" si="124"/>
        <v>0</v>
      </c>
      <c r="AL197" s="4">
        <f t="shared" si="125"/>
        <v>0</v>
      </c>
      <c r="AM197" s="4">
        <f t="shared" si="126"/>
        <v>0</v>
      </c>
      <c r="AN197" s="4">
        <f t="shared" si="127"/>
        <v>0</v>
      </c>
      <c r="AP197" s="180">
        <f>IF(AQ197&lt;='Premissas Gerais'!$G$6,1,0)</f>
        <v>1</v>
      </c>
      <c r="AQ197" s="1">
        <v>29</v>
      </c>
      <c r="AR197" s="2">
        <f>IF($AQ197&lt;='Premissas Gerais'!$G$6,(IF(OR(AR$167&gt;=$AQ197,AR$166=0),0,IF(SUM(AR$168:AR196)&lt;1,10%,0))),0%)</f>
        <v>0</v>
      </c>
      <c r="AS197" s="2">
        <f>IF($AQ197&lt;='Premissas Gerais'!$G$6,(IF(OR(AS$167&gt;=$AQ197,AS$166=0),0,IF(SUM(AS$168:AS196)&lt;1,10%,0))),0%)</f>
        <v>0</v>
      </c>
      <c r="AT197" s="2">
        <f>IF($AQ197&lt;='Premissas Gerais'!$G$6,(IF(OR(AT$167&gt;=$AQ197,AT$166=0),0,IF(SUM(AT$168:AT196)&lt;1,10%,0))),0%)</f>
        <v>0</v>
      </c>
      <c r="AU197" s="2">
        <f>IF($AQ197&lt;='Premissas Gerais'!$G$6,(IF(OR(AU$167&gt;=$AQ197,AU$166=0),0,IF(SUM(AU$168:AU196)&lt;1,10%,0))),0%)</f>
        <v>0</v>
      </c>
      <c r="AV197" s="2">
        <f ca="1">IF($AQ197&lt;='Premissas Gerais'!$G$6,(IF(OR(AV$167&gt;=$AQ197,AV$166=0),0,IF(SUM(AV$168:AV196)&lt;1,10%,0))),0%)</f>
        <v>0</v>
      </c>
      <c r="AW197" s="2">
        <f>IF($AQ197&lt;='Premissas Gerais'!$G$6,(IF(OR(AW$167&gt;=$AQ197,AW$166=0),0,IF(SUM(AW$168:AW196)&lt;1,10%,0))),0%)</f>
        <v>0</v>
      </c>
      <c r="AX197" s="2">
        <f>IF($AQ197&lt;='Premissas Gerais'!$G$6,(IF(OR(AX$167&gt;=$AQ197,AX$166=0),0,IF(SUM(AX$168:AX196)&lt;1,10%,0))),0%)</f>
        <v>0</v>
      </c>
      <c r="AY197" s="2">
        <f>IF($AQ197&lt;='Premissas Gerais'!$G$6,(IF(OR(AY$167&gt;=$AQ197,AY$166=0),0,IF(SUM(AY$168:AY196)&lt;1,10%,0))),0%)</f>
        <v>0</v>
      </c>
      <c r="AZ197" s="2">
        <f>IF($AQ197&lt;='Premissas Gerais'!$G$6,(IF(OR(AZ$167&gt;=$AQ197,AZ$166=0),0,IF(SUM(AZ$168:AZ196)&lt;1,10%,0))),0%)</f>
        <v>0</v>
      </c>
      <c r="BA197" s="2">
        <f ca="1">IF($AQ197&lt;='Premissas Gerais'!$G$6,(IF(OR(BA$167&gt;=$AQ197,BA$166=0),0,IF(SUM(BA$168:BA196)&lt;1,10%,0))),0%)</f>
        <v>0</v>
      </c>
      <c r="BB197" s="2">
        <f>IF($AQ197&lt;='Premissas Gerais'!$G$6,(IF(OR(BB$167&gt;=$AQ197,BB$166=0),0,IF(SUM(BB$168:BB196)&lt;1,10%,0))),0%)</f>
        <v>0</v>
      </c>
      <c r="BC197" s="2">
        <f>IF($AQ197&lt;='Premissas Gerais'!$G$6,(IF(OR(BC$167&gt;=$AQ197,BC$166=0),0,IF(SUM(BC$168:BC196)&lt;1,10%,0))),0%)</f>
        <v>0</v>
      </c>
      <c r="BD197" s="2">
        <f>IF($AQ197&lt;='Premissas Gerais'!$G$6,(IF(OR(BD$167&gt;=$AQ197,BD$166=0),0,IF(SUM(BD$168:BD196)&lt;1,10%,0))),0%)</f>
        <v>0</v>
      </c>
      <c r="BE197" s="2">
        <f>IF($AQ197&lt;='Premissas Gerais'!$G$6,(IF(OR(BE$167&gt;=$AQ197,BE$166=0),0,IF(SUM(BE$168:BE196)&lt;1,10%,0))),0%)</f>
        <v>0</v>
      </c>
      <c r="BF197" s="2">
        <f ca="1">IF($AQ197&lt;='Premissas Gerais'!$G$6,(IF(OR(BF$167&gt;=$AQ197,BF$166=0),0,IF(SUM(BF$168:BF196)&lt;1,10%,0))),0%)</f>
        <v>0</v>
      </c>
      <c r="BG197" s="2">
        <f>IF($AQ197&lt;='Premissas Gerais'!$G$6,(IF(OR(BG$167&gt;=$AQ197,BG$166=0),0,IF(SUM(BG$168:BG196)&lt;1,10%,0))),0%)</f>
        <v>0</v>
      </c>
      <c r="BH197" s="2">
        <f>IF($AQ197&lt;='Premissas Gerais'!$G$6,(IF(OR(BH$167&gt;=$AQ197,BH$166=0),0,IF(SUM(BH$168:BH196)&lt;1,10%,0))),0%)</f>
        <v>0</v>
      </c>
      <c r="BI197" s="2">
        <f>IF($AQ197&lt;='Premissas Gerais'!$G$6,(IF(OR(BI$167&gt;=$AQ197,BI$166=0),0,IF(SUM(BI$168:BI196)&lt;1,10%,0))),0%)</f>
        <v>0</v>
      </c>
      <c r="BJ197" s="2">
        <f>IF($AQ197&lt;='Premissas Gerais'!$G$6,(IF(OR(BJ$167&gt;=$AQ197,BJ$166=0),0,IF(SUM(BJ$168:BJ196)&lt;1,10%,0))),0%)</f>
        <v>0</v>
      </c>
      <c r="BK197" s="2">
        <f ca="1">IF($AQ197&lt;='Premissas Gerais'!$G$6,(IF(OR(BK$167&gt;=$AQ197,BK$166=0),0,IF(SUM(BK$168:BK196)&lt;1,10%,0))),0%)</f>
        <v>0</v>
      </c>
      <c r="BL197" s="2">
        <f>IF($AQ197&lt;='Premissas Gerais'!$G$6,(IF(OR(BL$167&gt;=$AQ197,BL$166=0),0,IF(SUM(BL$168:BL196)&lt;1,10%,0))),0%)</f>
        <v>0</v>
      </c>
      <c r="BM197" s="2">
        <f>IF($AQ197&lt;='Premissas Gerais'!$G$6,(IF(OR(BM$167&gt;=$AQ197,BM$166=0),0,IF(SUM(BM$168:BM196)&lt;1,10%,0))),0%)</f>
        <v>0</v>
      </c>
      <c r="BN197" s="2">
        <f>IF($AQ197&lt;='Premissas Gerais'!$G$6,(IF(OR(BN$167&gt;=$AQ197,BN$166=0),0,IF(SUM(BN$168:BN196)&lt;1,10%,0))),0%)</f>
        <v>0</v>
      </c>
      <c r="BO197" s="2">
        <f>IF($AQ197&lt;='Premissas Gerais'!$G$6,(IF(OR(BO$167&gt;=$AQ197,BO$166=0),0,IF(SUM(BO$168:BO196)&lt;1,10%,0))),0%)</f>
        <v>0</v>
      </c>
      <c r="BP197" s="2">
        <f ca="1">IF($AQ197&lt;='Premissas Gerais'!$G$6,(IF(OR(BP$167&gt;=$AQ197,BP$166=0),0,IF(SUM(BP$168:BP196)&lt;1,10%,0))),0%)</f>
        <v>0</v>
      </c>
      <c r="BQ197" s="2">
        <f>IF($AQ197&lt;='Premissas Gerais'!$G$6,(IF(OR(BQ$167&gt;=$AQ197,BQ$166=0),0,IF(SUM(BQ$168:BQ196)&lt;1,10%,0))),0%)</f>
        <v>0</v>
      </c>
      <c r="BR197" s="2">
        <f>IF($AQ197&lt;='Premissas Gerais'!$G$6,(IF(OR(BR$167&gt;=$AQ197,BR$166=0),0,IF(SUM(BR$168:BR196)&lt;1,10%,0))),0%)</f>
        <v>0</v>
      </c>
      <c r="BS197" s="2">
        <f>IF($AQ197&lt;='Premissas Gerais'!$G$6,(IF(OR(BS$167&gt;=$AQ197,BS$166=0),0,IF(SUM(BS$168:BS196)&lt;1,10%,0))),0%)</f>
        <v>0</v>
      </c>
      <c r="BT197" s="2">
        <f>IF($AQ197&lt;='Premissas Gerais'!$G$6,(IF(OR(BT$167&gt;=$AQ197,BT$166=0),0,IF(SUM(BT$168:BT196)&lt;1,10%,0))),0%)</f>
        <v>0</v>
      </c>
      <c r="BU197" s="2">
        <f ca="1">IF($AQ197&lt;='Premissas Gerais'!$G$6,(IF(OR(BU$167&gt;=$AQ197,BU$166=0),0,IF(SUM(BU$168:BU196)&lt;1,10%,0))),0%)</f>
        <v>0</v>
      </c>
      <c r="BV197" s="2">
        <f>IF($AQ197&lt;='Premissas Gerais'!$G$6,(IF(OR(BV$167&gt;=$AQ197,BV$166=0),0,IF(SUM(BV$168:BV196)&lt;1,10%,0))),0%)</f>
        <v>0</v>
      </c>
      <c r="BW197" s="2">
        <f>IF($AQ197&lt;='Premissas Gerais'!$G$6,(IF(OR(BW$167&gt;=$AQ197,BW$166=0),0,IF(SUM(BW$168:BW196)&lt;1,10%,0))),0%)</f>
        <v>0</v>
      </c>
      <c r="BX197" s="2">
        <f>IF($AQ197&lt;='Premissas Gerais'!$G$6,(IF(OR(BX$167&gt;=$AQ197,BX$166=0),0,IF(SUM(BX$168:BX196)&lt;1,10%,0))),0%)</f>
        <v>0</v>
      </c>
      <c r="BY197" s="2">
        <f>IF($AQ197&lt;='Premissas Gerais'!$G$6,(IF(OR(BY$167&gt;=$AQ197,BY$166=0),0,IF(SUM(BY$168:BY196)&lt;1,10%,0))),0%)</f>
        <v>0</v>
      </c>
      <c r="BZ197" s="2">
        <f>IF($AQ197&lt;='Premissas Gerais'!$G$6,(IF(OR(BZ$167&gt;=$AQ197,BZ$166=0),0,IF(SUM(BZ$168:BZ196)&lt;1,10%,0))),0%)</f>
        <v>0</v>
      </c>
    </row>
    <row r="198" spans="3:78" outlineLevel="1">
      <c r="C198" s="155">
        <v>29</v>
      </c>
      <c r="E198" s="133">
        <f ca="1">IF(C198&lt;='Premissas Gerais'!$G$6,SUM(F198:AN198),0)</f>
        <v>0</v>
      </c>
      <c r="F198" s="4">
        <f t="shared" si="93"/>
        <v>0</v>
      </c>
      <c r="G198" s="4">
        <f t="shared" si="94"/>
        <v>0</v>
      </c>
      <c r="H198" s="4">
        <f t="shared" si="95"/>
        <v>0</v>
      </c>
      <c r="I198" s="4">
        <f t="shared" si="96"/>
        <v>0</v>
      </c>
      <c r="J198" s="4">
        <f t="shared" ca="1" si="97"/>
        <v>0</v>
      </c>
      <c r="K198" s="4">
        <f t="shared" si="98"/>
        <v>0</v>
      </c>
      <c r="L198" s="4">
        <f t="shared" si="99"/>
        <v>0</v>
      </c>
      <c r="M198" s="4">
        <f t="shared" si="100"/>
        <v>0</v>
      </c>
      <c r="N198" s="4">
        <f t="shared" si="101"/>
        <v>0</v>
      </c>
      <c r="O198" s="4">
        <f t="shared" ca="1" si="102"/>
        <v>0</v>
      </c>
      <c r="P198" s="4">
        <f t="shared" si="103"/>
        <v>0</v>
      </c>
      <c r="Q198" s="4">
        <f t="shared" si="104"/>
        <v>0</v>
      </c>
      <c r="R198" s="4">
        <f t="shared" si="105"/>
        <v>0</v>
      </c>
      <c r="S198" s="4">
        <f t="shared" si="106"/>
        <v>0</v>
      </c>
      <c r="T198" s="4">
        <f t="shared" ca="1" si="107"/>
        <v>0</v>
      </c>
      <c r="U198" s="4">
        <f t="shared" si="108"/>
        <v>0</v>
      </c>
      <c r="V198" s="4">
        <f t="shared" si="109"/>
        <v>0</v>
      </c>
      <c r="W198" s="4">
        <f t="shared" si="110"/>
        <v>0</v>
      </c>
      <c r="X198" s="4">
        <f t="shared" si="111"/>
        <v>0</v>
      </c>
      <c r="Y198" s="4">
        <f t="shared" ca="1" si="112"/>
        <v>0</v>
      </c>
      <c r="Z198" s="4">
        <f t="shared" si="113"/>
        <v>0</v>
      </c>
      <c r="AA198" s="4">
        <f t="shared" si="114"/>
        <v>0</v>
      </c>
      <c r="AB198" s="4">
        <f t="shared" si="115"/>
        <v>0</v>
      </c>
      <c r="AC198" s="4">
        <f t="shared" si="116"/>
        <v>0</v>
      </c>
      <c r="AD198" s="4">
        <f t="shared" ca="1" si="117"/>
        <v>0</v>
      </c>
      <c r="AE198" s="4">
        <f t="shared" si="118"/>
        <v>0</v>
      </c>
      <c r="AF198" s="4">
        <f t="shared" si="119"/>
        <v>0</v>
      </c>
      <c r="AG198" s="4">
        <f t="shared" si="120"/>
        <v>0</v>
      </c>
      <c r="AH198" s="4">
        <f t="shared" si="121"/>
        <v>0</v>
      </c>
      <c r="AI198" s="4">
        <f t="shared" ca="1" si="122"/>
        <v>0</v>
      </c>
      <c r="AJ198" s="4">
        <f t="shared" si="123"/>
        <v>0</v>
      </c>
      <c r="AK198" s="4">
        <f t="shared" si="124"/>
        <v>0</v>
      </c>
      <c r="AL198" s="4">
        <f t="shared" si="125"/>
        <v>0</v>
      </c>
      <c r="AM198" s="4">
        <f t="shared" si="126"/>
        <v>0</v>
      </c>
      <c r="AN198" s="4">
        <f t="shared" si="127"/>
        <v>0</v>
      </c>
      <c r="AP198" s="180">
        <f>IF(AQ198&lt;='Premissas Gerais'!$G$6,1,0)</f>
        <v>1</v>
      </c>
      <c r="AQ198" s="1">
        <v>30</v>
      </c>
      <c r="AR198" s="2">
        <f>IF($AQ198&lt;='Premissas Gerais'!$G$6,(IF(OR(AR$167&gt;=$AQ198,AR$166=0),0,IF(SUM(AR$168:AR197)&lt;1,10%,0))),0%)</f>
        <v>0</v>
      </c>
      <c r="AS198" s="2">
        <f>IF($AQ198&lt;='Premissas Gerais'!$G$6,(IF(OR(AS$167&gt;=$AQ198,AS$166=0),0,IF(SUM(AS$168:AS197)&lt;1,10%,0))),0%)</f>
        <v>0</v>
      </c>
      <c r="AT198" s="2">
        <f>IF($AQ198&lt;='Premissas Gerais'!$G$6,(IF(OR(AT$167&gt;=$AQ198,AT$166=0),0,IF(SUM(AT$168:AT197)&lt;1,10%,0))),0%)</f>
        <v>0</v>
      </c>
      <c r="AU198" s="2">
        <f>IF($AQ198&lt;='Premissas Gerais'!$G$6,(IF(OR(AU$167&gt;=$AQ198,AU$166=0),0,IF(SUM(AU$168:AU197)&lt;1,10%,0))),0%)</f>
        <v>0</v>
      </c>
      <c r="AV198" s="2">
        <f ca="1">IF($AQ198&lt;='Premissas Gerais'!$G$6,(IF(OR(AV$167&gt;=$AQ198,AV$166=0),0,IF(SUM(AV$168:AV197)&lt;1,10%,0))),0%)</f>
        <v>0</v>
      </c>
      <c r="AW198" s="2">
        <f>IF($AQ198&lt;='Premissas Gerais'!$G$6,(IF(OR(AW$167&gt;=$AQ198,AW$166=0),0,IF(SUM(AW$168:AW197)&lt;1,10%,0))),0%)</f>
        <v>0</v>
      </c>
      <c r="AX198" s="2">
        <f>IF($AQ198&lt;='Premissas Gerais'!$G$6,(IF(OR(AX$167&gt;=$AQ198,AX$166=0),0,IF(SUM(AX$168:AX197)&lt;1,10%,0))),0%)</f>
        <v>0</v>
      </c>
      <c r="AY198" s="2">
        <f>IF($AQ198&lt;='Premissas Gerais'!$G$6,(IF(OR(AY$167&gt;=$AQ198,AY$166=0),0,IF(SUM(AY$168:AY197)&lt;1,10%,0))),0%)</f>
        <v>0</v>
      </c>
      <c r="AZ198" s="2">
        <f>IF($AQ198&lt;='Premissas Gerais'!$G$6,(IF(OR(AZ$167&gt;=$AQ198,AZ$166=0),0,IF(SUM(AZ$168:AZ197)&lt;1,10%,0))),0%)</f>
        <v>0</v>
      </c>
      <c r="BA198" s="2">
        <f ca="1">IF($AQ198&lt;='Premissas Gerais'!$G$6,(IF(OR(BA$167&gt;=$AQ198,BA$166=0),0,IF(SUM(BA$168:BA197)&lt;1,10%,0))),0%)</f>
        <v>0</v>
      </c>
      <c r="BB198" s="2">
        <f>IF($AQ198&lt;='Premissas Gerais'!$G$6,(IF(OR(BB$167&gt;=$AQ198,BB$166=0),0,IF(SUM(BB$168:BB197)&lt;1,10%,0))),0%)</f>
        <v>0</v>
      </c>
      <c r="BC198" s="2">
        <f>IF($AQ198&lt;='Premissas Gerais'!$G$6,(IF(OR(BC$167&gt;=$AQ198,BC$166=0),0,IF(SUM(BC$168:BC197)&lt;1,10%,0))),0%)</f>
        <v>0</v>
      </c>
      <c r="BD198" s="2">
        <f>IF($AQ198&lt;='Premissas Gerais'!$G$6,(IF(OR(BD$167&gt;=$AQ198,BD$166=0),0,IF(SUM(BD$168:BD197)&lt;1,10%,0))),0%)</f>
        <v>0</v>
      </c>
      <c r="BE198" s="2">
        <f>IF($AQ198&lt;='Premissas Gerais'!$G$6,(IF(OR(BE$167&gt;=$AQ198,BE$166=0),0,IF(SUM(BE$168:BE197)&lt;1,10%,0))),0%)</f>
        <v>0</v>
      </c>
      <c r="BF198" s="2">
        <f ca="1">IF($AQ198&lt;='Premissas Gerais'!$G$6,(IF(OR(BF$167&gt;=$AQ198,BF$166=0),0,IF(SUM(BF$168:BF197)&lt;1,10%,0))),0%)</f>
        <v>0</v>
      </c>
      <c r="BG198" s="2">
        <f>IF($AQ198&lt;='Premissas Gerais'!$G$6,(IF(OR(BG$167&gt;=$AQ198,BG$166=0),0,IF(SUM(BG$168:BG197)&lt;1,10%,0))),0%)</f>
        <v>0</v>
      </c>
      <c r="BH198" s="2">
        <f>IF($AQ198&lt;='Premissas Gerais'!$G$6,(IF(OR(BH$167&gt;=$AQ198,BH$166=0),0,IF(SUM(BH$168:BH197)&lt;1,10%,0))),0%)</f>
        <v>0</v>
      </c>
      <c r="BI198" s="2">
        <f>IF($AQ198&lt;='Premissas Gerais'!$G$6,(IF(OR(BI$167&gt;=$AQ198,BI$166=0),0,IF(SUM(BI$168:BI197)&lt;1,10%,0))),0%)</f>
        <v>0</v>
      </c>
      <c r="BJ198" s="2">
        <f>IF($AQ198&lt;='Premissas Gerais'!$G$6,(IF(OR(BJ$167&gt;=$AQ198,BJ$166=0),0,IF(SUM(BJ$168:BJ197)&lt;1,10%,0))),0%)</f>
        <v>0</v>
      </c>
      <c r="BK198" s="2">
        <f ca="1">IF($AQ198&lt;='Premissas Gerais'!$G$6,(IF(OR(BK$167&gt;=$AQ198,BK$166=0),0,IF(SUM(BK$168:BK197)&lt;1,10%,0))),0%)</f>
        <v>0</v>
      </c>
      <c r="BL198" s="2">
        <f>IF($AQ198&lt;='Premissas Gerais'!$G$6,(IF(OR(BL$167&gt;=$AQ198,BL$166=0),0,IF(SUM(BL$168:BL197)&lt;1,10%,0))),0%)</f>
        <v>0</v>
      </c>
      <c r="BM198" s="2">
        <f>IF($AQ198&lt;='Premissas Gerais'!$G$6,(IF(OR(BM$167&gt;=$AQ198,BM$166=0),0,IF(SUM(BM$168:BM197)&lt;1,10%,0))),0%)</f>
        <v>0</v>
      </c>
      <c r="BN198" s="2">
        <f>IF($AQ198&lt;='Premissas Gerais'!$G$6,(IF(OR(BN$167&gt;=$AQ198,BN$166=0),0,IF(SUM(BN$168:BN197)&lt;1,10%,0))),0%)</f>
        <v>0</v>
      </c>
      <c r="BO198" s="2">
        <f>IF($AQ198&lt;='Premissas Gerais'!$G$6,(IF(OR(BO$167&gt;=$AQ198,BO$166=0),0,IF(SUM(BO$168:BO197)&lt;1,10%,0))),0%)</f>
        <v>0</v>
      </c>
      <c r="BP198" s="2">
        <f ca="1">IF($AQ198&lt;='Premissas Gerais'!$G$6,(IF(OR(BP$167&gt;=$AQ198,BP$166=0),0,IF(SUM(BP$168:BP197)&lt;1,10%,0))),0%)</f>
        <v>0</v>
      </c>
      <c r="BQ198" s="2">
        <f>IF($AQ198&lt;='Premissas Gerais'!$G$6,(IF(OR(BQ$167&gt;=$AQ198,BQ$166=0),0,IF(SUM(BQ$168:BQ197)&lt;1,10%,0))),0%)</f>
        <v>0</v>
      </c>
      <c r="BR198" s="2">
        <f>IF($AQ198&lt;='Premissas Gerais'!$G$6,(IF(OR(BR$167&gt;=$AQ198,BR$166=0),0,IF(SUM(BR$168:BR197)&lt;1,10%,0))),0%)</f>
        <v>0</v>
      </c>
      <c r="BS198" s="2">
        <f>IF($AQ198&lt;='Premissas Gerais'!$G$6,(IF(OR(BS$167&gt;=$AQ198,BS$166=0),0,IF(SUM(BS$168:BS197)&lt;1,10%,0))),0%)</f>
        <v>0</v>
      </c>
      <c r="BT198" s="2">
        <f>IF($AQ198&lt;='Premissas Gerais'!$G$6,(IF(OR(BT$167&gt;=$AQ198,BT$166=0),0,IF(SUM(BT$168:BT197)&lt;1,10%,0))),0%)</f>
        <v>0</v>
      </c>
      <c r="BU198" s="2">
        <f ca="1">IF($AQ198&lt;='Premissas Gerais'!$G$6,(IF(OR(BU$167&gt;=$AQ198,BU$166=0),0,IF(SUM(BU$168:BU197)&lt;1,10%,0))),0%)</f>
        <v>0</v>
      </c>
      <c r="BV198" s="2">
        <f>IF($AQ198&lt;='Premissas Gerais'!$G$6,(IF(OR(BV$167&gt;=$AQ198,BV$166=0),0,IF(SUM(BV$168:BV197)&lt;1,10%,0))),0%)</f>
        <v>0</v>
      </c>
      <c r="BW198" s="2">
        <f>IF($AQ198&lt;='Premissas Gerais'!$G$6,(IF(OR(BW$167&gt;=$AQ198,BW$166=0),0,IF(SUM(BW$168:BW197)&lt;1,10%,0))),0%)</f>
        <v>0</v>
      </c>
      <c r="BX198" s="2">
        <f>IF($AQ198&lt;='Premissas Gerais'!$G$6,(IF(OR(BX$167&gt;=$AQ198,BX$166=0),0,IF(SUM(BX$168:BX197)&lt;1,10%,0))),0%)</f>
        <v>0</v>
      </c>
      <c r="BY198" s="2">
        <f>IF($AQ198&lt;='Premissas Gerais'!$G$6,(IF(OR(BY$167&gt;=$AQ198,BY$166=0),0,IF(SUM(BY$168:BY197)&lt;1,10%,0))),0%)</f>
        <v>0</v>
      </c>
      <c r="BZ198" s="2">
        <f>IF($AQ198&lt;='Premissas Gerais'!$G$6,(IF(OR(BZ$167&gt;=$AQ198,BZ$166=0),0,IF(SUM(BZ$168:BZ197)&lt;1,10%,0))),0%)</f>
        <v>0</v>
      </c>
    </row>
    <row r="199" spans="3:78" outlineLevel="1">
      <c r="C199" s="155">
        <v>30</v>
      </c>
      <c r="E199" s="133">
        <f ca="1">IF(C199&lt;='Premissas Gerais'!$G$6,SUM(F199:AN199),0)</f>
        <v>0</v>
      </c>
      <c r="F199" s="4">
        <f t="shared" si="93"/>
        <v>0</v>
      </c>
      <c r="G199" s="4">
        <f t="shared" si="94"/>
        <v>0</v>
      </c>
      <c r="H199" s="4">
        <f t="shared" si="95"/>
        <v>0</v>
      </c>
      <c r="I199" s="4">
        <f t="shared" si="96"/>
        <v>0</v>
      </c>
      <c r="J199" s="4">
        <f t="shared" ca="1" si="97"/>
        <v>0</v>
      </c>
      <c r="K199" s="4">
        <f t="shared" si="98"/>
        <v>0</v>
      </c>
      <c r="L199" s="4">
        <f t="shared" si="99"/>
        <v>0</v>
      </c>
      <c r="M199" s="4">
        <f t="shared" si="100"/>
        <v>0</v>
      </c>
      <c r="N199" s="4">
        <f t="shared" si="101"/>
        <v>0</v>
      </c>
      <c r="O199" s="4">
        <f t="shared" ca="1" si="102"/>
        <v>0</v>
      </c>
      <c r="P199" s="4">
        <f t="shared" si="103"/>
        <v>0</v>
      </c>
      <c r="Q199" s="4">
        <f t="shared" si="104"/>
        <v>0</v>
      </c>
      <c r="R199" s="4">
        <f t="shared" si="105"/>
        <v>0</v>
      </c>
      <c r="S199" s="4">
        <f t="shared" si="106"/>
        <v>0</v>
      </c>
      <c r="T199" s="4">
        <f t="shared" ca="1" si="107"/>
        <v>0</v>
      </c>
      <c r="U199" s="4">
        <f t="shared" si="108"/>
        <v>0</v>
      </c>
      <c r="V199" s="4">
        <f t="shared" si="109"/>
        <v>0</v>
      </c>
      <c r="W199" s="4">
        <f t="shared" si="110"/>
        <v>0</v>
      </c>
      <c r="X199" s="4">
        <f t="shared" si="111"/>
        <v>0</v>
      </c>
      <c r="Y199" s="4">
        <f t="shared" ca="1" si="112"/>
        <v>0</v>
      </c>
      <c r="Z199" s="4">
        <f t="shared" si="113"/>
        <v>0</v>
      </c>
      <c r="AA199" s="4">
        <f t="shared" si="114"/>
        <v>0</v>
      </c>
      <c r="AB199" s="4">
        <f t="shared" si="115"/>
        <v>0</v>
      </c>
      <c r="AC199" s="4">
        <f t="shared" si="116"/>
        <v>0</v>
      </c>
      <c r="AD199" s="4">
        <f t="shared" ca="1" si="117"/>
        <v>0</v>
      </c>
      <c r="AE199" s="4">
        <f t="shared" si="118"/>
        <v>0</v>
      </c>
      <c r="AF199" s="4">
        <f t="shared" si="119"/>
        <v>0</v>
      </c>
      <c r="AG199" s="4">
        <f t="shared" si="120"/>
        <v>0</v>
      </c>
      <c r="AH199" s="4">
        <f t="shared" si="121"/>
        <v>0</v>
      </c>
      <c r="AI199" s="4">
        <f t="shared" ca="1" si="122"/>
        <v>0</v>
      </c>
      <c r="AJ199" s="4">
        <f t="shared" si="123"/>
        <v>0</v>
      </c>
      <c r="AK199" s="4">
        <f t="shared" si="124"/>
        <v>0</v>
      </c>
      <c r="AL199" s="4">
        <f t="shared" si="125"/>
        <v>0</v>
      </c>
      <c r="AM199" s="4">
        <f t="shared" si="126"/>
        <v>0</v>
      </c>
      <c r="AN199" s="4">
        <f t="shared" si="127"/>
        <v>0</v>
      </c>
      <c r="AP199" s="180">
        <f>IF(AQ199&lt;='Premissas Gerais'!$G$6,1,0)</f>
        <v>1</v>
      </c>
      <c r="AQ199" s="1">
        <v>31</v>
      </c>
      <c r="AR199" s="2">
        <f>IF($AQ199&lt;='Premissas Gerais'!$G$6,(IF(OR(AR$167&gt;=$AQ199,AR$166=0),0,IF(SUM(AR$168:AR198)&lt;1,10%,0))),0%)</f>
        <v>0</v>
      </c>
      <c r="AS199" s="2">
        <f>IF($AQ199&lt;='Premissas Gerais'!$G$6,(IF(OR(AS$167&gt;=$AQ199,AS$166=0),0,IF(SUM(AS$168:AS198)&lt;1,10%,0))),0%)</f>
        <v>0</v>
      </c>
      <c r="AT199" s="2">
        <f>IF($AQ199&lt;='Premissas Gerais'!$G$6,(IF(OR(AT$167&gt;=$AQ199,AT$166=0),0,IF(SUM(AT$168:AT198)&lt;1,10%,0))),0%)</f>
        <v>0</v>
      </c>
      <c r="AU199" s="2">
        <f>IF($AQ199&lt;='Premissas Gerais'!$G$6,(IF(OR(AU$167&gt;=$AQ199,AU$166=0),0,IF(SUM(AU$168:AU198)&lt;1,10%,0))),0%)</f>
        <v>0</v>
      </c>
      <c r="AV199" s="2">
        <f ca="1">IF($AQ199&lt;='Premissas Gerais'!$G$6,(IF(OR(AV$167&gt;=$AQ199,AV$166=0),0,IF(SUM(AV$168:AV198)&lt;1,10%,0))),0%)</f>
        <v>0</v>
      </c>
      <c r="AW199" s="2">
        <f>IF($AQ199&lt;='Premissas Gerais'!$G$6,(IF(OR(AW$167&gt;=$AQ199,AW$166=0),0,IF(SUM(AW$168:AW198)&lt;1,10%,0))),0%)</f>
        <v>0</v>
      </c>
      <c r="AX199" s="2">
        <f>IF($AQ199&lt;='Premissas Gerais'!$G$6,(IF(OR(AX$167&gt;=$AQ199,AX$166=0),0,IF(SUM(AX$168:AX198)&lt;1,10%,0))),0%)</f>
        <v>0</v>
      </c>
      <c r="AY199" s="2">
        <f>IF($AQ199&lt;='Premissas Gerais'!$G$6,(IF(OR(AY$167&gt;=$AQ199,AY$166=0),0,IF(SUM(AY$168:AY198)&lt;1,10%,0))),0%)</f>
        <v>0</v>
      </c>
      <c r="AZ199" s="2">
        <f>IF($AQ199&lt;='Premissas Gerais'!$G$6,(IF(OR(AZ$167&gt;=$AQ199,AZ$166=0),0,IF(SUM(AZ$168:AZ198)&lt;1,10%,0))),0%)</f>
        <v>0</v>
      </c>
      <c r="BA199" s="2">
        <f ca="1">IF($AQ199&lt;='Premissas Gerais'!$G$6,(IF(OR(BA$167&gt;=$AQ199,BA$166=0),0,IF(SUM(BA$168:BA198)&lt;1,10%,0))),0%)</f>
        <v>0</v>
      </c>
      <c r="BB199" s="2">
        <f>IF($AQ199&lt;='Premissas Gerais'!$G$6,(IF(OR(BB$167&gt;=$AQ199,BB$166=0),0,IF(SUM(BB$168:BB198)&lt;1,10%,0))),0%)</f>
        <v>0</v>
      </c>
      <c r="BC199" s="2">
        <f>IF($AQ199&lt;='Premissas Gerais'!$G$6,(IF(OR(BC$167&gt;=$AQ199,BC$166=0),0,IF(SUM(BC$168:BC198)&lt;1,10%,0))),0%)</f>
        <v>0</v>
      </c>
      <c r="BD199" s="2">
        <f>IF($AQ199&lt;='Premissas Gerais'!$G$6,(IF(OR(BD$167&gt;=$AQ199,BD$166=0),0,IF(SUM(BD$168:BD198)&lt;1,10%,0))),0%)</f>
        <v>0</v>
      </c>
      <c r="BE199" s="2">
        <f>IF($AQ199&lt;='Premissas Gerais'!$G$6,(IF(OR(BE$167&gt;=$AQ199,BE$166=0),0,IF(SUM(BE$168:BE198)&lt;1,10%,0))),0%)</f>
        <v>0</v>
      </c>
      <c r="BF199" s="2">
        <f ca="1">IF($AQ199&lt;='Premissas Gerais'!$G$6,(IF(OR(BF$167&gt;=$AQ199,BF$166=0),0,IF(SUM(BF$168:BF198)&lt;1,10%,0))),0%)</f>
        <v>0</v>
      </c>
      <c r="BG199" s="2">
        <f>IF($AQ199&lt;='Premissas Gerais'!$G$6,(IF(OR(BG$167&gt;=$AQ199,BG$166=0),0,IF(SUM(BG$168:BG198)&lt;1,10%,0))),0%)</f>
        <v>0</v>
      </c>
      <c r="BH199" s="2">
        <f>IF($AQ199&lt;='Premissas Gerais'!$G$6,(IF(OR(BH$167&gt;=$AQ199,BH$166=0),0,IF(SUM(BH$168:BH198)&lt;1,10%,0))),0%)</f>
        <v>0</v>
      </c>
      <c r="BI199" s="2">
        <f>IF($AQ199&lt;='Premissas Gerais'!$G$6,(IF(OR(BI$167&gt;=$AQ199,BI$166=0),0,IF(SUM(BI$168:BI198)&lt;1,10%,0))),0%)</f>
        <v>0</v>
      </c>
      <c r="BJ199" s="2">
        <f>IF($AQ199&lt;='Premissas Gerais'!$G$6,(IF(OR(BJ$167&gt;=$AQ199,BJ$166=0),0,IF(SUM(BJ$168:BJ198)&lt;1,10%,0))),0%)</f>
        <v>0</v>
      </c>
      <c r="BK199" s="2">
        <f ca="1">IF($AQ199&lt;='Premissas Gerais'!$G$6,(IF(OR(BK$167&gt;=$AQ199,BK$166=0),0,IF(SUM(BK$168:BK198)&lt;1,10%,0))),0%)</f>
        <v>0</v>
      </c>
      <c r="BL199" s="2">
        <f>IF($AQ199&lt;='Premissas Gerais'!$G$6,(IF(OR(BL$167&gt;=$AQ199,BL$166=0),0,IF(SUM(BL$168:BL198)&lt;1,10%,0))),0%)</f>
        <v>0</v>
      </c>
      <c r="BM199" s="2">
        <f>IF($AQ199&lt;='Premissas Gerais'!$G$6,(IF(OR(BM$167&gt;=$AQ199,BM$166=0),0,IF(SUM(BM$168:BM198)&lt;1,10%,0))),0%)</f>
        <v>0</v>
      </c>
      <c r="BN199" s="2">
        <f>IF($AQ199&lt;='Premissas Gerais'!$G$6,(IF(OR(BN$167&gt;=$AQ199,BN$166=0),0,IF(SUM(BN$168:BN198)&lt;1,10%,0))),0%)</f>
        <v>0</v>
      </c>
      <c r="BO199" s="2">
        <f>IF($AQ199&lt;='Premissas Gerais'!$G$6,(IF(OR(BO$167&gt;=$AQ199,BO$166=0),0,IF(SUM(BO$168:BO198)&lt;1,10%,0))),0%)</f>
        <v>0</v>
      </c>
      <c r="BP199" s="2">
        <f ca="1">IF($AQ199&lt;='Premissas Gerais'!$G$6,(IF(OR(BP$167&gt;=$AQ199,BP$166=0),0,IF(SUM(BP$168:BP198)&lt;1,10%,0))),0%)</f>
        <v>0</v>
      </c>
      <c r="BQ199" s="2">
        <f>IF($AQ199&lt;='Premissas Gerais'!$G$6,(IF(OR(BQ$167&gt;=$AQ199,BQ$166=0),0,IF(SUM(BQ$168:BQ198)&lt;1,10%,0))),0%)</f>
        <v>0</v>
      </c>
      <c r="BR199" s="2">
        <f>IF($AQ199&lt;='Premissas Gerais'!$G$6,(IF(OR(BR$167&gt;=$AQ199,BR$166=0),0,IF(SUM(BR$168:BR198)&lt;1,10%,0))),0%)</f>
        <v>0</v>
      </c>
      <c r="BS199" s="2">
        <f>IF($AQ199&lt;='Premissas Gerais'!$G$6,(IF(OR(BS$167&gt;=$AQ199,BS$166=0),0,IF(SUM(BS$168:BS198)&lt;1,10%,0))),0%)</f>
        <v>0</v>
      </c>
      <c r="BT199" s="2">
        <f>IF($AQ199&lt;='Premissas Gerais'!$G$6,(IF(OR(BT$167&gt;=$AQ199,BT$166=0),0,IF(SUM(BT$168:BT198)&lt;1,10%,0))),0%)</f>
        <v>0</v>
      </c>
      <c r="BU199" s="2">
        <f ca="1">IF($AQ199&lt;='Premissas Gerais'!$G$6,(IF(OR(BU$167&gt;=$AQ199,BU$166=0),0,IF(SUM(BU$168:BU198)&lt;1,10%,0))),0%)</f>
        <v>0</v>
      </c>
      <c r="BV199" s="2">
        <f>IF($AQ199&lt;='Premissas Gerais'!$G$6,(IF(OR(BV$167&gt;=$AQ199,BV$166=0),0,IF(SUM(BV$168:BV198)&lt;1,10%,0))),0%)</f>
        <v>0</v>
      </c>
      <c r="BW199" s="2">
        <f>IF($AQ199&lt;='Premissas Gerais'!$G$6,(IF(OR(BW$167&gt;=$AQ199,BW$166=0),0,IF(SUM(BW$168:BW198)&lt;1,10%,0))),0%)</f>
        <v>0</v>
      </c>
      <c r="BX199" s="2">
        <f>IF($AQ199&lt;='Premissas Gerais'!$G$6,(IF(OR(BX$167&gt;=$AQ199,BX$166=0),0,IF(SUM(BX$168:BX198)&lt;1,10%,0))),0%)</f>
        <v>0</v>
      </c>
      <c r="BY199" s="2">
        <f>IF($AQ199&lt;='Premissas Gerais'!$G$6,(IF(OR(BY$167&gt;=$AQ199,BY$166=0),0,IF(SUM(BY$168:BY198)&lt;1,10%,0))),0%)</f>
        <v>0</v>
      </c>
      <c r="BZ199" s="2">
        <f>IF($AQ199&lt;='Premissas Gerais'!$G$6,(IF(OR(BZ$167&gt;=$AQ199,BZ$166=0),0,IF(SUM(BZ$168:BZ198)&lt;1,10%,0))),0%)</f>
        <v>0</v>
      </c>
    </row>
    <row r="200" spans="3:78" outlineLevel="1">
      <c r="C200" s="155">
        <v>31</v>
      </c>
      <c r="E200" s="133">
        <f ca="1">IF(C200&lt;='Premissas Gerais'!$G$6,SUM(F200:AN200),0)</f>
        <v>0</v>
      </c>
      <c r="F200" s="4">
        <f>AR199*F$127</f>
        <v>0</v>
      </c>
      <c r="G200" s="4">
        <f t="shared" si="94"/>
        <v>0</v>
      </c>
      <c r="H200" s="4">
        <f t="shared" si="95"/>
        <v>0</v>
      </c>
      <c r="I200" s="4">
        <f t="shared" si="96"/>
        <v>0</v>
      </c>
      <c r="J200" s="4">
        <f t="shared" ca="1" si="97"/>
        <v>0</v>
      </c>
      <c r="K200" s="4">
        <f t="shared" si="98"/>
        <v>0</v>
      </c>
      <c r="L200" s="4">
        <f t="shared" si="99"/>
        <v>0</v>
      </c>
      <c r="M200" s="4">
        <f t="shared" si="100"/>
        <v>0</v>
      </c>
      <c r="N200" s="4">
        <f t="shared" si="101"/>
        <v>0</v>
      </c>
      <c r="O200" s="4">
        <f t="shared" ca="1" si="102"/>
        <v>0</v>
      </c>
      <c r="P200" s="4">
        <f t="shared" si="103"/>
        <v>0</v>
      </c>
      <c r="Q200" s="4">
        <f t="shared" si="104"/>
        <v>0</v>
      </c>
      <c r="R200" s="4">
        <f t="shared" si="105"/>
        <v>0</v>
      </c>
      <c r="S200" s="4">
        <f t="shared" si="106"/>
        <v>0</v>
      </c>
      <c r="T200" s="4">
        <f t="shared" ca="1" si="107"/>
        <v>0</v>
      </c>
      <c r="U200" s="4">
        <f t="shared" si="108"/>
        <v>0</v>
      </c>
      <c r="V200" s="4">
        <f t="shared" si="109"/>
        <v>0</v>
      </c>
      <c r="W200" s="4">
        <f t="shared" si="110"/>
        <v>0</v>
      </c>
      <c r="X200" s="4">
        <f t="shared" si="111"/>
        <v>0</v>
      </c>
      <c r="Y200" s="4">
        <f t="shared" ca="1" si="112"/>
        <v>0</v>
      </c>
      <c r="Z200" s="4">
        <f t="shared" si="113"/>
        <v>0</v>
      </c>
      <c r="AA200" s="4">
        <f t="shared" si="114"/>
        <v>0</v>
      </c>
      <c r="AB200" s="4">
        <f t="shared" si="115"/>
        <v>0</v>
      </c>
      <c r="AC200" s="4">
        <f t="shared" si="116"/>
        <v>0</v>
      </c>
      <c r="AD200" s="4">
        <f t="shared" ca="1" si="117"/>
        <v>0</v>
      </c>
      <c r="AE200" s="4">
        <f t="shared" si="118"/>
        <v>0</v>
      </c>
      <c r="AF200" s="4">
        <f t="shared" si="119"/>
        <v>0</v>
      </c>
      <c r="AG200" s="4">
        <f t="shared" si="120"/>
        <v>0</v>
      </c>
      <c r="AH200" s="4">
        <f t="shared" si="121"/>
        <v>0</v>
      </c>
      <c r="AI200" s="4">
        <f t="shared" ca="1" si="122"/>
        <v>0</v>
      </c>
      <c r="AJ200" s="4">
        <f t="shared" si="123"/>
        <v>0</v>
      </c>
      <c r="AK200" s="4">
        <f t="shared" si="124"/>
        <v>0</v>
      </c>
      <c r="AL200" s="4">
        <f t="shared" si="125"/>
        <v>0</v>
      </c>
      <c r="AM200" s="4">
        <f t="shared" si="126"/>
        <v>0</v>
      </c>
      <c r="AN200" s="4">
        <f t="shared" si="127"/>
        <v>0</v>
      </c>
      <c r="AP200" s="180">
        <f>IF(AQ200&lt;='Premissas Gerais'!$G$6,1,0)</f>
        <v>1</v>
      </c>
      <c r="AQ200" s="1">
        <v>32</v>
      </c>
      <c r="AR200" s="2">
        <f>IF($AQ200&lt;='Premissas Gerais'!$G$6,(IF(OR(AR$167&gt;=$AQ200,AR$166=0),0,IF(SUM(AR$168:AR199)&lt;1,10%,0))),0%)</f>
        <v>0</v>
      </c>
      <c r="AS200" s="2">
        <f>IF($AQ200&lt;='Premissas Gerais'!$G$6,(IF(OR(AS$167&gt;=$AQ200,AS$166=0),0,IF(SUM(AS$168:AS199)&lt;1,10%,0))),0%)</f>
        <v>0</v>
      </c>
      <c r="AT200" s="2">
        <f>IF($AQ200&lt;='Premissas Gerais'!$G$6,(IF(OR(AT$167&gt;=$AQ200,AT$166=0),0,IF(SUM(AT$168:AT199)&lt;1,10%,0))),0%)</f>
        <v>0</v>
      </c>
      <c r="AU200" s="2">
        <f>IF($AQ200&lt;='Premissas Gerais'!$G$6,(IF(OR(AU$167&gt;=$AQ200,AU$166=0),0,IF(SUM(AU$168:AU199)&lt;1,10%,0))),0%)</f>
        <v>0</v>
      </c>
      <c r="AV200" s="2">
        <f ca="1">IF($AQ200&lt;='Premissas Gerais'!$G$6,(IF(OR(AV$167&gt;=$AQ200,AV$166=0),0,IF(SUM(AV$168:AV199)&lt;1,10%,0))),0%)</f>
        <v>0</v>
      </c>
      <c r="AW200" s="2">
        <f>IF($AQ200&lt;='Premissas Gerais'!$G$6,(IF(OR(AW$167&gt;=$AQ200,AW$166=0),0,IF(SUM(AW$168:AW199)&lt;1,10%,0))),0%)</f>
        <v>0</v>
      </c>
      <c r="AX200" s="2">
        <f>IF($AQ200&lt;='Premissas Gerais'!$G$6,(IF(OR(AX$167&gt;=$AQ200,AX$166=0),0,IF(SUM(AX$168:AX199)&lt;1,10%,0))),0%)</f>
        <v>0</v>
      </c>
      <c r="AY200" s="2">
        <f>IF($AQ200&lt;='Premissas Gerais'!$G$6,(IF(OR(AY$167&gt;=$AQ200,AY$166=0),0,IF(SUM(AY$168:AY199)&lt;1,10%,0))),0%)</f>
        <v>0</v>
      </c>
      <c r="AZ200" s="2">
        <f>IF($AQ200&lt;='Premissas Gerais'!$G$6,(IF(OR(AZ$167&gt;=$AQ200,AZ$166=0),0,IF(SUM(AZ$168:AZ199)&lt;1,10%,0))),0%)</f>
        <v>0</v>
      </c>
      <c r="BA200" s="2">
        <f ca="1">IF($AQ200&lt;='Premissas Gerais'!$G$6,(IF(OR(BA$167&gt;=$AQ200,BA$166=0),0,IF(SUM(BA$168:BA199)&lt;1,10%,0))),0%)</f>
        <v>0</v>
      </c>
      <c r="BB200" s="2">
        <f>IF($AQ200&lt;='Premissas Gerais'!$G$6,(IF(OR(BB$167&gt;=$AQ200,BB$166=0),0,IF(SUM(BB$168:BB199)&lt;1,10%,0))),0%)</f>
        <v>0</v>
      </c>
      <c r="BC200" s="2">
        <f>IF($AQ200&lt;='Premissas Gerais'!$G$6,(IF(OR(BC$167&gt;=$AQ200,BC$166=0),0,IF(SUM(BC$168:BC199)&lt;1,10%,0))),0%)</f>
        <v>0</v>
      </c>
      <c r="BD200" s="2">
        <f>IF($AQ200&lt;='Premissas Gerais'!$G$6,(IF(OR(BD$167&gt;=$AQ200,BD$166=0),0,IF(SUM(BD$168:BD199)&lt;1,10%,0))),0%)</f>
        <v>0</v>
      </c>
      <c r="BE200" s="2">
        <f>IF($AQ200&lt;='Premissas Gerais'!$G$6,(IF(OR(BE$167&gt;=$AQ200,BE$166=0),0,IF(SUM(BE$168:BE199)&lt;1,10%,0))),0%)</f>
        <v>0</v>
      </c>
      <c r="BF200" s="2">
        <f ca="1">IF($AQ200&lt;='Premissas Gerais'!$G$6,(IF(OR(BF$167&gt;=$AQ200,BF$166=0),0,IF(SUM(BF$168:BF199)&lt;1,10%,0))),0%)</f>
        <v>0</v>
      </c>
      <c r="BG200" s="2">
        <f>IF($AQ200&lt;='Premissas Gerais'!$G$6,(IF(OR(BG$167&gt;=$AQ200,BG$166=0),0,IF(SUM(BG$168:BG199)&lt;1,10%,0))),0%)</f>
        <v>0</v>
      </c>
      <c r="BH200" s="2">
        <f>IF($AQ200&lt;='Premissas Gerais'!$G$6,(IF(OR(BH$167&gt;=$AQ200,BH$166=0),0,IF(SUM(BH$168:BH199)&lt;1,10%,0))),0%)</f>
        <v>0</v>
      </c>
      <c r="BI200" s="2">
        <f>IF($AQ200&lt;='Premissas Gerais'!$G$6,(IF(OR(BI$167&gt;=$AQ200,BI$166=0),0,IF(SUM(BI$168:BI199)&lt;1,10%,0))),0%)</f>
        <v>0</v>
      </c>
      <c r="BJ200" s="2">
        <f>IF($AQ200&lt;='Premissas Gerais'!$G$6,(IF(OR(BJ$167&gt;=$AQ200,BJ$166=0),0,IF(SUM(BJ$168:BJ199)&lt;1,10%,0))),0%)</f>
        <v>0</v>
      </c>
      <c r="BK200" s="2">
        <f ca="1">IF($AQ200&lt;='Premissas Gerais'!$G$6,(IF(OR(BK$167&gt;=$AQ200,BK$166=0),0,IF(SUM(BK$168:BK199)&lt;1,10%,0))),0%)</f>
        <v>0</v>
      </c>
      <c r="BL200" s="2">
        <f>IF($AQ200&lt;='Premissas Gerais'!$G$6,(IF(OR(BL$167&gt;=$AQ200,BL$166=0),0,IF(SUM(BL$168:BL199)&lt;1,10%,0))),0%)</f>
        <v>0</v>
      </c>
      <c r="BM200" s="2">
        <f>IF($AQ200&lt;='Premissas Gerais'!$G$6,(IF(OR(BM$167&gt;=$AQ200,BM$166=0),0,IF(SUM(BM$168:BM199)&lt;1,10%,0))),0%)</f>
        <v>0</v>
      </c>
      <c r="BN200" s="2">
        <f>IF($AQ200&lt;='Premissas Gerais'!$G$6,(IF(OR(BN$167&gt;=$AQ200,BN$166=0),0,IF(SUM(BN$168:BN199)&lt;1,10%,0))),0%)</f>
        <v>0</v>
      </c>
      <c r="BO200" s="2">
        <f>IF($AQ200&lt;='Premissas Gerais'!$G$6,(IF(OR(BO$167&gt;=$AQ200,BO$166=0),0,IF(SUM(BO$168:BO199)&lt;1,10%,0))),0%)</f>
        <v>0</v>
      </c>
      <c r="BP200" s="2">
        <f ca="1">IF($AQ200&lt;='Premissas Gerais'!$G$6,(IF(OR(BP$167&gt;=$AQ200,BP$166=0),0,IF(SUM(BP$168:BP199)&lt;1,10%,0))),0%)</f>
        <v>0</v>
      </c>
      <c r="BQ200" s="2">
        <f>IF($AQ200&lt;='Premissas Gerais'!$G$6,(IF(OR(BQ$167&gt;=$AQ200,BQ$166=0),0,IF(SUM(BQ$168:BQ199)&lt;1,10%,0))),0%)</f>
        <v>0</v>
      </c>
      <c r="BR200" s="2">
        <f>IF($AQ200&lt;='Premissas Gerais'!$G$6,(IF(OR(BR$167&gt;=$AQ200,BR$166=0),0,IF(SUM(BR$168:BR199)&lt;1,10%,0))),0%)</f>
        <v>0</v>
      </c>
      <c r="BS200" s="2">
        <f>IF($AQ200&lt;='Premissas Gerais'!$G$6,(IF(OR(BS$167&gt;=$AQ200,BS$166=0),0,IF(SUM(BS$168:BS199)&lt;1,10%,0))),0%)</f>
        <v>0</v>
      </c>
      <c r="BT200" s="2">
        <f>IF($AQ200&lt;='Premissas Gerais'!$G$6,(IF(OR(BT$167&gt;=$AQ200,BT$166=0),0,IF(SUM(BT$168:BT199)&lt;1,10%,0))),0%)</f>
        <v>0</v>
      </c>
      <c r="BU200" s="2">
        <f ca="1">IF($AQ200&lt;='Premissas Gerais'!$G$6,(IF(OR(BU$167&gt;=$AQ200,BU$166=0),0,IF(SUM(BU$168:BU199)&lt;1,10%,0))),0%)</f>
        <v>0</v>
      </c>
      <c r="BV200" s="2">
        <f>IF($AQ200&lt;='Premissas Gerais'!$G$6,(IF(OR(BV$167&gt;=$AQ200,BV$166=0),0,IF(SUM(BV$168:BV199)&lt;1,10%,0))),0%)</f>
        <v>0</v>
      </c>
      <c r="BW200" s="2">
        <f>IF($AQ200&lt;='Premissas Gerais'!$G$6,(IF(OR(BW$167&gt;=$AQ200,BW$166=0),0,IF(SUM(BW$168:BW199)&lt;1,10%,0))),0%)</f>
        <v>0</v>
      </c>
      <c r="BX200" s="2">
        <f>IF($AQ200&lt;='Premissas Gerais'!$G$6,(IF(OR(BX$167&gt;=$AQ200,BX$166=0),0,IF(SUM(BX$168:BX199)&lt;1,10%,0))),0%)</f>
        <v>0</v>
      </c>
      <c r="BY200" s="2">
        <f>IF($AQ200&lt;='Premissas Gerais'!$G$6,(IF(OR(BY$167&gt;=$AQ200,BY$166=0),0,IF(SUM(BY$168:BY199)&lt;1,10%,0))),0%)</f>
        <v>0</v>
      </c>
      <c r="BZ200" s="2">
        <f>IF($AQ200&lt;='Premissas Gerais'!$G$6,(IF(OR(BZ$167&gt;=$AQ200,BZ$166=0),0,IF(SUM(BZ$168:BZ199)&lt;1,10%,0))),0%)</f>
        <v>0</v>
      </c>
    </row>
    <row r="201" spans="3:78" outlineLevel="1">
      <c r="C201" s="155">
        <v>32</v>
      </c>
      <c r="E201" s="133">
        <f ca="1">IF(C201&lt;='Premissas Gerais'!$G$6,SUM(F201:AN201),0)</f>
        <v>0</v>
      </c>
      <c r="F201" s="4">
        <f t="shared" si="93"/>
        <v>0</v>
      </c>
      <c r="G201" s="4">
        <f t="shared" si="94"/>
        <v>0</v>
      </c>
      <c r="H201" s="4">
        <f t="shared" si="95"/>
        <v>0</v>
      </c>
      <c r="I201" s="4">
        <f t="shared" si="96"/>
        <v>0</v>
      </c>
      <c r="J201" s="4">
        <f t="shared" ca="1" si="97"/>
        <v>0</v>
      </c>
      <c r="K201" s="4">
        <f t="shared" si="98"/>
        <v>0</v>
      </c>
      <c r="L201" s="4">
        <f t="shared" si="99"/>
        <v>0</v>
      </c>
      <c r="M201" s="4">
        <f t="shared" si="100"/>
        <v>0</v>
      </c>
      <c r="N201" s="4">
        <f t="shared" si="101"/>
        <v>0</v>
      </c>
      <c r="O201" s="4">
        <f t="shared" ca="1" si="102"/>
        <v>0</v>
      </c>
      <c r="P201" s="4">
        <f t="shared" si="103"/>
        <v>0</v>
      </c>
      <c r="Q201" s="4">
        <f t="shared" si="104"/>
        <v>0</v>
      </c>
      <c r="R201" s="4">
        <f t="shared" si="105"/>
        <v>0</v>
      </c>
      <c r="S201" s="4">
        <f t="shared" si="106"/>
        <v>0</v>
      </c>
      <c r="T201" s="4">
        <f t="shared" ca="1" si="107"/>
        <v>0</v>
      </c>
      <c r="U201" s="4">
        <f t="shared" si="108"/>
        <v>0</v>
      </c>
      <c r="V201" s="4">
        <f t="shared" si="109"/>
        <v>0</v>
      </c>
      <c r="W201" s="4">
        <f t="shared" si="110"/>
        <v>0</v>
      </c>
      <c r="X201" s="4">
        <f t="shared" si="111"/>
        <v>0</v>
      </c>
      <c r="Y201" s="4">
        <f t="shared" ca="1" si="112"/>
        <v>0</v>
      </c>
      <c r="Z201" s="4">
        <f t="shared" si="113"/>
        <v>0</v>
      </c>
      <c r="AA201" s="4">
        <f t="shared" si="114"/>
        <v>0</v>
      </c>
      <c r="AB201" s="4">
        <f t="shared" si="115"/>
        <v>0</v>
      </c>
      <c r="AC201" s="4">
        <f t="shared" si="116"/>
        <v>0</v>
      </c>
      <c r="AD201" s="4">
        <f t="shared" ca="1" si="117"/>
        <v>0</v>
      </c>
      <c r="AE201" s="4">
        <f t="shared" si="118"/>
        <v>0</v>
      </c>
      <c r="AF201" s="4">
        <f t="shared" si="119"/>
        <v>0</v>
      </c>
      <c r="AG201" s="4">
        <f t="shared" si="120"/>
        <v>0</v>
      </c>
      <c r="AH201" s="4">
        <f t="shared" si="121"/>
        <v>0</v>
      </c>
      <c r="AI201" s="4">
        <f t="shared" ca="1" si="122"/>
        <v>0</v>
      </c>
      <c r="AJ201" s="4">
        <f t="shared" si="123"/>
        <v>0</v>
      </c>
      <c r="AK201" s="4">
        <f t="shared" si="124"/>
        <v>0</v>
      </c>
      <c r="AL201" s="4">
        <f t="shared" si="125"/>
        <v>0</v>
      </c>
      <c r="AM201" s="4">
        <f t="shared" si="126"/>
        <v>0</v>
      </c>
      <c r="AN201" s="4">
        <f t="shared" si="127"/>
        <v>0</v>
      </c>
      <c r="AP201" s="180">
        <f>IF(AQ201&lt;='Premissas Gerais'!$G$6,1,0)</f>
        <v>1</v>
      </c>
      <c r="AQ201" s="1">
        <v>33</v>
      </c>
      <c r="AR201" s="2">
        <f>IF($AQ201&lt;='Premissas Gerais'!$G$6,(IF(OR(AR$167&gt;=$AQ201,AR$166=0),0,IF(SUM(AR$168:AR200)&lt;1,10%,0))),0%)</f>
        <v>0</v>
      </c>
      <c r="AS201" s="2">
        <f>IF($AQ201&lt;='Premissas Gerais'!$G$6,(IF(OR(AS$167&gt;=$AQ201,AS$166=0),0,IF(SUM(AS$168:AS200)&lt;1,10%,0))),0%)</f>
        <v>0</v>
      </c>
      <c r="AT201" s="2">
        <f>IF($AQ201&lt;='Premissas Gerais'!$G$6,(IF(OR(AT$167&gt;=$AQ201,AT$166=0),0,IF(SUM(AT$168:AT200)&lt;1,10%,0))),0%)</f>
        <v>0</v>
      </c>
      <c r="AU201" s="2">
        <f>IF($AQ201&lt;='Premissas Gerais'!$G$6,(IF(OR(AU$167&gt;=$AQ201,AU$166=0),0,IF(SUM(AU$168:AU200)&lt;1,10%,0))),0%)</f>
        <v>0</v>
      </c>
      <c r="AV201" s="2">
        <f ca="1">IF($AQ201&lt;='Premissas Gerais'!$G$6,(IF(OR(AV$167&gt;=$AQ201,AV$166=0),0,IF(SUM(AV$168:AV200)&lt;1,10%,0))),0%)</f>
        <v>0</v>
      </c>
      <c r="AW201" s="2">
        <f>IF($AQ201&lt;='Premissas Gerais'!$G$6,(IF(OR(AW$167&gt;=$AQ201,AW$166=0),0,IF(SUM(AW$168:AW200)&lt;1,10%,0))),0%)</f>
        <v>0</v>
      </c>
      <c r="AX201" s="2">
        <f>IF($AQ201&lt;='Premissas Gerais'!$G$6,(IF(OR(AX$167&gt;=$AQ201,AX$166=0),0,IF(SUM(AX$168:AX200)&lt;1,10%,0))),0%)</f>
        <v>0</v>
      </c>
      <c r="AY201" s="2">
        <f>IF($AQ201&lt;='Premissas Gerais'!$G$6,(IF(OR(AY$167&gt;=$AQ201,AY$166=0),0,IF(SUM(AY$168:AY200)&lt;1,10%,0))),0%)</f>
        <v>0</v>
      </c>
      <c r="AZ201" s="2">
        <f>IF($AQ201&lt;='Premissas Gerais'!$G$6,(IF(OR(AZ$167&gt;=$AQ201,AZ$166=0),0,IF(SUM(AZ$168:AZ200)&lt;1,10%,0))),0%)</f>
        <v>0</v>
      </c>
      <c r="BA201" s="2">
        <f ca="1">IF($AQ201&lt;='Premissas Gerais'!$G$6,(IF(OR(BA$167&gt;=$AQ201,BA$166=0),0,IF(SUM(BA$168:BA200)&lt;1,10%,0))),0%)</f>
        <v>0</v>
      </c>
      <c r="BB201" s="2">
        <f>IF($AQ201&lt;='Premissas Gerais'!$G$6,(IF(OR(BB$167&gt;=$AQ201,BB$166=0),0,IF(SUM(BB$168:BB200)&lt;1,10%,0))),0%)</f>
        <v>0</v>
      </c>
      <c r="BC201" s="2">
        <f>IF($AQ201&lt;='Premissas Gerais'!$G$6,(IF(OR(BC$167&gt;=$AQ201,BC$166=0),0,IF(SUM(BC$168:BC200)&lt;1,10%,0))),0%)</f>
        <v>0</v>
      </c>
      <c r="BD201" s="2">
        <f>IF($AQ201&lt;='Premissas Gerais'!$G$6,(IF(OR(BD$167&gt;=$AQ201,BD$166=0),0,IF(SUM(BD$168:BD200)&lt;1,10%,0))),0%)</f>
        <v>0</v>
      </c>
      <c r="BE201" s="2">
        <f>IF($AQ201&lt;='Premissas Gerais'!$G$6,(IF(OR(BE$167&gt;=$AQ201,BE$166=0),0,IF(SUM(BE$168:BE200)&lt;1,10%,0))),0%)</f>
        <v>0</v>
      </c>
      <c r="BF201" s="2">
        <f ca="1">IF($AQ201&lt;='Premissas Gerais'!$G$6,(IF(OR(BF$167&gt;=$AQ201,BF$166=0),0,IF(SUM(BF$168:BF200)&lt;1,10%,0))),0%)</f>
        <v>0</v>
      </c>
      <c r="BG201" s="2">
        <f>IF($AQ201&lt;='Premissas Gerais'!$G$6,(IF(OR(BG$167&gt;=$AQ201,BG$166=0),0,IF(SUM(BG$168:BG200)&lt;1,10%,0))),0%)</f>
        <v>0</v>
      </c>
      <c r="BH201" s="2">
        <f>IF($AQ201&lt;='Premissas Gerais'!$G$6,(IF(OR(BH$167&gt;=$AQ201,BH$166=0),0,IF(SUM(BH$168:BH200)&lt;1,10%,0))),0%)</f>
        <v>0</v>
      </c>
      <c r="BI201" s="2">
        <f>IF($AQ201&lt;='Premissas Gerais'!$G$6,(IF(OR(BI$167&gt;=$AQ201,BI$166=0),0,IF(SUM(BI$168:BI200)&lt;1,10%,0))),0%)</f>
        <v>0</v>
      </c>
      <c r="BJ201" s="2">
        <f>IF($AQ201&lt;='Premissas Gerais'!$G$6,(IF(OR(BJ$167&gt;=$AQ201,BJ$166=0),0,IF(SUM(BJ$168:BJ200)&lt;1,10%,0))),0%)</f>
        <v>0</v>
      </c>
      <c r="BK201" s="2">
        <f ca="1">IF($AQ201&lt;='Premissas Gerais'!$G$6,(IF(OR(BK$167&gt;=$AQ201,BK$166=0),0,IF(SUM(BK$168:BK200)&lt;1,10%,0))),0%)</f>
        <v>0</v>
      </c>
      <c r="BL201" s="2">
        <f>IF($AQ201&lt;='Premissas Gerais'!$G$6,(IF(OR(BL$167&gt;=$AQ201,BL$166=0),0,IF(SUM(BL$168:BL200)&lt;1,10%,0))),0%)</f>
        <v>0</v>
      </c>
      <c r="BM201" s="2">
        <f>IF($AQ201&lt;='Premissas Gerais'!$G$6,(IF(OR(BM$167&gt;=$AQ201,BM$166=0),0,IF(SUM(BM$168:BM200)&lt;1,10%,0))),0%)</f>
        <v>0</v>
      </c>
      <c r="BN201" s="2">
        <f>IF($AQ201&lt;='Premissas Gerais'!$G$6,(IF(OR(BN$167&gt;=$AQ201,BN$166=0),0,IF(SUM(BN$168:BN200)&lt;1,10%,0))),0%)</f>
        <v>0</v>
      </c>
      <c r="BO201" s="2">
        <f>IF($AQ201&lt;='Premissas Gerais'!$G$6,(IF(OR(BO$167&gt;=$AQ201,BO$166=0),0,IF(SUM(BO$168:BO200)&lt;1,10%,0))),0%)</f>
        <v>0</v>
      </c>
      <c r="BP201" s="2">
        <f ca="1">IF($AQ201&lt;='Premissas Gerais'!$G$6,(IF(OR(BP$167&gt;=$AQ201,BP$166=0),0,IF(SUM(BP$168:BP200)&lt;1,10%,0))),0%)</f>
        <v>0</v>
      </c>
      <c r="BQ201" s="2">
        <f>IF($AQ201&lt;='Premissas Gerais'!$G$6,(IF(OR(BQ$167&gt;=$AQ201,BQ$166=0),0,IF(SUM(BQ$168:BQ200)&lt;1,10%,0))),0%)</f>
        <v>0</v>
      </c>
      <c r="BR201" s="2">
        <f>IF($AQ201&lt;='Premissas Gerais'!$G$6,(IF(OR(BR$167&gt;=$AQ201,BR$166=0),0,IF(SUM(BR$168:BR200)&lt;1,10%,0))),0%)</f>
        <v>0</v>
      </c>
      <c r="BS201" s="2">
        <f>IF($AQ201&lt;='Premissas Gerais'!$G$6,(IF(OR(BS$167&gt;=$AQ201,BS$166=0),0,IF(SUM(BS$168:BS200)&lt;1,10%,0))),0%)</f>
        <v>0</v>
      </c>
      <c r="BT201" s="2">
        <f>IF($AQ201&lt;='Premissas Gerais'!$G$6,(IF(OR(BT$167&gt;=$AQ201,BT$166=0),0,IF(SUM(BT$168:BT200)&lt;1,10%,0))),0%)</f>
        <v>0</v>
      </c>
      <c r="BU201" s="2">
        <f ca="1">IF($AQ201&lt;='Premissas Gerais'!$G$6,(IF(OR(BU$167&gt;=$AQ201,BU$166=0),0,IF(SUM(BU$168:BU200)&lt;1,10%,0))),0%)</f>
        <v>0</v>
      </c>
      <c r="BV201" s="2">
        <f>IF($AQ201&lt;='Premissas Gerais'!$G$6,(IF(OR(BV$167&gt;=$AQ201,BV$166=0),0,IF(SUM(BV$168:BV200)&lt;1,10%,0))),0%)</f>
        <v>0</v>
      </c>
      <c r="BW201" s="2">
        <f>IF($AQ201&lt;='Premissas Gerais'!$G$6,(IF(OR(BW$167&gt;=$AQ201,BW$166=0),0,IF(SUM(BW$168:BW200)&lt;1,10%,0))),0%)</f>
        <v>0</v>
      </c>
      <c r="BX201" s="2">
        <f>IF($AQ201&lt;='Premissas Gerais'!$G$6,(IF(OR(BX$167&gt;=$AQ201,BX$166=0),0,IF(SUM(BX$168:BX200)&lt;1,10%,0))),0%)</f>
        <v>0</v>
      </c>
      <c r="BY201" s="2">
        <f>IF($AQ201&lt;='Premissas Gerais'!$G$6,(IF(OR(BY$167&gt;=$AQ201,BY$166=0),0,IF(SUM(BY$168:BY200)&lt;1,10%,0))),0%)</f>
        <v>0</v>
      </c>
      <c r="BZ201" s="2">
        <f>IF($AQ201&lt;='Premissas Gerais'!$G$6,(IF(OR(BZ$167&gt;=$AQ201,BZ$166=0),0,IF(SUM(BZ$168:BZ200)&lt;1,10%,0))),0%)</f>
        <v>0</v>
      </c>
    </row>
    <row r="202" spans="3:78" outlineLevel="1">
      <c r="C202" s="155">
        <v>33</v>
      </c>
      <c r="E202" s="133">
        <f ca="1">IF(C202&lt;='Premissas Gerais'!$G$6,SUM(F202:AN202),0)</f>
        <v>0</v>
      </c>
      <c r="F202" s="4">
        <f t="shared" si="93"/>
        <v>0</v>
      </c>
      <c r="G202" s="4">
        <f t="shared" si="94"/>
        <v>0</v>
      </c>
      <c r="H202" s="4">
        <f t="shared" si="95"/>
        <v>0</v>
      </c>
      <c r="I202" s="4">
        <f t="shared" si="96"/>
        <v>0</v>
      </c>
      <c r="J202" s="4">
        <f t="shared" ca="1" si="97"/>
        <v>0</v>
      </c>
      <c r="K202" s="4">
        <f t="shared" si="98"/>
        <v>0</v>
      </c>
      <c r="L202" s="4">
        <f t="shared" si="99"/>
        <v>0</v>
      </c>
      <c r="M202" s="4">
        <f t="shared" si="100"/>
        <v>0</v>
      </c>
      <c r="N202" s="4">
        <f t="shared" si="101"/>
        <v>0</v>
      </c>
      <c r="O202" s="4">
        <f t="shared" ca="1" si="102"/>
        <v>0</v>
      </c>
      <c r="P202" s="4">
        <f t="shared" si="103"/>
        <v>0</v>
      </c>
      <c r="Q202" s="4">
        <f t="shared" si="104"/>
        <v>0</v>
      </c>
      <c r="R202" s="4">
        <f t="shared" si="105"/>
        <v>0</v>
      </c>
      <c r="S202" s="4">
        <f t="shared" si="106"/>
        <v>0</v>
      </c>
      <c r="T202" s="4">
        <f t="shared" ca="1" si="107"/>
        <v>0</v>
      </c>
      <c r="U202" s="4">
        <f t="shared" si="108"/>
        <v>0</v>
      </c>
      <c r="V202" s="4">
        <f t="shared" si="109"/>
        <v>0</v>
      </c>
      <c r="W202" s="4">
        <f t="shared" si="110"/>
        <v>0</v>
      </c>
      <c r="X202" s="4">
        <f t="shared" si="111"/>
        <v>0</v>
      </c>
      <c r="Y202" s="4">
        <f t="shared" ca="1" si="112"/>
        <v>0</v>
      </c>
      <c r="Z202" s="4">
        <f t="shared" si="113"/>
        <v>0</v>
      </c>
      <c r="AA202" s="4">
        <f t="shared" si="114"/>
        <v>0</v>
      </c>
      <c r="AB202" s="4">
        <f t="shared" si="115"/>
        <v>0</v>
      </c>
      <c r="AC202" s="4">
        <f t="shared" si="116"/>
        <v>0</v>
      </c>
      <c r="AD202" s="4">
        <f t="shared" ca="1" si="117"/>
        <v>0</v>
      </c>
      <c r="AE202" s="4">
        <f t="shared" si="118"/>
        <v>0</v>
      </c>
      <c r="AF202" s="4">
        <f t="shared" si="119"/>
        <v>0</v>
      </c>
      <c r="AG202" s="4">
        <f t="shared" si="120"/>
        <v>0</v>
      </c>
      <c r="AH202" s="4">
        <f t="shared" si="121"/>
        <v>0</v>
      </c>
      <c r="AI202" s="4">
        <f t="shared" ca="1" si="122"/>
        <v>0</v>
      </c>
      <c r="AJ202" s="4">
        <f t="shared" si="123"/>
        <v>0</v>
      </c>
      <c r="AK202" s="4">
        <f t="shared" si="124"/>
        <v>0</v>
      </c>
      <c r="AL202" s="4">
        <f t="shared" si="125"/>
        <v>0</v>
      </c>
      <c r="AM202" s="4">
        <f t="shared" si="126"/>
        <v>0</v>
      </c>
      <c r="AN202" s="4">
        <f t="shared" si="127"/>
        <v>0</v>
      </c>
      <c r="AP202" s="180">
        <f>IF(AQ202&lt;='Premissas Gerais'!$G$6,1,0)</f>
        <v>1</v>
      </c>
      <c r="AQ202" s="1">
        <v>34</v>
      </c>
      <c r="AR202" s="2">
        <f>IF($AQ202&lt;='Premissas Gerais'!$G$6,(IF(OR(AR$167&gt;=$AQ202,AR$166=0),0,IF(SUM(AR$168:AR201)&lt;1,10%,0))),0%)</f>
        <v>0</v>
      </c>
      <c r="AS202" s="2">
        <f>IF($AQ202&lt;='Premissas Gerais'!$G$6,(IF(OR(AS$167&gt;=$AQ202,AS$166=0),0,IF(SUM(AS$168:AS201)&lt;1,10%,0))),0%)</f>
        <v>0</v>
      </c>
      <c r="AT202" s="2">
        <f>IF($AQ202&lt;='Premissas Gerais'!$G$6,(IF(OR(AT$167&gt;=$AQ202,AT$166=0),0,IF(SUM(AT$168:AT201)&lt;1,10%,0))),0%)</f>
        <v>0</v>
      </c>
      <c r="AU202" s="2">
        <f>IF($AQ202&lt;='Premissas Gerais'!$G$6,(IF(OR(AU$167&gt;=$AQ202,AU$166=0),0,IF(SUM(AU$168:AU201)&lt;1,10%,0))),0%)</f>
        <v>0</v>
      </c>
      <c r="AV202" s="2">
        <f ca="1">IF($AQ202&lt;='Premissas Gerais'!$G$6,(IF(OR(AV$167&gt;=$AQ202,AV$166=0),0,IF(SUM(AV$168:AV201)&lt;1,10%,0))),0%)</f>
        <v>0</v>
      </c>
      <c r="AW202" s="2">
        <f>IF($AQ202&lt;='Premissas Gerais'!$G$6,(IF(OR(AW$167&gt;=$AQ202,AW$166=0),0,IF(SUM(AW$168:AW201)&lt;1,10%,0))),0%)</f>
        <v>0</v>
      </c>
      <c r="AX202" s="2">
        <f>IF($AQ202&lt;='Premissas Gerais'!$G$6,(IF(OR(AX$167&gt;=$AQ202,AX$166=0),0,IF(SUM(AX$168:AX201)&lt;1,10%,0))),0%)</f>
        <v>0</v>
      </c>
      <c r="AY202" s="2">
        <f>IF($AQ202&lt;='Premissas Gerais'!$G$6,(IF(OR(AY$167&gt;=$AQ202,AY$166=0),0,IF(SUM(AY$168:AY201)&lt;1,10%,0))),0%)</f>
        <v>0</v>
      </c>
      <c r="AZ202" s="2">
        <f>IF($AQ202&lt;='Premissas Gerais'!$G$6,(IF(OR(AZ$167&gt;=$AQ202,AZ$166=0),0,IF(SUM(AZ$168:AZ201)&lt;1,10%,0))),0%)</f>
        <v>0</v>
      </c>
      <c r="BA202" s="2">
        <f ca="1">IF($AQ202&lt;='Premissas Gerais'!$G$6,(IF(OR(BA$167&gt;=$AQ202,BA$166=0),0,IF(SUM(BA$168:BA201)&lt;1,10%,0))),0%)</f>
        <v>0</v>
      </c>
      <c r="BB202" s="2">
        <f>IF($AQ202&lt;='Premissas Gerais'!$G$6,(IF(OR(BB$167&gt;=$AQ202,BB$166=0),0,IF(SUM(BB$168:BB201)&lt;1,10%,0))),0%)</f>
        <v>0</v>
      </c>
      <c r="BC202" s="2">
        <f>IF($AQ202&lt;='Premissas Gerais'!$G$6,(IF(OR(BC$167&gt;=$AQ202,BC$166=0),0,IF(SUM(BC$168:BC201)&lt;1,10%,0))),0%)</f>
        <v>0</v>
      </c>
      <c r="BD202" s="2">
        <f>IF($AQ202&lt;='Premissas Gerais'!$G$6,(IF(OR(BD$167&gt;=$AQ202,BD$166=0),0,IF(SUM(BD$168:BD201)&lt;1,10%,0))),0%)</f>
        <v>0</v>
      </c>
      <c r="BE202" s="2">
        <f>IF($AQ202&lt;='Premissas Gerais'!$G$6,(IF(OR(BE$167&gt;=$AQ202,BE$166=0),0,IF(SUM(BE$168:BE201)&lt;1,10%,0))),0%)</f>
        <v>0</v>
      </c>
      <c r="BF202" s="2">
        <f ca="1">IF($AQ202&lt;='Premissas Gerais'!$G$6,(IF(OR(BF$167&gt;=$AQ202,BF$166=0),0,IF(SUM(BF$168:BF201)&lt;1,10%,0))),0%)</f>
        <v>0</v>
      </c>
      <c r="BG202" s="2">
        <f>IF($AQ202&lt;='Premissas Gerais'!$G$6,(IF(OR(BG$167&gt;=$AQ202,BG$166=0),0,IF(SUM(BG$168:BG201)&lt;1,10%,0))),0%)</f>
        <v>0</v>
      </c>
      <c r="BH202" s="2">
        <f>IF($AQ202&lt;='Premissas Gerais'!$G$6,(IF(OR(BH$167&gt;=$AQ202,BH$166=0),0,IF(SUM(BH$168:BH201)&lt;1,10%,0))),0%)</f>
        <v>0</v>
      </c>
      <c r="BI202" s="2">
        <f>IF($AQ202&lt;='Premissas Gerais'!$G$6,(IF(OR(BI$167&gt;=$AQ202,BI$166=0),0,IF(SUM(BI$168:BI201)&lt;1,10%,0))),0%)</f>
        <v>0</v>
      </c>
      <c r="BJ202" s="2">
        <f>IF($AQ202&lt;='Premissas Gerais'!$G$6,(IF(OR(BJ$167&gt;=$AQ202,BJ$166=0),0,IF(SUM(BJ$168:BJ201)&lt;1,10%,0))),0%)</f>
        <v>0</v>
      </c>
      <c r="BK202" s="2">
        <f ca="1">IF($AQ202&lt;='Premissas Gerais'!$G$6,(IF(OR(BK$167&gt;=$AQ202,BK$166=0),0,IF(SUM(BK$168:BK201)&lt;1,10%,0))),0%)</f>
        <v>0</v>
      </c>
      <c r="BL202" s="2">
        <f>IF($AQ202&lt;='Premissas Gerais'!$G$6,(IF(OR(BL$167&gt;=$AQ202,BL$166=0),0,IF(SUM(BL$168:BL201)&lt;1,10%,0))),0%)</f>
        <v>0</v>
      </c>
      <c r="BM202" s="2">
        <f>IF($AQ202&lt;='Premissas Gerais'!$G$6,(IF(OR(BM$167&gt;=$AQ202,BM$166=0),0,IF(SUM(BM$168:BM201)&lt;1,10%,0))),0%)</f>
        <v>0</v>
      </c>
      <c r="BN202" s="2">
        <f>IF($AQ202&lt;='Premissas Gerais'!$G$6,(IF(OR(BN$167&gt;=$AQ202,BN$166=0),0,IF(SUM(BN$168:BN201)&lt;1,10%,0))),0%)</f>
        <v>0</v>
      </c>
      <c r="BO202" s="2">
        <f>IF($AQ202&lt;='Premissas Gerais'!$G$6,(IF(OR(BO$167&gt;=$AQ202,BO$166=0),0,IF(SUM(BO$168:BO201)&lt;1,10%,0))),0%)</f>
        <v>0</v>
      </c>
      <c r="BP202" s="2">
        <f ca="1">IF($AQ202&lt;='Premissas Gerais'!$G$6,(IF(OR(BP$167&gt;=$AQ202,BP$166=0),0,IF(SUM(BP$168:BP201)&lt;1,10%,0))),0%)</f>
        <v>0</v>
      </c>
      <c r="BQ202" s="2">
        <f>IF($AQ202&lt;='Premissas Gerais'!$G$6,(IF(OR(BQ$167&gt;=$AQ202,BQ$166=0),0,IF(SUM(BQ$168:BQ201)&lt;1,10%,0))),0%)</f>
        <v>0</v>
      </c>
      <c r="BR202" s="2">
        <f>IF($AQ202&lt;='Premissas Gerais'!$G$6,(IF(OR(BR$167&gt;=$AQ202,BR$166=0),0,IF(SUM(BR$168:BR201)&lt;1,10%,0))),0%)</f>
        <v>0</v>
      </c>
      <c r="BS202" s="2">
        <f>IF($AQ202&lt;='Premissas Gerais'!$G$6,(IF(OR(BS$167&gt;=$AQ202,BS$166=0),0,IF(SUM(BS$168:BS201)&lt;1,10%,0))),0%)</f>
        <v>0</v>
      </c>
      <c r="BT202" s="2">
        <f>IF($AQ202&lt;='Premissas Gerais'!$G$6,(IF(OR(BT$167&gt;=$AQ202,BT$166=0),0,IF(SUM(BT$168:BT201)&lt;1,10%,0))),0%)</f>
        <v>0</v>
      </c>
      <c r="BU202" s="2">
        <f ca="1">IF($AQ202&lt;='Premissas Gerais'!$G$6,(IF(OR(BU$167&gt;=$AQ202,BU$166=0),0,IF(SUM(BU$168:BU201)&lt;1,10%,0))),0%)</f>
        <v>0</v>
      </c>
      <c r="BV202" s="2">
        <f>IF($AQ202&lt;='Premissas Gerais'!$G$6,(IF(OR(BV$167&gt;=$AQ202,BV$166=0),0,IF(SUM(BV$168:BV201)&lt;1,10%,0))),0%)</f>
        <v>0</v>
      </c>
      <c r="BW202" s="2">
        <f>IF($AQ202&lt;='Premissas Gerais'!$G$6,(IF(OR(BW$167&gt;=$AQ202,BW$166=0),0,IF(SUM(BW$168:BW201)&lt;1,10%,0))),0%)</f>
        <v>0</v>
      </c>
      <c r="BX202" s="2">
        <f>IF($AQ202&lt;='Premissas Gerais'!$G$6,(IF(OR(BX$167&gt;=$AQ202,BX$166=0),0,IF(SUM(BX$168:BX201)&lt;1,10%,0))),0%)</f>
        <v>0</v>
      </c>
      <c r="BY202" s="2">
        <f>IF($AQ202&lt;='Premissas Gerais'!$G$6,(IF(OR(BY$167&gt;=$AQ202,BY$166=0),0,IF(SUM(BY$168:BY201)&lt;1,10%,0))),0%)</f>
        <v>0</v>
      </c>
      <c r="BZ202" s="2">
        <f>IF($AQ202&lt;='Premissas Gerais'!$G$6,(IF(OR(BZ$167&gt;=$AQ202,BZ$166=0),0,IF(SUM(BZ$168:BZ201)&lt;1,10%,0))),0%)</f>
        <v>0</v>
      </c>
    </row>
    <row r="203" spans="3:78" outlineLevel="1">
      <c r="C203" s="155">
        <v>34</v>
      </c>
      <c r="E203" s="133">
        <f ca="1">IF(C203&lt;='Premissas Gerais'!$G$6,SUM(F203:AN203),0)</f>
        <v>0</v>
      </c>
      <c r="F203" s="4">
        <f t="shared" si="93"/>
        <v>0</v>
      </c>
      <c r="G203" s="4">
        <f t="shared" si="94"/>
        <v>0</v>
      </c>
      <c r="H203" s="4">
        <f t="shared" si="95"/>
        <v>0</v>
      </c>
      <c r="I203" s="4">
        <f t="shared" si="96"/>
        <v>0</v>
      </c>
      <c r="J203" s="4">
        <f t="shared" ca="1" si="97"/>
        <v>0</v>
      </c>
      <c r="K203" s="4">
        <f t="shared" si="98"/>
        <v>0</v>
      </c>
      <c r="L203" s="4">
        <f t="shared" si="99"/>
        <v>0</v>
      </c>
      <c r="M203" s="4">
        <f t="shared" si="100"/>
        <v>0</v>
      </c>
      <c r="N203" s="4">
        <f t="shared" si="101"/>
        <v>0</v>
      </c>
      <c r="O203" s="4">
        <f t="shared" ca="1" si="102"/>
        <v>0</v>
      </c>
      <c r="P203" s="4">
        <f t="shared" si="103"/>
        <v>0</v>
      </c>
      <c r="Q203" s="4">
        <f t="shared" si="104"/>
        <v>0</v>
      </c>
      <c r="R203" s="4">
        <f t="shared" si="105"/>
        <v>0</v>
      </c>
      <c r="S203" s="4">
        <f t="shared" si="106"/>
        <v>0</v>
      </c>
      <c r="T203" s="4">
        <f t="shared" ca="1" si="107"/>
        <v>0</v>
      </c>
      <c r="U203" s="4">
        <f t="shared" si="108"/>
        <v>0</v>
      </c>
      <c r="V203" s="4">
        <f t="shared" si="109"/>
        <v>0</v>
      </c>
      <c r="W203" s="4">
        <f t="shared" si="110"/>
        <v>0</v>
      </c>
      <c r="X203" s="4">
        <f t="shared" si="111"/>
        <v>0</v>
      </c>
      <c r="Y203" s="4">
        <f t="shared" ca="1" si="112"/>
        <v>0</v>
      </c>
      <c r="Z203" s="4">
        <f t="shared" si="113"/>
        <v>0</v>
      </c>
      <c r="AA203" s="4">
        <f t="shared" si="114"/>
        <v>0</v>
      </c>
      <c r="AB203" s="4">
        <f t="shared" si="115"/>
        <v>0</v>
      </c>
      <c r="AC203" s="4">
        <f t="shared" si="116"/>
        <v>0</v>
      </c>
      <c r="AD203" s="4">
        <f t="shared" ca="1" si="117"/>
        <v>0</v>
      </c>
      <c r="AE203" s="4">
        <f t="shared" si="118"/>
        <v>0</v>
      </c>
      <c r="AF203" s="4">
        <f t="shared" si="119"/>
        <v>0</v>
      </c>
      <c r="AG203" s="4">
        <f t="shared" si="120"/>
        <v>0</v>
      </c>
      <c r="AH203" s="4">
        <f t="shared" si="121"/>
        <v>0</v>
      </c>
      <c r="AI203" s="4">
        <f t="shared" ca="1" si="122"/>
        <v>0</v>
      </c>
      <c r="AJ203" s="4">
        <f t="shared" si="123"/>
        <v>0</v>
      </c>
      <c r="AK203" s="4">
        <f t="shared" si="124"/>
        <v>0</v>
      </c>
      <c r="AL203" s="4">
        <f t="shared" si="125"/>
        <v>0</v>
      </c>
      <c r="AM203" s="4">
        <f t="shared" si="126"/>
        <v>0</v>
      </c>
      <c r="AN203" s="4">
        <f t="shared" si="127"/>
        <v>0</v>
      </c>
      <c r="AP203" s="180">
        <f>IF(AQ203&lt;='Premissas Gerais'!$G$6,1,0)</f>
        <v>1</v>
      </c>
      <c r="AQ203" s="1">
        <v>35</v>
      </c>
      <c r="AR203" s="2">
        <f>IF($AQ203&lt;='Premissas Gerais'!$G$6,(IF(OR(AR$167&gt;=$AQ203,AR$166=0),0,IF(SUM(AR$168:AR202)&lt;1,10%,0))),0%)</f>
        <v>0</v>
      </c>
      <c r="AS203" s="2">
        <f>IF($AQ203&lt;='Premissas Gerais'!$G$6,(IF(OR(AS$167&gt;=$AQ203,AS$166=0),0,IF(SUM(AS$168:AS202)&lt;1,10%,0))),0%)</f>
        <v>0</v>
      </c>
      <c r="AT203" s="2">
        <f>IF($AQ203&lt;='Premissas Gerais'!$G$6,(IF(OR(AT$167&gt;=$AQ203,AT$166=0),0,IF(SUM(AT$168:AT202)&lt;1,10%,0))),0%)</f>
        <v>0</v>
      </c>
      <c r="AU203" s="2">
        <f>IF($AQ203&lt;='Premissas Gerais'!$G$6,(IF(OR(AU$167&gt;=$AQ203,AU$166=0),0,IF(SUM(AU$168:AU202)&lt;1,10%,0))),0%)</f>
        <v>0</v>
      </c>
      <c r="AV203" s="2">
        <f ca="1">IF($AQ203&lt;='Premissas Gerais'!$G$6,(IF(OR(AV$167&gt;=$AQ203,AV$166=0),0,IF(SUM(AV$168:AV202)&lt;1,10%,0))),0%)</f>
        <v>0</v>
      </c>
      <c r="AW203" s="2">
        <f>IF($AQ203&lt;='Premissas Gerais'!$G$6,(IF(OR(AW$167&gt;=$AQ203,AW$166=0),0,IF(SUM(AW$168:AW202)&lt;1,10%,0))),0%)</f>
        <v>0</v>
      </c>
      <c r="AX203" s="2">
        <f>IF($AQ203&lt;='Premissas Gerais'!$G$6,(IF(OR(AX$167&gt;=$AQ203,AX$166=0),0,IF(SUM(AX$168:AX202)&lt;1,10%,0))),0%)</f>
        <v>0</v>
      </c>
      <c r="AY203" s="2">
        <f>IF($AQ203&lt;='Premissas Gerais'!$G$6,(IF(OR(AY$167&gt;=$AQ203,AY$166=0),0,IF(SUM(AY$168:AY202)&lt;1,10%,0))),0%)</f>
        <v>0</v>
      </c>
      <c r="AZ203" s="2">
        <f>IF($AQ203&lt;='Premissas Gerais'!$G$6,(IF(OR(AZ$167&gt;=$AQ203,AZ$166=0),0,IF(SUM(AZ$168:AZ202)&lt;1,10%,0))),0%)</f>
        <v>0</v>
      </c>
      <c r="BA203" s="2">
        <f ca="1">IF($AQ203&lt;='Premissas Gerais'!$G$6,(IF(OR(BA$167&gt;=$AQ203,BA$166=0),0,IF(SUM(BA$168:BA202)&lt;1,10%,0))),0%)</f>
        <v>0</v>
      </c>
      <c r="BB203" s="2">
        <f>IF($AQ203&lt;='Premissas Gerais'!$G$6,(IF(OR(BB$167&gt;=$AQ203,BB$166=0),0,IF(SUM(BB$168:BB202)&lt;1,10%,0))),0%)</f>
        <v>0</v>
      </c>
      <c r="BC203" s="2">
        <f>IF($AQ203&lt;='Premissas Gerais'!$G$6,(IF(OR(BC$167&gt;=$AQ203,BC$166=0),0,IF(SUM(BC$168:BC202)&lt;1,10%,0))),0%)</f>
        <v>0</v>
      </c>
      <c r="BD203" s="2">
        <f>IF($AQ203&lt;='Premissas Gerais'!$G$6,(IF(OR(BD$167&gt;=$AQ203,BD$166=0),0,IF(SUM(BD$168:BD202)&lt;1,10%,0))),0%)</f>
        <v>0</v>
      </c>
      <c r="BE203" s="2">
        <f>IF($AQ203&lt;='Premissas Gerais'!$G$6,(IF(OR(BE$167&gt;=$AQ203,BE$166=0),0,IF(SUM(BE$168:BE202)&lt;1,10%,0))),0%)</f>
        <v>0</v>
      </c>
      <c r="BF203" s="2">
        <f ca="1">IF($AQ203&lt;='Premissas Gerais'!$G$6,(IF(OR(BF$167&gt;=$AQ203,BF$166=0),0,IF(SUM(BF$168:BF202)&lt;1,10%,0))),0%)</f>
        <v>0</v>
      </c>
      <c r="BG203" s="2">
        <f>IF($AQ203&lt;='Premissas Gerais'!$G$6,(IF(OR(BG$167&gt;=$AQ203,BG$166=0),0,IF(SUM(BG$168:BG202)&lt;1,10%,0))),0%)</f>
        <v>0</v>
      </c>
      <c r="BH203" s="2">
        <f>IF($AQ203&lt;='Premissas Gerais'!$G$6,(IF(OR(BH$167&gt;=$AQ203,BH$166=0),0,IF(SUM(BH$168:BH202)&lt;1,10%,0))),0%)</f>
        <v>0</v>
      </c>
      <c r="BI203" s="2">
        <f>IF($AQ203&lt;='Premissas Gerais'!$G$6,(IF(OR(BI$167&gt;=$AQ203,BI$166=0),0,IF(SUM(BI$168:BI202)&lt;1,10%,0))),0%)</f>
        <v>0</v>
      </c>
      <c r="BJ203" s="2">
        <f>IF($AQ203&lt;='Premissas Gerais'!$G$6,(IF(OR(BJ$167&gt;=$AQ203,BJ$166=0),0,IF(SUM(BJ$168:BJ202)&lt;1,10%,0))),0%)</f>
        <v>0</v>
      </c>
      <c r="BK203" s="2">
        <f ca="1">IF($AQ203&lt;='Premissas Gerais'!$G$6,(IF(OR(BK$167&gt;=$AQ203,BK$166=0),0,IF(SUM(BK$168:BK202)&lt;1,10%,0))),0%)</f>
        <v>0</v>
      </c>
      <c r="BL203" s="2">
        <f>IF($AQ203&lt;='Premissas Gerais'!$G$6,(IF(OR(BL$167&gt;=$AQ203,BL$166=0),0,IF(SUM(BL$168:BL202)&lt;1,10%,0))),0%)</f>
        <v>0</v>
      </c>
      <c r="BM203" s="2">
        <f>IF($AQ203&lt;='Premissas Gerais'!$G$6,(IF(OR(BM$167&gt;=$AQ203,BM$166=0),0,IF(SUM(BM$168:BM202)&lt;1,10%,0))),0%)</f>
        <v>0</v>
      </c>
      <c r="BN203" s="2">
        <f>IF($AQ203&lt;='Premissas Gerais'!$G$6,(IF(OR(BN$167&gt;=$AQ203,BN$166=0),0,IF(SUM(BN$168:BN202)&lt;1,10%,0))),0%)</f>
        <v>0</v>
      </c>
      <c r="BO203" s="2">
        <f>IF($AQ203&lt;='Premissas Gerais'!$G$6,(IF(OR(BO$167&gt;=$AQ203,BO$166=0),0,IF(SUM(BO$168:BO202)&lt;1,10%,0))),0%)</f>
        <v>0</v>
      </c>
      <c r="BP203" s="2">
        <f ca="1">IF($AQ203&lt;='Premissas Gerais'!$G$6,(IF(OR(BP$167&gt;=$AQ203,BP$166=0),0,IF(SUM(BP$168:BP202)&lt;1,10%,0))),0%)</f>
        <v>0</v>
      </c>
      <c r="BQ203" s="2">
        <f>IF($AQ203&lt;='Premissas Gerais'!$G$6,(IF(OR(BQ$167&gt;=$AQ203,BQ$166=0),0,IF(SUM(BQ$168:BQ202)&lt;1,10%,0))),0%)</f>
        <v>0</v>
      </c>
      <c r="BR203" s="2">
        <f>IF($AQ203&lt;='Premissas Gerais'!$G$6,(IF(OR(BR$167&gt;=$AQ203,BR$166=0),0,IF(SUM(BR$168:BR202)&lt;1,10%,0))),0%)</f>
        <v>0</v>
      </c>
      <c r="BS203" s="2">
        <f>IF($AQ203&lt;='Premissas Gerais'!$G$6,(IF(OR(BS$167&gt;=$AQ203,BS$166=0),0,IF(SUM(BS$168:BS202)&lt;1,10%,0))),0%)</f>
        <v>0</v>
      </c>
      <c r="BT203" s="2">
        <f>IF($AQ203&lt;='Premissas Gerais'!$G$6,(IF(OR(BT$167&gt;=$AQ203,BT$166=0),0,IF(SUM(BT$168:BT202)&lt;1,10%,0))),0%)</f>
        <v>0</v>
      </c>
      <c r="BU203" s="2">
        <f ca="1">IF($AQ203&lt;='Premissas Gerais'!$G$6,(IF(OR(BU$167&gt;=$AQ203,BU$166=0),0,IF(SUM(BU$168:BU202)&lt;1,IF(SUM(BU$169:BU202)&lt;100%,100%-SUM(BU$169:BU202),10%),0))),0%)</f>
        <v>0</v>
      </c>
      <c r="BV203" s="2">
        <f>IF($AQ203&lt;='Premissas Gerais'!$G$6,(IF(OR(BV$167&gt;=$AQ203,BV$166=0),0,IF(SUM(BV$168:BV202)&lt;1,10%,0))),0%)</f>
        <v>0</v>
      </c>
      <c r="BW203" s="2">
        <f>IF($AQ203&lt;='Premissas Gerais'!$G$6,(IF(OR(BW$167&gt;=$AQ203,BW$166=0),0,IF(SUM(BW$168:BW202)&lt;1,10%,0))),0%)</f>
        <v>0</v>
      </c>
      <c r="BX203" s="2">
        <f>IF($AQ203&lt;='Premissas Gerais'!$G$6,(IF(OR(BX$167&gt;=$AQ203,BX$166=0),0,IF(SUM(BX$168:BX202)&lt;1,10%,0))),0%)</f>
        <v>0</v>
      </c>
      <c r="BY203" s="2">
        <f>IF($AQ203&lt;='Premissas Gerais'!$G$6,(IF(OR(BY$167&gt;=$AQ203,BY$166=0),0,IF(SUM(BY$168:BY202)&lt;1,10%,0))),0%)</f>
        <v>0</v>
      </c>
      <c r="BZ203" s="2">
        <f>IF($AQ203&lt;='Premissas Gerais'!$G$6,(IF(OR(BZ$167&gt;=$AQ203,BZ$166=0),0,IF(SUM(BZ$168:BZ202)&lt;1,10%,0))),0%)</f>
        <v>0</v>
      </c>
    </row>
    <row r="204" spans="3:78" outlineLevel="1">
      <c r="C204" s="155">
        <v>35</v>
      </c>
      <c r="E204" s="133">
        <f ca="1">IF(C204&lt;='Premissas Gerais'!$G$6,SUM(F204:AN204),0)</f>
        <v>0</v>
      </c>
      <c r="F204" s="4">
        <f t="shared" si="93"/>
        <v>0</v>
      </c>
      <c r="G204" s="4">
        <f t="shared" si="94"/>
        <v>0</v>
      </c>
      <c r="H204" s="4">
        <f t="shared" si="95"/>
        <v>0</v>
      </c>
      <c r="I204" s="4">
        <f t="shared" si="96"/>
        <v>0</v>
      </c>
      <c r="J204" s="4">
        <f t="shared" ca="1" si="97"/>
        <v>0</v>
      </c>
      <c r="K204" s="4">
        <f t="shared" si="98"/>
        <v>0</v>
      </c>
      <c r="L204" s="4">
        <f t="shared" si="99"/>
        <v>0</v>
      </c>
      <c r="M204" s="4">
        <f t="shared" si="100"/>
        <v>0</v>
      </c>
      <c r="N204" s="4">
        <f t="shared" si="101"/>
        <v>0</v>
      </c>
      <c r="O204" s="4">
        <f t="shared" ca="1" si="102"/>
        <v>0</v>
      </c>
      <c r="P204" s="4">
        <f t="shared" si="103"/>
        <v>0</v>
      </c>
      <c r="Q204" s="4">
        <f t="shared" si="104"/>
        <v>0</v>
      </c>
      <c r="R204" s="4">
        <f t="shared" si="105"/>
        <v>0</v>
      </c>
      <c r="S204" s="4">
        <f t="shared" si="106"/>
        <v>0</v>
      </c>
      <c r="T204" s="4">
        <f t="shared" ca="1" si="107"/>
        <v>0</v>
      </c>
      <c r="U204" s="4">
        <f t="shared" si="108"/>
        <v>0</v>
      </c>
      <c r="V204" s="4">
        <f t="shared" si="109"/>
        <v>0</v>
      </c>
      <c r="W204" s="4">
        <f t="shared" si="110"/>
        <v>0</v>
      </c>
      <c r="X204" s="4">
        <f t="shared" si="111"/>
        <v>0</v>
      </c>
      <c r="Y204" s="4">
        <f t="shared" ca="1" si="112"/>
        <v>0</v>
      </c>
      <c r="Z204" s="4">
        <f t="shared" si="113"/>
        <v>0</v>
      </c>
      <c r="AA204" s="4">
        <f t="shared" si="114"/>
        <v>0</v>
      </c>
      <c r="AB204" s="4">
        <f t="shared" si="115"/>
        <v>0</v>
      </c>
      <c r="AC204" s="4">
        <f t="shared" si="116"/>
        <v>0</v>
      </c>
      <c r="AD204" s="4">
        <f t="shared" ca="1" si="117"/>
        <v>0</v>
      </c>
      <c r="AE204" s="4">
        <f t="shared" si="118"/>
        <v>0</v>
      </c>
      <c r="AF204" s="4">
        <f t="shared" si="119"/>
        <v>0</v>
      </c>
      <c r="AG204" s="4">
        <f t="shared" si="120"/>
        <v>0</v>
      </c>
      <c r="AH204" s="4">
        <f t="shared" si="121"/>
        <v>0</v>
      </c>
      <c r="AI204" s="4">
        <f t="shared" ca="1" si="122"/>
        <v>0</v>
      </c>
      <c r="AJ204" s="4">
        <f t="shared" si="123"/>
        <v>0</v>
      </c>
      <c r="AK204" s="4">
        <f t="shared" si="124"/>
        <v>0</v>
      </c>
      <c r="AL204" s="4">
        <f t="shared" si="125"/>
        <v>0</v>
      </c>
      <c r="AM204" s="4">
        <f t="shared" si="126"/>
        <v>0</v>
      </c>
      <c r="AN204" s="4">
        <f t="shared" si="127"/>
        <v>0</v>
      </c>
      <c r="AP204" s="180">
        <f>IF(AQ204&lt;='Premissas Gerais'!$G$6,1,0)</f>
        <v>0</v>
      </c>
      <c r="AQ204" s="8" t="s">
        <v>575</v>
      </c>
      <c r="AR204" s="169">
        <f>SUM(AR169:AR203)</f>
        <v>0</v>
      </c>
      <c r="AS204" s="169">
        <f>SUM(AS169:AS203)</f>
        <v>0</v>
      </c>
      <c r="AT204" s="169">
        <f t="shared" ref="AT204:BZ204" si="128">SUM(AT169:AT203)</f>
        <v>0</v>
      </c>
      <c r="AU204" s="169">
        <f t="shared" si="128"/>
        <v>0</v>
      </c>
      <c r="AV204" s="169">
        <f t="shared" ca="1" si="128"/>
        <v>0</v>
      </c>
      <c r="AW204" s="169">
        <f t="shared" si="128"/>
        <v>0</v>
      </c>
      <c r="AX204" s="169">
        <f t="shared" si="128"/>
        <v>0</v>
      </c>
      <c r="AY204" s="169">
        <f t="shared" si="128"/>
        <v>0</v>
      </c>
      <c r="AZ204" s="169">
        <f t="shared" si="128"/>
        <v>0</v>
      </c>
      <c r="BA204" s="169">
        <f t="shared" ca="1" si="128"/>
        <v>0</v>
      </c>
      <c r="BB204" s="169">
        <f t="shared" si="128"/>
        <v>0</v>
      </c>
      <c r="BC204" s="169">
        <f t="shared" si="128"/>
        <v>0</v>
      </c>
      <c r="BD204" s="169">
        <f t="shared" si="128"/>
        <v>0</v>
      </c>
      <c r="BE204" s="169">
        <f t="shared" si="128"/>
        <v>0</v>
      </c>
      <c r="BF204" s="169">
        <f t="shared" ca="1" si="128"/>
        <v>0</v>
      </c>
      <c r="BG204" s="169">
        <f t="shared" si="128"/>
        <v>0</v>
      </c>
      <c r="BH204" s="169">
        <f t="shared" si="128"/>
        <v>0</v>
      </c>
      <c r="BI204" s="169">
        <f t="shared" si="128"/>
        <v>0</v>
      </c>
      <c r="BJ204" s="169">
        <f t="shared" si="128"/>
        <v>0</v>
      </c>
      <c r="BK204" s="169">
        <f t="shared" ca="1" si="128"/>
        <v>0</v>
      </c>
      <c r="BL204" s="169">
        <f t="shared" si="128"/>
        <v>0</v>
      </c>
      <c r="BM204" s="169">
        <f t="shared" si="128"/>
        <v>0</v>
      </c>
      <c r="BN204" s="169">
        <f t="shared" si="128"/>
        <v>0</v>
      </c>
      <c r="BO204" s="169">
        <f t="shared" si="128"/>
        <v>0</v>
      </c>
      <c r="BP204" s="169">
        <f t="shared" ca="1" si="128"/>
        <v>0</v>
      </c>
      <c r="BQ204" s="169">
        <f t="shared" si="128"/>
        <v>0</v>
      </c>
      <c r="BR204" s="169">
        <f t="shared" si="128"/>
        <v>0</v>
      </c>
      <c r="BS204" s="169">
        <f t="shared" si="128"/>
        <v>0</v>
      </c>
      <c r="BT204" s="169">
        <f t="shared" si="128"/>
        <v>0</v>
      </c>
      <c r="BU204" s="169">
        <f ca="1">SUM(BU169:BU203)</f>
        <v>0</v>
      </c>
      <c r="BV204" s="169">
        <f t="shared" si="128"/>
        <v>0</v>
      </c>
      <c r="BW204" s="169">
        <f t="shared" si="128"/>
        <v>0</v>
      </c>
      <c r="BX204" s="169">
        <f t="shared" si="128"/>
        <v>0</v>
      </c>
      <c r="BY204" s="169">
        <f t="shared" si="128"/>
        <v>0</v>
      </c>
      <c r="BZ204" s="169">
        <f t="shared" si="128"/>
        <v>0</v>
      </c>
    </row>
    <row r="205" spans="3:78" outlineLevel="1"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R205" s="2">
        <f>IF(SUM(AR$169:AR202)&lt;100%,100%-SUM(AR$169:AR202),10%)</f>
        <v>1</v>
      </c>
      <c r="BU205" s="181">
        <f ca="1">IF(SUM(BU$169:BU202)&lt;100%,100%-SUM(BU$169:BU202),10%)</f>
        <v>1</v>
      </c>
    </row>
    <row r="206" spans="3:78" outlineLevel="1">
      <c r="L206" s="4"/>
    </row>
    <row r="207" spans="3:78" outlineLevel="1">
      <c r="AP207" s="50" t="s">
        <v>634</v>
      </c>
      <c r="AQ207" t="s">
        <v>633</v>
      </c>
      <c r="AR207" s="50">
        <f t="shared" ref="AR207:BZ207" si="129">IF(F128=0,0,1)</f>
        <v>0</v>
      </c>
      <c r="AS207" s="50">
        <f t="shared" si="129"/>
        <v>0</v>
      </c>
      <c r="AT207" s="50">
        <f t="shared" si="129"/>
        <v>0</v>
      </c>
      <c r="AU207" s="50">
        <f t="shared" si="129"/>
        <v>0</v>
      </c>
      <c r="AV207" s="50">
        <f t="shared" si="129"/>
        <v>0</v>
      </c>
      <c r="AW207" s="50">
        <f t="shared" si="129"/>
        <v>0</v>
      </c>
      <c r="AX207" s="50">
        <f t="shared" si="129"/>
        <v>0</v>
      </c>
      <c r="AY207" s="50">
        <f t="shared" si="129"/>
        <v>0</v>
      </c>
      <c r="AZ207" s="50">
        <f t="shared" si="129"/>
        <v>0</v>
      </c>
      <c r="BA207" s="50">
        <f t="shared" ca="1" si="129"/>
        <v>0</v>
      </c>
      <c r="BB207" s="50">
        <f t="shared" si="129"/>
        <v>0</v>
      </c>
      <c r="BC207" s="50">
        <f t="shared" si="129"/>
        <v>0</v>
      </c>
      <c r="BD207" s="50">
        <f t="shared" si="129"/>
        <v>0</v>
      </c>
      <c r="BE207" s="50">
        <f t="shared" si="129"/>
        <v>0</v>
      </c>
      <c r="BF207" s="50">
        <f t="shared" si="129"/>
        <v>0</v>
      </c>
      <c r="BG207" s="50">
        <f t="shared" si="129"/>
        <v>0</v>
      </c>
      <c r="BH207" s="50">
        <f t="shared" si="129"/>
        <v>0</v>
      </c>
      <c r="BI207" s="50">
        <f t="shared" si="129"/>
        <v>0</v>
      </c>
      <c r="BJ207" s="50">
        <f t="shared" si="129"/>
        <v>0</v>
      </c>
      <c r="BK207" s="50">
        <f t="shared" ca="1" si="129"/>
        <v>0</v>
      </c>
      <c r="BL207" s="50">
        <f t="shared" si="129"/>
        <v>0</v>
      </c>
      <c r="BM207" s="50">
        <f t="shared" si="129"/>
        <v>0</v>
      </c>
      <c r="BN207" s="50">
        <f t="shared" si="129"/>
        <v>0</v>
      </c>
      <c r="BO207" s="50">
        <f t="shared" si="129"/>
        <v>0</v>
      </c>
      <c r="BP207" s="50">
        <f t="shared" si="129"/>
        <v>0</v>
      </c>
      <c r="BQ207" s="50">
        <f t="shared" si="129"/>
        <v>0</v>
      </c>
      <c r="BR207" s="50">
        <f t="shared" si="129"/>
        <v>0</v>
      </c>
      <c r="BS207" s="50">
        <f t="shared" si="129"/>
        <v>0</v>
      </c>
      <c r="BT207" s="50">
        <f t="shared" si="129"/>
        <v>0</v>
      </c>
      <c r="BU207" s="50">
        <f t="shared" ca="1" si="129"/>
        <v>0</v>
      </c>
      <c r="BV207" s="50">
        <f t="shared" si="129"/>
        <v>0</v>
      </c>
      <c r="BW207" s="50">
        <f t="shared" si="129"/>
        <v>0</v>
      </c>
      <c r="BX207" s="50">
        <f t="shared" si="129"/>
        <v>0</v>
      </c>
      <c r="BY207" s="50">
        <f t="shared" si="129"/>
        <v>0</v>
      </c>
      <c r="BZ207" s="50">
        <f t="shared" si="129"/>
        <v>0</v>
      </c>
    </row>
    <row r="208" spans="3:78" ht="15.75" outlineLevel="1">
      <c r="C208" s="142" t="s">
        <v>576</v>
      </c>
      <c r="F208" s="140">
        <v>1</v>
      </c>
      <c r="G208" s="140">
        <v>2</v>
      </c>
      <c r="H208" s="140">
        <v>3</v>
      </c>
      <c r="I208" s="140">
        <v>4</v>
      </c>
      <c r="J208" s="140">
        <v>5</v>
      </c>
      <c r="K208" s="140">
        <v>6</v>
      </c>
      <c r="L208" s="140">
        <v>7</v>
      </c>
      <c r="M208" s="140">
        <v>8</v>
      </c>
      <c r="N208" s="140">
        <v>9</v>
      </c>
      <c r="O208" s="140">
        <v>10</v>
      </c>
      <c r="P208" s="140">
        <v>11</v>
      </c>
      <c r="Q208" s="140">
        <v>12</v>
      </c>
      <c r="R208" s="140">
        <v>13</v>
      </c>
      <c r="S208" s="140">
        <v>14</v>
      </c>
      <c r="T208" s="140">
        <v>15</v>
      </c>
      <c r="U208" s="140">
        <v>16</v>
      </c>
      <c r="V208" s="140">
        <v>17</v>
      </c>
      <c r="W208" s="140">
        <v>18</v>
      </c>
      <c r="X208" s="140">
        <v>19</v>
      </c>
      <c r="Y208" s="140">
        <v>20</v>
      </c>
      <c r="Z208" s="140">
        <v>21</v>
      </c>
      <c r="AA208" s="140">
        <v>22</v>
      </c>
      <c r="AB208" s="140">
        <v>23</v>
      </c>
      <c r="AC208" s="140">
        <v>24</v>
      </c>
      <c r="AD208" s="140">
        <v>25</v>
      </c>
      <c r="AE208" s="140">
        <v>26</v>
      </c>
      <c r="AF208" s="140">
        <v>27</v>
      </c>
      <c r="AG208" s="140">
        <v>28</v>
      </c>
      <c r="AH208" s="140">
        <v>29</v>
      </c>
      <c r="AI208" s="140">
        <v>30</v>
      </c>
      <c r="AJ208" s="140">
        <v>31</v>
      </c>
      <c r="AK208" s="140">
        <v>32</v>
      </c>
      <c r="AL208" s="140">
        <v>33</v>
      </c>
      <c r="AM208" s="140">
        <v>34</v>
      </c>
      <c r="AN208" s="140">
        <v>35</v>
      </c>
      <c r="AR208" s="1">
        <v>1</v>
      </c>
      <c r="AS208" s="1">
        <v>2</v>
      </c>
      <c r="AT208" s="1">
        <v>3</v>
      </c>
      <c r="AU208" s="1">
        <v>4</v>
      </c>
      <c r="AV208" s="1">
        <v>5</v>
      </c>
      <c r="AW208" s="1">
        <v>6</v>
      </c>
      <c r="AX208" s="1">
        <v>7</v>
      </c>
      <c r="AY208" s="1">
        <v>8</v>
      </c>
      <c r="AZ208" s="1">
        <v>9</v>
      </c>
      <c r="BA208" s="1">
        <v>10</v>
      </c>
      <c r="BB208" s="1">
        <v>11</v>
      </c>
      <c r="BC208" s="1">
        <v>12</v>
      </c>
      <c r="BD208" s="1">
        <v>13</v>
      </c>
      <c r="BE208" s="1">
        <v>14</v>
      </c>
      <c r="BF208" s="1">
        <v>15</v>
      </c>
      <c r="BG208" s="1">
        <v>16</v>
      </c>
      <c r="BH208" s="1">
        <v>17</v>
      </c>
      <c r="BI208" s="1">
        <v>18</v>
      </c>
      <c r="BJ208" s="1">
        <v>19</v>
      </c>
      <c r="BK208" s="1">
        <v>20</v>
      </c>
      <c r="BL208" s="1">
        <v>21</v>
      </c>
      <c r="BM208" s="1">
        <v>22</v>
      </c>
      <c r="BN208" s="1">
        <v>23</v>
      </c>
      <c r="BO208" s="1">
        <v>24</v>
      </c>
      <c r="BP208" s="1">
        <v>25</v>
      </c>
      <c r="BQ208" s="1">
        <v>26</v>
      </c>
      <c r="BR208" s="1">
        <v>27</v>
      </c>
      <c r="BS208" s="1">
        <v>28</v>
      </c>
      <c r="BT208" s="1">
        <v>29</v>
      </c>
      <c r="BU208" s="1">
        <v>30</v>
      </c>
      <c r="BV208" s="1">
        <v>31</v>
      </c>
      <c r="BW208" s="1">
        <v>32</v>
      </c>
      <c r="BX208" s="1">
        <v>33</v>
      </c>
      <c r="BY208" s="1">
        <v>34</v>
      </c>
      <c r="BZ208" s="1">
        <v>35</v>
      </c>
    </row>
    <row r="209" spans="3:78" ht="15.75" outlineLevel="1">
      <c r="C209" s="142" t="s">
        <v>539</v>
      </c>
      <c r="F209" s="144">
        <f t="array" aca="1" ref="F209:AN209" ca="1">TRANSPOSE(E211:E245)</f>
        <v>0</v>
      </c>
      <c r="G209" s="144">
        <f ca="1"/>
        <v>0</v>
      </c>
      <c r="H209" s="144">
        <f ca="1"/>
        <v>0</v>
      </c>
      <c r="I209" s="144">
        <f ca="1"/>
        <v>0</v>
      </c>
      <c r="J209" s="144">
        <f ca="1"/>
        <v>0</v>
      </c>
      <c r="K209" s="144">
        <f ca="1"/>
        <v>0</v>
      </c>
      <c r="L209" s="144">
        <f ca="1"/>
        <v>0</v>
      </c>
      <c r="M209" s="144">
        <f ca="1"/>
        <v>0</v>
      </c>
      <c r="N209" s="144">
        <f ca="1"/>
        <v>0</v>
      </c>
      <c r="O209" s="144">
        <f ca="1"/>
        <v>0</v>
      </c>
      <c r="P209" s="144">
        <f ca="1"/>
        <v>0</v>
      </c>
      <c r="Q209" s="144">
        <f ca="1"/>
        <v>0</v>
      </c>
      <c r="R209" s="144">
        <f ca="1"/>
        <v>0</v>
      </c>
      <c r="S209" s="144">
        <f ca="1"/>
        <v>0</v>
      </c>
      <c r="T209" s="144">
        <f ca="1"/>
        <v>0</v>
      </c>
      <c r="U209" s="144">
        <f ca="1"/>
        <v>0</v>
      </c>
      <c r="V209" s="144">
        <f ca="1"/>
        <v>0</v>
      </c>
      <c r="W209" s="144">
        <f ca="1"/>
        <v>0</v>
      </c>
      <c r="X209" s="144">
        <f ca="1"/>
        <v>0</v>
      </c>
      <c r="Y209" s="144">
        <f ca="1"/>
        <v>0</v>
      </c>
      <c r="Z209" s="144">
        <f ca="1"/>
        <v>0</v>
      </c>
      <c r="AA209" s="144">
        <f ca="1"/>
        <v>0</v>
      </c>
      <c r="AB209" s="144">
        <f ca="1"/>
        <v>0</v>
      </c>
      <c r="AC209" s="144">
        <f ca="1"/>
        <v>0</v>
      </c>
      <c r="AD209" s="144">
        <f ca="1"/>
        <v>0</v>
      </c>
      <c r="AE209" s="144">
        <f ca="1"/>
        <v>0</v>
      </c>
      <c r="AF209" s="144">
        <f ca="1"/>
        <v>0</v>
      </c>
      <c r="AG209" s="144">
        <f ca="1"/>
        <v>0</v>
      </c>
      <c r="AH209" s="144">
        <f ca="1"/>
        <v>0</v>
      </c>
      <c r="AI209" s="144">
        <f ca="1"/>
        <v>0</v>
      </c>
      <c r="AJ209" s="144">
        <f ca="1"/>
        <v>0</v>
      </c>
      <c r="AK209" s="144">
        <f ca="1"/>
        <v>0</v>
      </c>
      <c r="AL209" s="144">
        <f ca="1"/>
        <v>0</v>
      </c>
      <c r="AM209" s="144">
        <f ca="1"/>
        <v>0</v>
      </c>
      <c r="AN209" s="144">
        <f ca="1"/>
        <v>0</v>
      </c>
    </row>
    <row r="210" spans="3:78" outlineLevel="1">
      <c r="L210" s="4"/>
      <c r="AQ210" s="1">
        <v>1</v>
      </c>
      <c r="AR210" s="2">
        <f>IF(OR(AR$208&gt;=$AQ210,AR$207=0),0,IF(SUM(AR$209:AR209)&lt;1,10%,0))</f>
        <v>0</v>
      </c>
      <c r="AS210" s="2">
        <f>IF(OR(AS$208&gt;=$AQ210,AS$207=0),0,IF(SUM(AS$209:AS209)&lt;1,10%,0))</f>
        <v>0</v>
      </c>
      <c r="AT210" s="2">
        <f>IF(OR(AT$208&gt;=$AQ210,AT$207=0),0,IF(SUM(AT$209:AT209)&lt;1,10%,0))</f>
        <v>0</v>
      </c>
      <c r="AU210" s="2">
        <f>IF(OR(AU$208&gt;=$AQ210,AU$207=0),0,IF(SUM(AU$209:AU209)&lt;1,10%,0))</f>
        <v>0</v>
      </c>
      <c r="AV210" s="2">
        <f>IF(OR(AV$208&gt;=$AQ210,AV$207=0),0,IF(SUM(AV$209:AV209)&lt;1,10%,0))</f>
        <v>0</v>
      </c>
      <c r="AW210" s="2">
        <f>IF(OR(AW$208&gt;=$AQ210,AW$207=0),0,IF(SUM(AW$209:AW209)&lt;1,10%,0))</f>
        <v>0</v>
      </c>
      <c r="AX210" s="2">
        <f>IF(OR(AX$208&gt;=$AQ210,AX$207=0),0,IF(SUM(AX$209:AX209)&lt;1,10%,0))</f>
        <v>0</v>
      </c>
      <c r="AY210" s="2">
        <f>IF(OR(AY$208&gt;=$AQ210,AY$207=0),0,IF(SUM(AY$209:AY209)&lt;1,10%,0))</f>
        <v>0</v>
      </c>
      <c r="AZ210" s="2">
        <f>IF(OR(AZ$208&gt;=$AQ210,AZ$207=0),0,IF(SUM(AZ$209:AZ209)&lt;1,10%,0))</f>
        <v>0</v>
      </c>
      <c r="BA210" s="2">
        <f ca="1">IF(OR(BA$208&gt;=$AQ210,BA$207=0),0,IF(SUM(BA$209:BA209)&lt;1,10%,0))</f>
        <v>0</v>
      </c>
      <c r="BB210" s="2">
        <f>IF(OR(BB$208&gt;=$AQ210,BB$207=0),0,IF(SUM(BB$209:BB209)&lt;1,10%,0))</f>
        <v>0</v>
      </c>
      <c r="BC210" s="2">
        <f>IF(OR(BC$208&gt;=$AQ210,BC$207=0),0,IF(SUM(BC$209:BC209)&lt;1,10%,0))</f>
        <v>0</v>
      </c>
      <c r="BD210" s="2">
        <f>IF(OR(BD$208&gt;=$AQ210,BD$207=0),0,IF(SUM(BD$209:BD209)&lt;1,10%,0))</f>
        <v>0</v>
      </c>
      <c r="BE210" s="2">
        <f>IF(OR(BE$208&gt;=$AQ210,BE$207=0),0,IF(SUM(BE$209:BE209)&lt;1,10%,0))</f>
        <v>0</v>
      </c>
      <c r="BF210" s="2">
        <f>IF(OR(BF$208&gt;=$AQ210,BF$207=0),0,IF(SUM(BF$209:BF209)&lt;1,10%,0))</f>
        <v>0</v>
      </c>
      <c r="BG210" s="2">
        <f>IF(OR(BG$208&gt;=$AQ210,BG$207=0),0,IF(SUM(BG$209:BG209)&lt;1,10%,0))</f>
        <v>0</v>
      </c>
      <c r="BH210" s="2">
        <f>IF(OR(BH$208&gt;=$AQ210,BH$207=0),0,IF(SUM(BH$209:BH209)&lt;1,10%,0))</f>
        <v>0</v>
      </c>
      <c r="BI210" s="2">
        <f>IF(OR(BI$208&gt;=$AQ210,BI$207=0),0,IF(SUM(BI$209:BI209)&lt;1,10%,0))</f>
        <v>0</v>
      </c>
      <c r="BJ210" s="2">
        <f>IF(OR(BJ$208&gt;=$AQ210,BJ$207=0),0,IF(SUM(BJ$209:BJ209)&lt;1,10%,0))</f>
        <v>0</v>
      </c>
      <c r="BK210" s="2">
        <f ca="1">IF(OR(BK$208&gt;=$AQ210,BK$207=0),0,IF(SUM(BK$209:BK209)&lt;1,10%,0))</f>
        <v>0</v>
      </c>
      <c r="BL210" s="2">
        <f>IF(OR(BL$208&gt;=$AQ210,BL$207=0),0,IF(SUM(BL$209:BL209)&lt;1,10%,0))</f>
        <v>0</v>
      </c>
      <c r="BM210" s="2">
        <f>IF(OR(BM$208&gt;=$AQ210,BM$207=0),0,IF(SUM(BM$209:BM209)&lt;1,10%,0))</f>
        <v>0</v>
      </c>
      <c r="BN210" s="2">
        <f>IF(OR(BN$208&gt;=$AQ210,BN$207=0),0,IF(SUM(BN$209:BN209)&lt;1,10%,0))</f>
        <v>0</v>
      </c>
      <c r="BO210" s="2">
        <f>IF(OR(BO$208&gt;=$AQ210,BO$207=0),0,IF(SUM(BO$209:BO209)&lt;1,10%,0))</f>
        <v>0</v>
      </c>
      <c r="BP210" s="2">
        <f>IF(OR(BP$208&gt;=$AQ210,BP$207=0),0,IF(SUM(BP$209:BP209)&lt;1,10%,0))</f>
        <v>0</v>
      </c>
      <c r="BQ210" s="2">
        <f>IF(OR(BQ$208&gt;=$AQ210,BQ$207=0),0,IF(SUM(BQ$209:BQ209)&lt;1,10%,0))</f>
        <v>0</v>
      </c>
      <c r="BR210" s="2">
        <f>IF(OR(BR$208&gt;=$AQ210,BR$207=0),0,IF(SUM(BR$209:BR209)&lt;1,10%,0))</f>
        <v>0</v>
      </c>
      <c r="BS210" s="2">
        <f>IF(OR(BS$208&gt;=$AQ210,BS$207=0),0,IF(SUM(BS$209:BS209)&lt;1,10%,0))</f>
        <v>0</v>
      </c>
      <c r="BT210" s="2">
        <f>IF(OR(BT$208&gt;=$AQ210,BT$207=0),0,IF(SUM(BT$209:BT209)&lt;1,10%,0))</f>
        <v>0</v>
      </c>
      <c r="BU210" s="2">
        <f ca="1">IF(OR(BU$208&gt;=$AQ210,BU$207=0),0,IF(SUM(BU$209:BU209)&lt;1,10%,0))</f>
        <v>0</v>
      </c>
      <c r="BV210" s="2">
        <f>IF(OR(BV$208&gt;=$AQ210,BV$207=0),0,IF(SUM(BV$209:BV209)&lt;1,10%,0))</f>
        <v>0</v>
      </c>
      <c r="BW210" s="2">
        <f>IF(OR(BW$208&gt;=$AQ210,BW$207=0),0,IF(SUM(BW$209:BW209)&lt;1,10%,0))</f>
        <v>0</v>
      </c>
      <c r="BX210" s="2">
        <f>IF(OR(BX$208&gt;=$AQ210,BX$207=0),0,IF(SUM(BX$209:BX209)&lt;1,10%,0))</f>
        <v>0</v>
      </c>
      <c r="BY210" s="2">
        <f>IF(OR(BY$208&gt;=$AQ210,BY$207=0),0,IF(SUM(BY$209:BY209)&lt;1,10%,0))</f>
        <v>0</v>
      </c>
      <c r="BZ210" s="2">
        <f>IF(OR(BZ$208&gt;=$AQ210,BZ$207=0),0,IF(SUM(BZ$209:BZ209)&lt;1,10%,0))</f>
        <v>0</v>
      </c>
    </row>
    <row r="211" spans="3:78" outlineLevel="1">
      <c r="C211" t="s">
        <v>232</v>
      </c>
      <c r="E211" s="133">
        <f t="shared" ref="E211:E245" ca="1" si="130">SUM(F211:AN211)</f>
        <v>0</v>
      </c>
      <c r="F211" s="4">
        <f t="shared" ref="F211:F245" si="131">F$128*AR210</f>
        <v>0</v>
      </c>
      <c r="G211" s="4">
        <f t="shared" ref="G211:G245" si="132">G$128*AS210</f>
        <v>0</v>
      </c>
      <c r="H211" s="4">
        <f t="shared" ref="H211:H245" si="133">H$128*AT210</f>
        <v>0</v>
      </c>
      <c r="I211" s="4">
        <f t="shared" ref="I211:I245" si="134">I$128*AU210</f>
        <v>0</v>
      </c>
      <c r="J211" s="4">
        <f t="shared" ref="J211:J245" si="135">J$128*AV210</f>
        <v>0</v>
      </c>
      <c r="K211" s="4">
        <f t="shared" ref="K211:K245" si="136">K$128*AW210</f>
        <v>0</v>
      </c>
      <c r="L211" s="4">
        <f t="shared" ref="L211:L245" si="137">L$128*AX210</f>
        <v>0</v>
      </c>
      <c r="M211" s="4">
        <f t="shared" ref="M211:M245" si="138">M$128*AY210</f>
        <v>0</v>
      </c>
      <c r="N211" s="4">
        <f t="shared" ref="N211:N245" si="139">N$128*AZ210</f>
        <v>0</v>
      </c>
      <c r="O211" s="4">
        <f t="shared" ref="O211:O245" ca="1" si="140">O$128*BA210</f>
        <v>0</v>
      </c>
      <c r="P211" s="4">
        <f t="shared" ref="P211:P245" si="141">P$128*BB210</f>
        <v>0</v>
      </c>
      <c r="Q211" s="4">
        <f t="shared" ref="Q211:Q245" si="142">Q$128*BC210</f>
        <v>0</v>
      </c>
      <c r="R211" s="4">
        <f t="shared" ref="R211:R245" si="143">R$128*BD210</f>
        <v>0</v>
      </c>
      <c r="S211" s="4">
        <f t="shared" ref="S211:S245" si="144">S$128*BE210</f>
        <v>0</v>
      </c>
      <c r="T211" s="4">
        <f t="shared" ref="T211:T245" si="145">T$128*BF210</f>
        <v>0</v>
      </c>
      <c r="U211" s="4">
        <f t="shared" ref="U211:U245" si="146">U$128*BG210</f>
        <v>0</v>
      </c>
      <c r="V211" s="4">
        <f t="shared" ref="V211:V245" si="147">V$128*BH210</f>
        <v>0</v>
      </c>
      <c r="W211" s="4">
        <f t="shared" ref="W211:W245" si="148">W$128*BI210</f>
        <v>0</v>
      </c>
      <c r="X211" s="4">
        <f t="shared" ref="X211:X245" si="149">X$128*BJ210</f>
        <v>0</v>
      </c>
      <c r="Y211" s="4">
        <f t="shared" ref="Y211:Y245" ca="1" si="150">Y$128*BK210</f>
        <v>0</v>
      </c>
      <c r="Z211" s="4">
        <f t="shared" ref="Z211:Z245" si="151">Z$128*BL210</f>
        <v>0</v>
      </c>
      <c r="AA211" s="4">
        <f t="shared" ref="AA211:AA245" si="152">AA$128*BM210</f>
        <v>0</v>
      </c>
      <c r="AB211" s="4">
        <f t="shared" ref="AB211:AB245" si="153">AB$128*BN210</f>
        <v>0</v>
      </c>
      <c r="AC211" s="4">
        <f t="shared" ref="AC211:AC245" si="154">AC$128*BO210</f>
        <v>0</v>
      </c>
      <c r="AD211" s="4">
        <f t="shared" ref="AD211:AD245" si="155">AD$128*BP210</f>
        <v>0</v>
      </c>
      <c r="AE211" s="4">
        <f t="shared" ref="AE211:AE245" si="156">AE$128*BQ210</f>
        <v>0</v>
      </c>
      <c r="AF211" s="4">
        <f t="shared" ref="AF211:AF245" si="157">AF$128*BR210</f>
        <v>0</v>
      </c>
      <c r="AG211" s="4">
        <f t="shared" ref="AG211:AG245" si="158">AG$128*BS210</f>
        <v>0</v>
      </c>
      <c r="AH211" s="4">
        <f t="shared" ref="AH211:AH245" si="159">AH$128*BT210</f>
        <v>0</v>
      </c>
      <c r="AI211" s="4">
        <f t="shared" ref="AI211:AI245" ca="1" si="160">AI$128*BU210</f>
        <v>0</v>
      </c>
      <c r="AJ211" s="4">
        <f t="shared" ref="AJ211:AJ245" si="161">AJ$128*BV210</f>
        <v>0</v>
      </c>
      <c r="AK211" s="4">
        <f t="shared" ref="AK211:AK245" si="162">AK$128*BW210</f>
        <v>0</v>
      </c>
      <c r="AL211" s="4">
        <f t="shared" ref="AL211:AL245" si="163">AL$128*BX210</f>
        <v>0</v>
      </c>
      <c r="AM211" s="4">
        <f t="shared" ref="AM211:AM245" si="164">AM$128*BY210</f>
        <v>0</v>
      </c>
      <c r="AN211" s="4">
        <f t="shared" ref="AN211:AN245" si="165">AN$128*BZ210</f>
        <v>0</v>
      </c>
      <c r="AQ211" s="1">
        <v>2</v>
      </c>
      <c r="AR211" s="2">
        <f>IF(OR(AR$208&gt;=$AQ211,AR$207=0),0,IF(SUM(AR$209:AR210)&lt;1,10%,0))</f>
        <v>0</v>
      </c>
      <c r="AS211" s="2">
        <f>IF(OR(AS$208&gt;=$AQ211,AS$207=0),0,IF(SUM(AS$209:AS210)&lt;1,10%,0))</f>
        <v>0</v>
      </c>
      <c r="AT211" s="2">
        <f>IF(OR(AT$208&gt;=$AQ211,AT$207=0),0,IF(SUM(AT$209:AT210)&lt;1,10%,0))</f>
        <v>0</v>
      </c>
      <c r="AU211" s="2">
        <f>IF(OR(AU$208&gt;=$AQ211,AU$207=0),0,IF(SUM(AU$209:AU210)&lt;1,10%,0))</f>
        <v>0</v>
      </c>
      <c r="AV211" s="2">
        <f>IF(OR(AV$208&gt;=$AQ211,AV$207=0),0,IF(SUM(AV$209:AV210)&lt;1,10%,0))</f>
        <v>0</v>
      </c>
      <c r="AW211" s="2">
        <f>IF(OR(AW$208&gt;=$AQ211,AW$207=0),0,IF(SUM(AW$209:AW210)&lt;1,10%,0))</f>
        <v>0</v>
      </c>
      <c r="AX211" s="2">
        <f>IF(OR(AX$208&gt;=$AQ211,AX$207=0),0,IF(SUM(AX$209:AX210)&lt;1,10%,0))</f>
        <v>0</v>
      </c>
      <c r="AY211" s="2">
        <f>IF(OR(AY$208&gt;=$AQ211,AY$207=0),0,IF(SUM(AY$209:AY210)&lt;1,10%,0))</f>
        <v>0</v>
      </c>
      <c r="AZ211" s="2">
        <f>IF(OR(AZ$208&gt;=$AQ211,AZ$207=0),0,IF(SUM(AZ$209:AZ210)&lt;1,10%,0))</f>
        <v>0</v>
      </c>
      <c r="BA211" s="2">
        <f ca="1">IF(OR(BA$208&gt;=$AQ211,BA$207=0),0,IF(SUM(BA$209:BA210)&lt;1,10%,0))</f>
        <v>0</v>
      </c>
      <c r="BB211" s="2">
        <f>IF(OR(BB$208&gt;=$AQ211,BB$207=0),0,IF(SUM(BB$209:BB210)&lt;1,10%,0))</f>
        <v>0</v>
      </c>
      <c r="BC211" s="2">
        <f>IF(OR(BC$208&gt;=$AQ211,BC$207=0),0,IF(SUM(BC$209:BC210)&lt;1,10%,0))</f>
        <v>0</v>
      </c>
      <c r="BD211" s="2">
        <f>IF(OR(BD$208&gt;=$AQ211,BD$207=0),0,IF(SUM(BD$209:BD210)&lt;1,10%,0))</f>
        <v>0</v>
      </c>
      <c r="BE211" s="2">
        <f>IF(OR(BE$208&gt;=$AQ211,BE$207=0),0,IF(SUM(BE$209:BE210)&lt;1,10%,0))</f>
        <v>0</v>
      </c>
      <c r="BF211" s="2">
        <f>IF(OR(BF$208&gt;=$AQ211,BF$207=0),0,IF(SUM(BF$209:BF210)&lt;1,10%,0))</f>
        <v>0</v>
      </c>
      <c r="BG211" s="2">
        <f>IF(OR(BG$208&gt;=$AQ211,BG$207=0),0,IF(SUM(BG$209:BG210)&lt;1,10%,0))</f>
        <v>0</v>
      </c>
      <c r="BH211" s="2">
        <f>IF(OR(BH$208&gt;=$AQ211,BH$207=0),0,IF(SUM(BH$209:BH210)&lt;1,10%,0))</f>
        <v>0</v>
      </c>
      <c r="BI211" s="2">
        <f>IF(OR(BI$208&gt;=$AQ211,BI$207=0),0,IF(SUM(BI$209:BI210)&lt;1,10%,0))</f>
        <v>0</v>
      </c>
      <c r="BJ211" s="2">
        <f>IF(OR(BJ$208&gt;=$AQ211,BJ$207=0),0,IF(SUM(BJ$209:BJ210)&lt;1,10%,0))</f>
        <v>0</v>
      </c>
      <c r="BK211" s="2">
        <f ca="1">IF(OR(BK$208&gt;=$AQ211,BK$207=0),0,IF(SUM(BK$209:BK210)&lt;1,10%,0))</f>
        <v>0</v>
      </c>
      <c r="BL211" s="2">
        <f>IF(OR(BL$208&gt;=$AQ211,BL$207=0),0,IF(SUM(BL$209:BL210)&lt;1,10%,0))</f>
        <v>0</v>
      </c>
      <c r="BM211" s="2">
        <f>IF(OR(BM$208&gt;=$AQ211,BM$207=0),0,IF(SUM(BM$209:BM210)&lt;1,10%,0))</f>
        <v>0</v>
      </c>
      <c r="BN211" s="2">
        <f>IF(OR(BN$208&gt;=$AQ211,BN$207=0),0,IF(SUM(BN$209:BN210)&lt;1,10%,0))</f>
        <v>0</v>
      </c>
      <c r="BO211" s="2">
        <f>IF(OR(BO$208&gt;=$AQ211,BO$207=0),0,IF(SUM(BO$209:BO210)&lt;1,10%,0))</f>
        <v>0</v>
      </c>
      <c r="BP211" s="2">
        <f>IF(OR(BP$208&gt;=$AQ211,BP$207=0),0,IF(SUM(BP$209:BP210)&lt;1,10%,0))</f>
        <v>0</v>
      </c>
      <c r="BQ211" s="2">
        <f>IF(OR(BQ$208&gt;=$AQ211,BQ$207=0),0,IF(SUM(BQ$209:BQ210)&lt;1,10%,0))</f>
        <v>0</v>
      </c>
      <c r="BR211" s="2">
        <f>IF(OR(BR$208&gt;=$AQ211,BR$207=0),0,IF(SUM(BR$209:BR210)&lt;1,10%,0))</f>
        <v>0</v>
      </c>
      <c r="BS211" s="2">
        <f>IF(OR(BS$208&gt;=$AQ211,BS$207=0),0,IF(SUM(BS$209:BS210)&lt;1,10%,0))</f>
        <v>0</v>
      </c>
      <c r="BT211" s="2">
        <f>IF(OR(BT$208&gt;=$AQ211,BT$207=0),0,IF(SUM(BT$209:BT210)&lt;1,10%,0))</f>
        <v>0</v>
      </c>
      <c r="BU211" s="2">
        <f ca="1">IF(OR(BU$208&gt;=$AQ211,BU$207=0),0,IF(SUM(BU$209:BU210)&lt;1,10%,0))</f>
        <v>0</v>
      </c>
      <c r="BV211" s="2">
        <f>IF(OR(BV$208&gt;=$AQ211,BV$207=0),0,IF(SUM(BV$209:BV210)&lt;1,10%,0))</f>
        <v>0</v>
      </c>
      <c r="BW211" s="2">
        <f>IF(OR(BW$208&gt;=$AQ211,BW$207=0),0,IF(SUM(BW$209:BW210)&lt;1,10%,0))</f>
        <v>0</v>
      </c>
      <c r="BX211" s="2">
        <f>IF(OR(BX$208&gt;=$AQ211,BX$207=0),0,IF(SUM(BX$209:BX210)&lt;1,10%,0))</f>
        <v>0</v>
      </c>
      <c r="BY211" s="2">
        <f>IF(OR(BY$208&gt;=$AQ211,BY$207=0),0,IF(SUM(BY$209:BY210)&lt;1,10%,0))</f>
        <v>0</v>
      </c>
      <c r="BZ211" s="2">
        <f>IF(OR(BZ$208&gt;=$AQ211,BZ$207=0),0,IF(SUM(BZ$209:BZ210)&lt;1,10%,0))</f>
        <v>0</v>
      </c>
    </row>
    <row r="212" spans="3:78" outlineLevel="1">
      <c r="C212" t="s">
        <v>541</v>
      </c>
      <c r="E212" s="133">
        <f t="shared" ca="1" si="130"/>
        <v>0</v>
      </c>
      <c r="F212" s="4">
        <f t="shared" si="131"/>
        <v>0</v>
      </c>
      <c r="G212" s="4">
        <f t="shared" si="132"/>
        <v>0</v>
      </c>
      <c r="H212" s="4">
        <f t="shared" si="133"/>
        <v>0</v>
      </c>
      <c r="I212" s="4">
        <f t="shared" si="134"/>
        <v>0</v>
      </c>
      <c r="J212" s="4">
        <f t="shared" si="135"/>
        <v>0</v>
      </c>
      <c r="K212" s="4">
        <f t="shared" si="136"/>
        <v>0</v>
      </c>
      <c r="L212" s="4">
        <f t="shared" si="137"/>
        <v>0</v>
      </c>
      <c r="M212" s="4">
        <f t="shared" si="138"/>
        <v>0</v>
      </c>
      <c r="N212" s="4">
        <f t="shared" si="139"/>
        <v>0</v>
      </c>
      <c r="O212" s="4">
        <f t="shared" ca="1" si="140"/>
        <v>0</v>
      </c>
      <c r="P212" s="4">
        <f t="shared" si="141"/>
        <v>0</v>
      </c>
      <c r="Q212" s="4">
        <f t="shared" si="142"/>
        <v>0</v>
      </c>
      <c r="R212" s="4">
        <f t="shared" si="143"/>
        <v>0</v>
      </c>
      <c r="S212" s="4">
        <f t="shared" si="144"/>
        <v>0</v>
      </c>
      <c r="T212" s="4">
        <f t="shared" si="145"/>
        <v>0</v>
      </c>
      <c r="U212" s="4">
        <f t="shared" si="146"/>
        <v>0</v>
      </c>
      <c r="V212" s="4">
        <f t="shared" si="147"/>
        <v>0</v>
      </c>
      <c r="W212" s="4">
        <f t="shared" si="148"/>
        <v>0</v>
      </c>
      <c r="X212" s="4">
        <f t="shared" si="149"/>
        <v>0</v>
      </c>
      <c r="Y212" s="4">
        <f t="shared" ca="1" si="150"/>
        <v>0</v>
      </c>
      <c r="Z212" s="4">
        <f t="shared" si="151"/>
        <v>0</v>
      </c>
      <c r="AA212" s="4">
        <f t="shared" si="152"/>
        <v>0</v>
      </c>
      <c r="AB212" s="4">
        <f t="shared" si="153"/>
        <v>0</v>
      </c>
      <c r="AC212" s="4">
        <f t="shared" si="154"/>
        <v>0</v>
      </c>
      <c r="AD212" s="4">
        <f t="shared" si="155"/>
        <v>0</v>
      </c>
      <c r="AE212" s="4">
        <f t="shared" si="156"/>
        <v>0</v>
      </c>
      <c r="AF212" s="4">
        <f t="shared" si="157"/>
        <v>0</v>
      </c>
      <c r="AG212" s="4">
        <f t="shared" si="158"/>
        <v>0</v>
      </c>
      <c r="AH212" s="4">
        <f t="shared" si="159"/>
        <v>0</v>
      </c>
      <c r="AI212" s="4">
        <f t="shared" ca="1" si="160"/>
        <v>0</v>
      </c>
      <c r="AJ212" s="4">
        <f t="shared" si="161"/>
        <v>0</v>
      </c>
      <c r="AK212" s="4">
        <f t="shared" si="162"/>
        <v>0</v>
      </c>
      <c r="AL212" s="4">
        <f t="shared" si="163"/>
        <v>0</v>
      </c>
      <c r="AM212" s="4">
        <f t="shared" si="164"/>
        <v>0</v>
      </c>
      <c r="AN212" s="4">
        <f t="shared" si="165"/>
        <v>0</v>
      </c>
      <c r="AQ212" s="1">
        <v>3</v>
      </c>
      <c r="AR212" s="2">
        <f>IF(OR(AR$208&gt;=$AQ212,AR$207=0),0,IF(SUM(AR$209:AR211)&lt;1,10%,0))</f>
        <v>0</v>
      </c>
      <c r="AS212" s="2">
        <f>IF(OR(AS$208&gt;=$AQ212,AS$207=0),0,IF(SUM(AS$209:AS211)&lt;1,10%,0))</f>
        <v>0</v>
      </c>
      <c r="AT212" s="2">
        <f>IF(OR(AT$208&gt;=$AQ212,AT$207=0),0,IF(SUM(AT$209:AT211)&lt;1,10%,0))</f>
        <v>0</v>
      </c>
      <c r="AU212" s="2">
        <f>IF(OR(AU$208&gt;=$AQ212,AU$207=0),0,IF(SUM(AU$209:AU211)&lt;1,10%,0))</f>
        <v>0</v>
      </c>
      <c r="AV212" s="2">
        <f>IF(OR(AV$208&gt;=$AQ212,AV$207=0),0,IF(SUM(AV$209:AV211)&lt;1,10%,0))</f>
        <v>0</v>
      </c>
      <c r="AW212" s="2">
        <f>IF(OR(AW$208&gt;=$AQ212,AW$207=0),0,IF(SUM(AW$209:AW211)&lt;1,10%,0))</f>
        <v>0</v>
      </c>
      <c r="AX212" s="2">
        <f>IF(OR(AX$208&gt;=$AQ212,AX$207=0),0,IF(SUM(AX$209:AX211)&lt;1,10%,0))</f>
        <v>0</v>
      </c>
      <c r="AY212" s="2">
        <f>IF(OR(AY$208&gt;=$AQ212,AY$207=0),0,IF(SUM(AY$209:AY211)&lt;1,10%,0))</f>
        <v>0</v>
      </c>
      <c r="AZ212" s="2">
        <f>IF(OR(AZ$208&gt;=$AQ212,AZ$207=0),0,IF(SUM(AZ$209:AZ211)&lt;1,10%,0))</f>
        <v>0</v>
      </c>
      <c r="BA212" s="2">
        <f ca="1">IF(OR(BA$208&gt;=$AQ212,BA$207=0),0,IF(SUM(BA$209:BA211)&lt;1,10%,0))</f>
        <v>0</v>
      </c>
      <c r="BB212" s="2">
        <f>IF(OR(BB$208&gt;=$AQ212,BB$207=0),0,IF(SUM(BB$209:BB211)&lt;1,10%,0))</f>
        <v>0</v>
      </c>
      <c r="BC212" s="2">
        <f>IF(OR(BC$208&gt;=$AQ212,BC$207=0),0,IF(SUM(BC$209:BC211)&lt;1,10%,0))</f>
        <v>0</v>
      </c>
      <c r="BD212" s="2">
        <f>IF(OR(BD$208&gt;=$AQ212,BD$207=0),0,IF(SUM(BD$209:BD211)&lt;1,10%,0))</f>
        <v>0</v>
      </c>
      <c r="BE212" s="2">
        <f>IF(OR(BE$208&gt;=$AQ212,BE$207=0),0,IF(SUM(BE$209:BE211)&lt;1,10%,0))</f>
        <v>0</v>
      </c>
      <c r="BF212" s="2">
        <f>IF(OR(BF$208&gt;=$AQ212,BF$207=0),0,IF(SUM(BF$209:BF211)&lt;1,10%,0))</f>
        <v>0</v>
      </c>
      <c r="BG212" s="2">
        <f>IF(OR(BG$208&gt;=$AQ212,BG$207=0),0,IF(SUM(BG$209:BG211)&lt;1,10%,0))</f>
        <v>0</v>
      </c>
      <c r="BH212" s="2">
        <f>IF(OR(BH$208&gt;=$AQ212,BH$207=0),0,IF(SUM(BH$209:BH211)&lt;1,10%,0))</f>
        <v>0</v>
      </c>
      <c r="BI212" s="2">
        <f>IF(OR(BI$208&gt;=$AQ212,BI$207=0),0,IF(SUM(BI$209:BI211)&lt;1,10%,0))</f>
        <v>0</v>
      </c>
      <c r="BJ212" s="2">
        <f>IF(OR(BJ$208&gt;=$AQ212,BJ$207=0),0,IF(SUM(BJ$209:BJ211)&lt;1,10%,0))</f>
        <v>0</v>
      </c>
      <c r="BK212" s="2">
        <f ca="1">IF(OR(BK$208&gt;=$AQ212,BK$207=0),0,IF(SUM(BK$209:BK211)&lt;1,10%,0))</f>
        <v>0</v>
      </c>
      <c r="BL212" s="2">
        <f>IF(OR(BL$208&gt;=$AQ212,BL$207=0),0,IF(SUM(BL$209:BL211)&lt;1,10%,0))</f>
        <v>0</v>
      </c>
      <c r="BM212" s="2">
        <f>IF(OR(BM$208&gt;=$AQ212,BM$207=0),0,IF(SUM(BM$209:BM211)&lt;1,10%,0))</f>
        <v>0</v>
      </c>
      <c r="BN212" s="2">
        <f>IF(OR(BN$208&gt;=$AQ212,BN$207=0),0,IF(SUM(BN$209:BN211)&lt;1,10%,0))</f>
        <v>0</v>
      </c>
      <c r="BO212" s="2">
        <f>IF(OR(BO$208&gt;=$AQ212,BO$207=0),0,IF(SUM(BO$209:BO211)&lt;1,10%,0))</f>
        <v>0</v>
      </c>
      <c r="BP212" s="2">
        <f>IF(OR(BP$208&gt;=$AQ212,BP$207=0),0,IF(SUM(BP$209:BP211)&lt;1,10%,0))</f>
        <v>0</v>
      </c>
      <c r="BQ212" s="2">
        <f>IF(OR(BQ$208&gt;=$AQ212,BQ$207=0),0,IF(SUM(BQ$209:BQ211)&lt;1,10%,0))</f>
        <v>0</v>
      </c>
      <c r="BR212" s="2">
        <f>IF(OR(BR$208&gt;=$AQ212,BR$207=0),0,IF(SUM(BR$209:BR211)&lt;1,10%,0))</f>
        <v>0</v>
      </c>
      <c r="BS212" s="2">
        <f>IF(OR(BS$208&gt;=$AQ212,BS$207=0),0,IF(SUM(BS$209:BS211)&lt;1,10%,0))</f>
        <v>0</v>
      </c>
      <c r="BT212" s="2">
        <f>IF(OR(BT$208&gt;=$AQ212,BT$207=0),0,IF(SUM(BT$209:BT211)&lt;1,10%,0))</f>
        <v>0</v>
      </c>
      <c r="BU212" s="2">
        <f ca="1">IF(OR(BU$208&gt;=$AQ212,BU$207=0),0,IF(SUM(BU$209:BU211)&lt;1,10%,0))</f>
        <v>0</v>
      </c>
      <c r="BV212" s="2">
        <f>IF(OR(BV$208&gt;=$AQ212,BV$207=0),0,IF(SUM(BV$209:BV211)&lt;1,10%,0))</f>
        <v>0</v>
      </c>
      <c r="BW212" s="2">
        <f>IF(OR(BW$208&gt;=$AQ212,BW$207=0),0,IF(SUM(BW$209:BW211)&lt;1,10%,0))</f>
        <v>0</v>
      </c>
      <c r="BX212" s="2">
        <f>IF(OR(BX$208&gt;=$AQ212,BX$207=0),0,IF(SUM(BX$209:BX211)&lt;1,10%,0))</f>
        <v>0</v>
      </c>
      <c r="BY212" s="2">
        <f>IF(OR(BY$208&gt;=$AQ212,BY$207=0),0,IF(SUM(BY$209:BY211)&lt;1,10%,0))</f>
        <v>0</v>
      </c>
      <c r="BZ212" s="2">
        <f>IF(OR(BZ$208&gt;=$AQ212,BZ$207=0),0,IF(SUM(BZ$209:BZ211)&lt;1,10%,0))</f>
        <v>0</v>
      </c>
    </row>
    <row r="213" spans="3:78" outlineLevel="1">
      <c r="C213" t="s">
        <v>542</v>
      </c>
      <c r="E213" s="133">
        <f t="shared" ca="1" si="130"/>
        <v>0</v>
      </c>
      <c r="F213" s="4">
        <f t="shared" si="131"/>
        <v>0</v>
      </c>
      <c r="G213" s="4">
        <f t="shared" si="132"/>
        <v>0</v>
      </c>
      <c r="H213" s="4">
        <f t="shared" si="133"/>
        <v>0</v>
      </c>
      <c r="I213" s="4">
        <f t="shared" si="134"/>
        <v>0</v>
      </c>
      <c r="J213" s="4">
        <f t="shared" si="135"/>
        <v>0</v>
      </c>
      <c r="K213" s="4">
        <f t="shared" si="136"/>
        <v>0</v>
      </c>
      <c r="L213" s="4">
        <f t="shared" si="137"/>
        <v>0</v>
      </c>
      <c r="M213" s="4">
        <f t="shared" si="138"/>
        <v>0</v>
      </c>
      <c r="N213" s="4">
        <f t="shared" si="139"/>
        <v>0</v>
      </c>
      <c r="O213" s="4">
        <f t="shared" ca="1" si="140"/>
        <v>0</v>
      </c>
      <c r="P213" s="4">
        <f t="shared" si="141"/>
        <v>0</v>
      </c>
      <c r="Q213" s="4">
        <f t="shared" si="142"/>
        <v>0</v>
      </c>
      <c r="R213" s="4">
        <f t="shared" si="143"/>
        <v>0</v>
      </c>
      <c r="S213" s="4">
        <f t="shared" si="144"/>
        <v>0</v>
      </c>
      <c r="T213" s="4">
        <f t="shared" si="145"/>
        <v>0</v>
      </c>
      <c r="U213" s="4">
        <f t="shared" si="146"/>
        <v>0</v>
      </c>
      <c r="V213" s="4">
        <f t="shared" si="147"/>
        <v>0</v>
      </c>
      <c r="W213" s="4">
        <f t="shared" si="148"/>
        <v>0</v>
      </c>
      <c r="X213" s="4">
        <f t="shared" si="149"/>
        <v>0</v>
      </c>
      <c r="Y213" s="4">
        <f t="shared" ca="1" si="150"/>
        <v>0</v>
      </c>
      <c r="Z213" s="4">
        <f t="shared" si="151"/>
        <v>0</v>
      </c>
      <c r="AA213" s="4">
        <f t="shared" si="152"/>
        <v>0</v>
      </c>
      <c r="AB213" s="4">
        <f t="shared" si="153"/>
        <v>0</v>
      </c>
      <c r="AC213" s="4">
        <f t="shared" si="154"/>
        <v>0</v>
      </c>
      <c r="AD213" s="4">
        <f t="shared" si="155"/>
        <v>0</v>
      </c>
      <c r="AE213" s="4">
        <f t="shared" si="156"/>
        <v>0</v>
      </c>
      <c r="AF213" s="4">
        <f t="shared" si="157"/>
        <v>0</v>
      </c>
      <c r="AG213" s="4">
        <f t="shared" si="158"/>
        <v>0</v>
      </c>
      <c r="AH213" s="4">
        <f t="shared" si="159"/>
        <v>0</v>
      </c>
      <c r="AI213" s="4">
        <f t="shared" ca="1" si="160"/>
        <v>0</v>
      </c>
      <c r="AJ213" s="4">
        <f t="shared" si="161"/>
        <v>0</v>
      </c>
      <c r="AK213" s="4">
        <f t="shared" si="162"/>
        <v>0</v>
      </c>
      <c r="AL213" s="4">
        <f t="shared" si="163"/>
        <v>0</v>
      </c>
      <c r="AM213" s="4">
        <f t="shared" si="164"/>
        <v>0</v>
      </c>
      <c r="AN213" s="4">
        <f t="shared" si="165"/>
        <v>0</v>
      </c>
      <c r="AQ213" s="1">
        <v>4</v>
      </c>
      <c r="AR213" s="2">
        <f>IF(OR(AR$208&gt;=$AQ213,AR$207=0),0,IF(SUM(AR$209:AR212)&lt;1,10%,0))</f>
        <v>0</v>
      </c>
      <c r="AS213" s="2">
        <f>IF(OR(AS$208&gt;=$AQ213,AS$207=0),0,IF(SUM(AS$209:AS212)&lt;1,10%,0))</f>
        <v>0</v>
      </c>
      <c r="AT213" s="2">
        <f>IF(OR(AT$208&gt;=$AQ213,AT$207=0),0,IF(SUM(AT$209:AT212)&lt;1,10%,0))</f>
        <v>0</v>
      </c>
      <c r="AU213" s="2">
        <f>IF(OR(AU$208&gt;=$AQ213,AU$207=0),0,IF(SUM(AU$209:AU212)&lt;1,10%,0))</f>
        <v>0</v>
      </c>
      <c r="AV213" s="2">
        <f>IF(OR(AV$208&gt;=$AQ213,AV$207=0),0,IF(SUM(AV$209:AV212)&lt;1,10%,0))</f>
        <v>0</v>
      </c>
      <c r="AW213" s="2">
        <f>IF(OR(AW$208&gt;=$AQ213,AW$207=0),0,IF(SUM(AW$209:AW212)&lt;1,10%,0))</f>
        <v>0</v>
      </c>
      <c r="AX213" s="2">
        <f>IF(OR(AX$208&gt;=$AQ213,AX$207=0),0,IF(SUM(AX$209:AX212)&lt;1,10%,0))</f>
        <v>0</v>
      </c>
      <c r="AY213" s="2">
        <f>IF(OR(AY$208&gt;=$AQ213,AY$207=0),0,IF(SUM(AY$209:AY212)&lt;1,10%,0))</f>
        <v>0</v>
      </c>
      <c r="AZ213" s="2">
        <f>IF(OR(AZ$208&gt;=$AQ213,AZ$207=0),0,IF(SUM(AZ$209:AZ212)&lt;1,10%,0))</f>
        <v>0</v>
      </c>
      <c r="BA213" s="2">
        <f ca="1">IF(OR(BA$208&gt;=$AQ213,BA$207=0),0,IF(SUM(BA$209:BA212)&lt;1,10%,0))</f>
        <v>0</v>
      </c>
      <c r="BB213" s="2">
        <f>IF(OR(BB$208&gt;=$AQ213,BB$207=0),0,IF(SUM(BB$209:BB212)&lt;1,10%,0))</f>
        <v>0</v>
      </c>
      <c r="BC213" s="2">
        <f>IF(OR(BC$208&gt;=$AQ213,BC$207=0),0,IF(SUM(BC$209:BC212)&lt;1,10%,0))</f>
        <v>0</v>
      </c>
      <c r="BD213" s="2">
        <f>IF(OR(BD$208&gt;=$AQ213,BD$207=0),0,IF(SUM(BD$209:BD212)&lt;1,10%,0))</f>
        <v>0</v>
      </c>
      <c r="BE213" s="2">
        <f>IF(OR(BE$208&gt;=$AQ213,BE$207=0),0,IF(SUM(BE$209:BE212)&lt;1,10%,0))</f>
        <v>0</v>
      </c>
      <c r="BF213" s="2">
        <f>IF(OR(BF$208&gt;=$AQ213,BF$207=0),0,IF(SUM(BF$209:BF212)&lt;1,10%,0))</f>
        <v>0</v>
      </c>
      <c r="BG213" s="2">
        <f>IF(OR(BG$208&gt;=$AQ213,BG$207=0),0,IF(SUM(BG$209:BG212)&lt;1,10%,0))</f>
        <v>0</v>
      </c>
      <c r="BH213" s="2">
        <f>IF(OR(BH$208&gt;=$AQ213,BH$207=0),0,IF(SUM(BH$209:BH212)&lt;1,10%,0))</f>
        <v>0</v>
      </c>
      <c r="BI213" s="2">
        <f>IF(OR(BI$208&gt;=$AQ213,BI$207=0),0,IF(SUM(BI$209:BI212)&lt;1,10%,0))</f>
        <v>0</v>
      </c>
      <c r="BJ213" s="2">
        <f>IF(OR(BJ$208&gt;=$AQ213,BJ$207=0),0,IF(SUM(BJ$209:BJ212)&lt;1,10%,0))</f>
        <v>0</v>
      </c>
      <c r="BK213" s="2">
        <f ca="1">IF(OR(BK$208&gt;=$AQ213,BK$207=0),0,IF(SUM(BK$209:BK212)&lt;1,10%,0))</f>
        <v>0</v>
      </c>
      <c r="BL213" s="2">
        <f>IF(OR(BL$208&gt;=$AQ213,BL$207=0),0,IF(SUM(BL$209:BL212)&lt;1,10%,0))</f>
        <v>0</v>
      </c>
      <c r="BM213" s="2">
        <f>IF(OR(BM$208&gt;=$AQ213,BM$207=0),0,IF(SUM(BM$209:BM212)&lt;1,10%,0))</f>
        <v>0</v>
      </c>
      <c r="BN213" s="2">
        <f>IF(OR(BN$208&gt;=$AQ213,BN$207=0),0,IF(SUM(BN$209:BN212)&lt;1,10%,0))</f>
        <v>0</v>
      </c>
      <c r="BO213" s="2">
        <f>IF(OR(BO$208&gt;=$AQ213,BO$207=0),0,IF(SUM(BO$209:BO212)&lt;1,10%,0))</f>
        <v>0</v>
      </c>
      <c r="BP213" s="2">
        <f>IF(OR(BP$208&gt;=$AQ213,BP$207=0),0,IF(SUM(BP$209:BP212)&lt;1,10%,0))</f>
        <v>0</v>
      </c>
      <c r="BQ213" s="2">
        <f>IF(OR(BQ$208&gt;=$AQ213,BQ$207=0),0,IF(SUM(BQ$209:BQ212)&lt;1,10%,0))</f>
        <v>0</v>
      </c>
      <c r="BR213" s="2">
        <f>IF(OR(BR$208&gt;=$AQ213,BR$207=0),0,IF(SUM(BR$209:BR212)&lt;1,10%,0))</f>
        <v>0</v>
      </c>
      <c r="BS213" s="2">
        <f>IF(OR(BS$208&gt;=$AQ213,BS$207=0),0,IF(SUM(BS$209:BS212)&lt;1,10%,0))</f>
        <v>0</v>
      </c>
      <c r="BT213" s="2">
        <f>IF(OR(BT$208&gt;=$AQ213,BT$207=0),0,IF(SUM(BT$209:BT212)&lt;1,10%,0))</f>
        <v>0</v>
      </c>
      <c r="BU213" s="2">
        <f ca="1">IF(OR(BU$208&gt;=$AQ213,BU$207=0),0,IF(SUM(BU$209:BU212)&lt;1,10%,0))</f>
        <v>0</v>
      </c>
      <c r="BV213" s="2">
        <f>IF(OR(BV$208&gt;=$AQ213,BV$207=0),0,IF(SUM(BV$209:BV212)&lt;1,10%,0))</f>
        <v>0</v>
      </c>
      <c r="BW213" s="2">
        <f>IF(OR(BW$208&gt;=$AQ213,BW$207=0),0,IF(SUM(BW$209:BW212)&lt;1,10%,0))</f>
        <v>0</v>
      </c>
      <c r="BX213" s="2">
        <f>IF(OR(BX$208&gt;=$AQ213,BX$207=0),0,IF(SUM(BX$209:BX212)&lt;1,10%,0))</f>
        <v>0</v>
      </c>
      <c r="BY213" s="2">
        <f>IF(OR(BY$208&gt;=$AQ213,BY$207=0),0,IF(SUM(BY$209:BY212)&lt;1,10%,0))</f>
        <v>0</v>
      </c>
      <c r="BZ213" s="2">
        <f>IF(OR(BZ$208&gt;=$AQ213,BZ$207=0),0,IF(SUM(BZ$209:BZ212)&lt;1,10%,0))</f>
        <v>0</v>
      </c>
    </row>
    <row r="214" spans="3:78" outlineLevel="1">
      <c r="C214" t="s">
        <v>543</v>
      </c>
      <c r="E214" s="133">
        <f t="shared" ca="1" si="130"/>
        <v>0</v>
      </c>
      <c r="F214" s="4">
        <f t="shared" si="131"/>
        <v>0</v>
      </c>
      <c r="G214" s="4">
        <f t="shared" si="132"/>
        <v>0</v>
      </c>
      <c r="H214" s="4">
        <f t="shared" si="133"/>
        <v>0</v>
      </c>
      <c r="I214" s="4">
        <f t="shared" si="134"/>
        <v>0</v>
      </c>
      <c r="J214" s="4">
        <f t="shared" si="135"/>
        <v>0</v>
      </c>
      <c r="K214" s="4">
        <f t="shared" si="136"/>
        <v>0</v>
      </c>
      <c r="L214" s="4">
        <f t="shared" si="137"/>
        <v>0</v>
      </c>
      <c r="M214" s="4">
        <f t="shared" si="138"/>
        <v>0</v>
      </c>
      <c r="N214" s="4">
        <f t="shared" si="139"/>
        <v>0</v>
      </c>
      <c r="O214" s="4">
        <f t="shared" ca="1" si="140"/>
        <v>0</v>
      </c>
      <c r="P214" s="4">
        <f t="shared" si="141"/>
        <v>0</v>
      </c>
      <c r="Q214" s="4">
        <f t="shared" si="142"/>
        <v>0</v>
      </c>
      <c r="R214" s="4">
        <f t="shared" si="143"/>
        <v>0</v>
      </c>
      <c r="S214" s="4">
        <f t="shared" si="144"/>
        <v>0</v>
      </c>
      <c r="T214" s="4">
        <f t="shared" si="145"/>
        <v>0</v>
      </c>
      <c r="U214" s="4">
        <f t="shared" si="146"/>
        <v>0</v>
      </c>
      <c r="V214" s="4">
        <f t="shared" si="147"/>
        <v>0</v>
      </c>
      <c r="W214" s="4">
        <f t="shared" si="148"/>
        <v>0</v>
      </c>
      <c r="X214" s="4">
        <f t="shared" si="149"/>
        <v>0</v>
      </c>
      <c r="Y214" s="4">
        <f t="shared" ca="1" si="150"/>
        <v>0</v>
      </c>
      <c r="Z214" s="4">
        <f t="shared" si="151"/>
        <v>0</v>
      </c>
      <c r="AA214" s="4">
        <f t="shared" si="152"/>
        <v>0</v>
      </c>
      <c r="AB214" s="4">
        <f t="shared" si="153"/>
        <v>0</v>
      </c>
      <c r="AC214" s="4">
        <f t="shared" si="154"/>
        <v>0</v>
      </c>
      <c r="AD214" s="4">
        <f t="shared" si="155"/>
        <v>0</v>
      </c>
      <c r="AE214" s="4">
        <f t="shared" si="156"/>
        <v>0</v>
      </c>
      <c r="AF214" s="4">
        <f t="shared" si="157"/>
        <v>0</v>
      </c>
      <c r="AG214" s="4">
        <f t="shared" si="158"/>
        <v>0</v>
      </c>
      <c r="AH214" s="4">
        <f t="shared" si="159"/>
        <v>0</v>
      </c>
      <c r="AI214" s="4">
        <f t="shared" ca="1" si="160"/>
        <v>0</v>
      </c>
      <c r="AJ214" s="4">
        <f t="shared" si="161"/>
        <v>0</v>
      </c>
      <c r="AK214" s="4">
        <f t="shared" si="162"/>
        <v>0</v>
      </c>
      <c r="AL214" s="4">
        <f t="shared" si="163"/>
        <v>0</v>
      </c>
      <c r="AM214" s="4">
        <f t="shared" si="164"/>
        <v>0</v>
      </c>
      <c r="AN214" s="4">
        <f t="shared" si="165"/>
        <v>0</v>
      </c>
      <c r="AQ214" s="1">
        <v>5</v>
      </c>
      <c r="AR214" s="2">
        <f>IF(OR(AR$208&gt;=$AQ214,AR$207=0),0,IF(SUM(AR$209:AR213)&lt;1,10%,0))</f>
        <v>0</v>
      </c>
      <c r="AS214" s="2">
        <f>IF(OR(AS$208&gt;=$AQ214,AS$207=0),0,IF(SUM(AS$209:AS213)&lt;1,10%,0))</f>
        <v>0</v>
      </c>
      <c r="AT214" s="2">
        <f>IF(OR(AT$208&gt;=$AQ214,AT$207=0),0,IF(SUM(AT$209:AT213)&lt;1,10%,0))</f>
        <v>0</v>
      </c>
      <c r="AU214" s="2">
        <f>IF(OR(AU$208&gt;=$AQ214,AU$207=0),0,IF(SUM(AU$209:AU213)&lt;1,10%,0))</f>
        <v>0</v>
      </c>
      <c r="AV214" s="2">
        <f>IF(OR(AV$208&gt;=$AQ214,AV$207=0),0,IF(SUM(AV$209:AV213)&lt;1,10%,0))</f>
        <v>0</v>
      </c>
      <c r="AW214" s="2">
        <f>IF(OR(AW$208&gt;=$AQ214,AW$207=0),0,IF(SUM(AW$209:AW213)&lt;1,10%,0))</f>
        <v>0</v>
      </c>
      <c r="AX214" s="2">
        <f>IF(OR(AX$208&gt;=$AQ214,AX$207=0),0,IF(SUM(AX$209:AX213)&lt;1,10%,0))</f>
        <v>0</v>
      </c>
      <c r="AY214" s="2">
        <f>IF(OR(AY$208&gt;=$AQ214,AY$207=0),0,IF(SUM(AY$209:AY213)&lt;1,10%,0))</f>
        <v>0</v>
      </c>
      <c r="AZ214" s="2">
        <f>IF(OR(AZ$208&gt;=$AQ214,AZ$207=0),0,IF(SUM(AZ$209:AZ213)&lt;1,10%,0))</f>
        <v>0</v>
      </c>
      <c r="BA214" s="2">
        <f ca="1">IF(OR(BA$208&gt;=$AQ214,BA$207=0),0,IF(SUM(BA$209:BA213)&lt;1,10%,0))</f>
        <v>0</v>
      </c>
      <c r="BB214" s="2">
        <f>IF(OR(BB$208&gt;=$AQ214,BB$207=0),0,IF(SUM(BB$209:BB213)&lt;1,10%,0))</f>
        <v>0</v>
      </c>
      <c r="BC214" s="2">
        <f>IF(OR(BC$208&gt;=$AQ214,BC$207=0),0,IF(SUM(BC$209:BC213)&lt;1,10%,0))</f>
        <v>0</v>
      </c>
      <c r="BD214" s="2">
        <f>IF(OR(BD$208&gt;=$AQ214,BD$207=0),0,IF(SUM(BD$209:BD213)&lt;1,10%,0))</f>
        <v>0</v>
      </c>
      <c r="BE214" s="2">
        <f>IF(OR(BE$208&gt;=$AQ214,BE$207=0),0,IF(SUM(BE$209:BE213)&lt;1,10%,0))</f>
        <v>0</v>
      </c>
      <c r="BF214" s="2">
        <f>IF(OR(BF$208&gt;=$AQ214,BF$207=0),0,IF(SUM(BF$209:BF213)&lt;1,10%,0))</f>
        <v>0</v>
      </c>
      <c r="BG214" s="2">
        <f>IF(OR(BG$208&gt;=$AQ214,BG$207=0),0,IF(SUM(BG$209:BG213)&lt;1,10%,0))</f>
        <v>0</v>
      </c>
      <c r="BH214" s="2">
        <f>IF(OR(BH$208&gt;=$AQ214,BH$207=0),0,IF(SUM(BH$209:BH213)&lt;1,10%,0))</f>
        <v>0</v>
      </c>
      <c r="BI214" s="2">
        <f>IF(OR(BI$208&gt;=$AQ214,BI$207=0),0,IF(SUM(BI$209:BI213)&lt;1,10%,0))</f>
        <v>0</v>
      </c>
      <c r="BJ214" s="2">
        <f>IF(OR(BJ$208&gt;=$AQ214,BJ$207=0),0,IF(SUM(BJ$209:BJ213)&lt;1,10%,0))</f>
        <v>0</v>
      </c>
      <c r="BK214" s="2">
        <f ca="1">IF(OR(BK$208&gt;=$AQ214,BK$207=0),0,IF(SUM(BK$209:BK213)&lt;1,10%,0))</f>
        <v>0</v>
      </c>
      <c r="BL214" s="2">
        <f>IF(OR(BL$208&gt;=$AQ214,BL$207=0),0,IF(SUM(BL$209:BL213)&lt;1,10%,0))</f>
        <v>0</v>
      </c>
      <c r="BM214" s="2">
        <f>IF(OR(BM$208&gt;=$AQ214,BM$207=0),0,IF(SUM(BM$209:BM213)&lt;1,10%,0))</f>
        <v>0</v>
      </c>
      <c r="BN214" s="2">
        <f>IF(OR(BN$208&gt;=$AQ214,BN$207=0),0,IF(SUM(BN$209:BN213)&lt;1,10%,0))</f>
        <v>0</v>
      </c>
      <c r="BO214" s="2">
        <f>IF(OR(BO$208&gt;=$AQ214,BO$207=0),0,IF(SUM(BO$209:BO213)&lt;1,10%,0))</f>
        <v>0</v>
      </c>
      <c r="BP214" s="2">
        <f>IF(OR(BP$208&gt;=$AQ214,BP$207=0),0,IF(SUM(BP$209:BP213)&lt;1,10%,0))</f>
        <v>0</v>
      </c>
      <c r="BQ214" s="2">
        <f>IF(OR(BQ$208&gt;=$AQ214,BQ$207=0),0,IF(SUM(BQ$209:BQ213)&lt;1,10%,0))</f>
        <v>0</v>
      </c>
      <c r="BR214" s="2">
        <f>IF(OR(BR$208&gt;=$AQ214,BR$207=0),0,IF(SUM(BR$209:BR213)&lt;1,10%,0))</f>
        <v>0</v>
      </c>
      <c r="BS214" s="2">
        <f>IF(OR(BS$208&gt;=$AQ214,BS$207=0),0,IF(SUM(BS$209:BS213)&lt;1,10%,0))</f>
        <v>0</v>
      </c>
      <c r="BT214" s="2">
        <f>IF(OR(BT$208&gt;=$AQ214,BT$207=0),0,IF(SUM(BT$209:BT213)&lt;1,10%,0))</f>
        <v>0</v>
      </c>
      <c r="BU214" s="2">
        <f ca="1">IF(OR(BU$208&gt;=$AQ214,BU$207=0),0,IF(SUM(BU$209:BU213)&lt;1,10%,0))</f>
        <v>0</v>
      </c>
      <c r="BV214" s="2">
        <f>IF(OR(BV$208&gt;=$AQ214,BV$207=0),0,IF(SUM(BV$209:BV213)&lt;1,10%,0))</f>
        <v>0</v>
      </c>
      <c r="BW214" s="2">
        <f>IF(OR(BW$208&gt;=$AQ214,BW$207=0),0,IF(SUM(BW$209:BW213)&lt;1,10%,0))</f>
        <v>0</v>
      </c>
      <c r="BX214" s="2">
        <f>IF(OR(BX$208&gt;=$AQ214,BX$207=0),0,IF(SUM(BX$209:BX213)&lt;1,10%,0))</f>
        <v>0</v>
      </c>
      <c r="BY214" s="2">
        <f>IF(OR(BY$208&gt;=$AQ214,BY$207=0),0,IF(SUM(BY$209:BY213)&lt;1,10%,0))</f>
        <v>0</v>
      </c>
      <c r="BZ214" s="2">
        <f>IF(OR(BZ$208&gt;=$AQ214,BZ$207=0),0,IF(SUM(BZ$209:BZ213)&lt;1,10%,0))</f>
        <v>0</v>
      </c>
    </row>
    <row r="215" spans="3:78" outlineLevel="1">
      <c r="C215" t="s">
        <v>544</v>
      </c>
      <c r="E215" s="133">
        <f t="shared" ca="1" si="130"/>
        <v>0</v>
      </c>
      <c r="F215" s="4">
        <f t="shared" si="131"/>
        <v>0</v>
      </c>
      <c r="G215" s="4">
        <f t="shared" si="132"/>
        <v>0</v>
      </c>
      <c r="H215" s="4">
        <f t="shared" si="133"/>
        <v>0</v>
      </c>
      <c r="I215" s="4">
        <f t="shared" si="134"/>
        <v>0</v>
      </c>
      <c r="J215" s="4">
        <f t="shared" si="135"/>
        <v>0</v>
      </c>
      <c r="K215" s="4">
        <f t="shared" si="136"/>
        <v>0</v>
      </c>
      <c r="L215" s="4">
        <f t="shared" si="137"/>
        <v>0</v>
      </c>
      <c r="M215" s="4">
        <f t="shared" si="138"/>
        <v>0</v>
      </c>
      <c r="N215" s="4">
        <f t="shared" si="139"/>
        <v>0</v>
      </c>
      <c r="O215" s="4">
        <f t="shared" ca="1" si="140"/>
        <v>0</v>
      </c>
      <c r="P215" s="4">
        <f t="shared" si="141"/>
        <v>0</v>
      </c>
      <c r="Q215" s="4">
        <f t="shared" si="142"/>
        <v>0</v>
      </c>
      <c r="R215" s="4">
        <f t="shared" si="143"/>
        <v>0</v>
      </c>
      <c r="S215" s="4">
        <f t="shared" si="144"/>
        <v>0</v>
      </c>
      <c r="T215" s="4">
        <f t="shared" si="145"/>
        <v>0</v>
      </c>
      <c r="U215" s="4">
        <f t="shared" si="146"/>
        <v>0</v>
      </c>
      <c r="V215" s="4">
        <f t="shared" si="147"/>
        <v>0</v>
      </c>
      <c r="W215" s="4">
        <f t="shared" si="148"/>
        <v>0</v>
      </c>
      <c r="X215" s="4">
        <f t="shared" si="149"/>
        <v>0</v>
      </c>
      <c r="Y215" s="4">
        <f t="shared" ca="1" si="150"/>
        <v>0</v>
      </c>
      <c r="Z215" s="4">
        <f t="shared" si="151"/>
        <v>0</v>
      </c>
      <c r="AA215" s="4">
        <f t="shared" si="152"/>
        <v>0</v>
      </c>
      <c r="AB215" s="4">
        <f t="shared" si="153"/>
        <v>0</v>
      </c>
      <c r="AC215" s="4">
        <f t="shared" si="154"/>
        <v>0</v>
      </c>
      <c r="AD215" s="4">
        <f t="shared" si="155"/>
        <v>0</v>
      </c>
      <c r="AE215" s="4">
        <f t="shared" si="156"/>
        <v>0</v>
      </c>
      <c r="AF215" s="4">
        <f t="shared" si="157"/>
        <v>0</v>
      </c>
      <c r="AG215" s="4">
        <f t="shared" si="158"/>
        <v>0</v>
      </c>
      <c r="AH215" s="4">
        <f t="shared" si="159"/>
        <v>0</v>
      </c>
      <c r="AI215" s="4">
        <f t="shared" ca="1" si="160"/>
        <v>0</v>
      </c>
      <c r="AJ215" s="4">
        <f t="shared" si="161"/>
        <v>0</v>
      </c>
      <c r="AK215" s="4">
        <f t="shared" si="162"/>
        <v>0</v>
      </c>
      <c r="AL215" s="4">
        <f t="shared" si="163"/>
        <v>0</v>
      </c>
      <c r="AM215" s="4">
        <f t="shared" si="164"/>
        <v>0</v>
      </c>
      <c r="AN215" s="4">
        <f t="shared" si="165"/>
        <v>0</v>
      </c>
      <c r="AQ215" s="1">
        <v>6</v>
      </c>
      <c r="AR215" s="2">
        <f>IF(OR(AR$208&gt;=$AQ215,AR$207=0),0,IF(SUM(AR$209:AR214)&lt;1,10%,0))</f>
        <v>0</v>
      </c>
      <c r="AS215" s="2">
        <f>IF(OR(AS$208&gt;=$AQ215,AS$207=0),0,IF(SUM(AS$209:AS214)&lt;1,10%,0))</f>
        <v>0</v>
      </c>
      <c r="AT215" s="2">
        <f>IF(OR(AT$208&gt;=$AQ215,AT$207=0),0,IF(SUM(AT$209:AT214)&lt;1,10%,0))</f>
        <v>0</v>
      </c>
      <c r="AU215" s="2">
        <f>IF(OR(AU$208&gt;=$AQ215,AU$207=0),0,IF(SUM(AU$209:AU214)&lt;1,10%,0))</f>
        <v>0</v>
      </c>
      <c r="AV215" s="2">
        <f>IF(OR(AV$208&gt;=$AQ215,AV$207=0),0,IF(SUM(AV$209:AV214)&lt;1,10%,0))</f>
        <v>0</v>
      </c>
      <c r="AW215" s="2">
        <f>IF(OR(AW$208&gt;=$AQ215,AW$207=0),0,IF(SUM(AW$209:AW214)&lt;1,10%,0))</f>
        <v>0</v>
      </c>
      <c r="AX215" s="2">
        <f>IF(OR(AX$208&gt;=$AQ215,AX$207=0),0,IF(SUM(AX$209:AX214)&lt;1,10%,0))</f>
        <v>0</v>
      </c>
      <c r="AY215" s="2">
        <f>IF(OR(AY$208&gt;=$AQ215,AY$207=0),0,IF(SUM(AY$209:AY214)&lt;1,10%,0))</f>
        <v>0</v>
      </c>
      <c r="AZ215" s="2">
        <f>IF(OR(AZ$208&gt;=$AQ215,AZ$207=0),0,IF(SUM(AZ$209:AZ214)&lt;1,10%,0))</f>
        <v>0</v>
      </c>
      <c r="BA215" s="2">
        <f ca="1">IF(OR(BA$208&gt;=$AQ215,BA$207=0),0,IF(SUM(BA$209:BA214)&lt;1,10%,0))</f>
        <v>0</v>
      </c>
      <c r="BB215" s="2">
        <f>IF(OR(BB$208&gt;=$AQ215,BB$207=0),0,IF(SUM(BB$209:BB214)&lt;1,10%,0))</f>
        <v>0</v>
      </c>
      <c r="BC215" s="2">
        <f>IF(OR(BC$208&gt;=$AQ215,BC$207=0),0,IF(SUM(BC$209:BC214)&lt;1,10%,0))</f>
        <v>0</v>
      </c>
      <c r="BD215" s="2">
        <f>IF(OR(BD$208&gt;=$AQ215,BD$207=0),0,IF(SUM(BD$209:BD214)&lt;1,10%,0))</f>
        <v>0</v>
      </c>
      <c r="BE215" s="2">
        <f>IF(OR(BE$208&gt;=$AQ215,BE$207=0),0,IF(SUM(BE$209:BE214)&lt;1,10%,0))</f>
        <v>0</v>
      </c>
      <c r="BF215" s="2">
        <f>IF(OR(BF$208&gt;=$AQ215,BF$207=0),0,IF(SUM(BF$209:BF214)&lt;1,10%,0))</f>
        <v>0</v>
      </c>
      <c r="BG215" s="2">
        <f>IF(OR(BG$208&gt;=$AQ215,BG$207=0),0,IF(SUM(BG$209:BG214)&lt;1,10%,0))</f>
        <v>0</v>
      </c>
      <c r="BH215" s="2">
        <f>IF(OR(BH$208&gt;=$AQ215,BH$207=0),0,IF(SUM(BH$209:BH214)&lt;1,10%,0))</f>
        <v>0</v>
      </c>
      <c r="BI215" s="2">
        <f>IF(OR(BI$208&gt;=$AQ215,BI$207=0),0,IF(SUM(BI$209:BI214)&lt;1,10%,0))</f>
        <v>0</v>
      </c>
      <c r="BJ215" s="2">
        <f>IF(OR(BJ$208&gt;=$AQ215,BJ$207=0),0,IF(SUM(BJ$209:BJ214)&lt;1,10%,0))</f>
        <v>0</v>
      </c>
      <c r="BK215" s="2">
        <f ca="1">IF(OR(BK$208&gt;=$AQ215,BK$207=0),0,IF(SUM(BK$209:BK214)&lt;1,10%,0))</f>
        <v>0</v>
      </c>
      <c r="BL215" s="2">
        <f>IF(OR(BL$208&gt;=$AQ215,BL$207=0),0,IF(SUM(BL$209:BL214)&lt;1,10%,0))</f>
        <v>0</v>
      </c>
      <c r="BM215" s="2">
        <f>IF(OR(BM$208&gt;=$AQ215,BM$207=0),0,IF(SUM(BM$209:BM214)&lt;1,10%,0))</f>
        <v>0</v>
      </c>
      <c r="BN215" s="2">
        <f>IF(OR(BN$208&gt;=$AQ215,BN$207=0),0,IF(SUM(BN$209:BN214)&lt;1,10%,0))</f>
        <v>0</v>
      </c>
      <c r="BO215" s="2">
        <f>IF(OR(BO$208&gt;=$AQ215,BO$207=0),0,IF(SUM(BO$209:BO214)&lt;1,10%,0))</f>
        <v>0</v>
      </c>
      <c r="BP215" s="2">
        <f>IF(OR(BP$208&gt;=$AQ215,BP$207=0),0,IF(SUM(BP$209:BP214)&lt;1,10%,0))</f>
        <v>0</v>
      </c>
      <c r="BQ215" s="2">
        <f>IF(OR(BQ$208&gt;=$AQ215,BQ$207=0),0,IF(SUM(BQ$209:BQ214)&lt;1,10%,0))</f>
        <v>0</v>
      </c>
      <c r="BR215" s="2">
        <f>IF(OR(BR$208&gt;=$AQ215,BR$207=0),0,IF(SUM(BR$209:BR214)&lt;1,10%,0))</f>
        <v>0</v>
      </c>
      <c r="BS215" s="2">
        <f>IF(OR(BS$208&gt;=$AQ215,BS$207=0),0,IF(SUM(BS$209:BS214)&lt;1,10%,0))</f>
        <v>0</v>
      </c>
      <c r="BT215" s="2">
        <f>IF(OR(BT$208&gt;=$AQ215,BT$207=0),0,IF(SUM(BT$209:BT214)&lt;1,10%,0))</f>
        <v>0</v>
      </c>
      <c r="BU215" s="2">
        <f ca="1">IF(OR(BU$208&gt;=$AQ215,BU$207=0),0,IF(SUM(BU$209:BU214)&lt;1,10%,0))</f>
        <v>0</v>
      </c>
      <c r="BV215" s="2">
        <f>IF(OR(BV$208&gt;=$AQ215,BV$207=0),0,IF(SUM(BV$209:BV214)&lt;1,10%,0))</f>
        <v>0</v>
      </c>
      <c r="BW215" s="2">
        <f>IF(OR(BW$208&gt;=$AQ215,BW$207=0),0,IF(SUM(BW$209:BW214)&lt;1,10%,0))</f>
        <v>0</v>
      </c>
      <c r="BX215" s="2">
        <f>IF(OR(BX$208&gt;=$AQ215,BX$207=0),0,IF(SUM(BX$209:BX214)&lt;1,10%,0))</f>
        <v>0</v>
      </c>
      <c r="BY215" s="2">
        <f>IF(OR(BY$208&gt;=$AQ215,BY$207=0),0,IF(SUM(BY$209:BY214)&lt;1,10%,0))</f>
        <v>0</v>
      </c>
      <c r="BZ215" s="2">
        <f>IF(OR(BZ$208&gt;=$AQ215,BZ$207=0),0,IF(SUM(BZ$209:BZ214)&lt;1,10%,0))</f>
        <v>0</v>
      </c>
    </row>
    <row r="216" spans="3:78" outlineLevel="1">
      <c r="C216" t="s">
        <v>545</v>
      </c>
      <c r="E216" s="133">
        <f t="shared" ca="1" si="130"/>
        <v>0</v>
      </c>
      <c r="F216" s="4">
        <f t="shared" si="131"/>
        <v>0</v>
      </c>
      <c r="G216" s="4">
        <f t="shared" si="132"/>
        <v>0</v>
      </c>
      <c r="H216" s="4">
        <f t="shared" si="133"/>
        <v>0</v>
      </c>
      <c r="I216" s="4">
        <f t="shared" si="134"/>
        <v>0</v>
      </c>
      <c r="J216" s="4">
        <f t="shared" si="135"/>
        <v>0</v>
      </c>
      <c r="K216" s="4">
        <f t="shared" si="136"/>
        <v>0</v>
      </c>
      <c r="L216" s="4">
        <f t="shared" si="137"/>
        <v>0</v>
      </c>
      <c r="M216" s="4">
        <f t="shared" si="138"/>
        <v>0</v>
      </c>
      <c r="N216" s="4">
        <f t="shared" si="139"/>
        <v>0</v>
      </c>
      <c r="O216" s="4">
        <f t="shared" ca="1" si="140"/>
        <v>0</v>
      </c>
      <c r="P216" s="4">
        <f t="shared" si="141"/>
        <v>0</v>
      </c>
      <c r="Q216" s="4">
        <f t="shared" si="142"/>
        <v>0</v>
      </c>
      <c r="R216" s="4">
        <f t="shared" si="143"/>
        <v>0</v>
      </c>
      <c r="S216" s="4">
        <f t="shared" si="144"/>
        <v>0</v>
      </c>
      <c r="T216" s="4">
        <f t="shared" si="145"/>
        <v>0</v>
      </c>
      <c r="U216" s="4">
        <f t="shared" si="146"/>
        <v>0</v>
      </c>
      <c r="V216" s="4">
        <f t="shared" si="147"/>
        <v>0</v>
      </c>
      <c r="W216" s="4">
        <f t="shared" si="148"/>
        <v>0</v>
      </c>
      <c r="X216" s="4">
        <f t="shared" si="149"/>
        <v>0</v>
      </c>
      <c r="Y216" s="4">
        <f t="shared" ca="1" si="150"/>
        <v>0</v>
      </c>
      <c r="Z216" s="4">
        <f t="shared" si="151"/>
        <v>0</v>
      </c>
      <c r="AA216" s="4">
        <f t="shared" si="152"/>
        <v>0</v>
      </c>
      <c r="AB216" s="4">
        <f t="shared" si="153"/>
        <v>0</v>
      </c>
      <c r="AC216" s="4">
        <f t="shared" si="154"/>
        <v>0</v>
      </c>
      <c r="AD216" s="4">
        <f t="shared" si="155"/>
        <v>0</v>
      </c>
      <c r="AE216" s="4">
        <f t="shared" si="156"/>
        <v>0</v>
      </c>
      <c r="AF216" s="4">
        <f t="shared" si="157"/>
        <v>0</v>
      </c>
      <c r="AG216" s="4">
        <f t="shared" si="158"/>
        <v>0</v>
      </c>
      <c r="AH216" s="4">
        <f t="shared" si="159"/>
        <v>0</v>
      </c>
      <c r="AI216" s="4">
        <f t="shared" ca="1" si="160"/>
        <v>0</v>
      </c>
      <c r="AJ216" s="4">
        <f t="shared" si="161"/>
        <v>0</v>
      </c>
      <c r="AK216" s="4">
        <f t="shared" si="162"/>
        <v>0</v>
      </c>
      <c r="AL216" s="4">
        <f t="shared" si="163"/>
        <v>0</v>
      </c>
      <c r="AM216" s="4">
        <f t="shared" si="164"/>
        <v>0</v>
      </c>
      <c r="AN216" s="4">
        <f t="shared" si="165"/>
        <v>0</v>
      </c>
      <c r="AQ216" s="1">
        <v>7</v>
      </c>
      <c r="AR216" s="2">
        <f>IF(OR(AR$208&gt;=$AQ216,AR$207=0),0,IF(SUM(AR$209:AR215)&lt;1,10%,0))</f>
        <v>0</v>
      </c>
      <c r="AS216" s="2">
        <f>IF(OR(AS$208&gt;=$AQ216,AS$207=0),0,IF(SUM(AS$209:AS215)&lt;1,10%,0))</f>
        <v>0</v>
      </c>
      <c r="AT216" s="2">
        <f>IF(OR(AT$208&gt;=$AQ216,AT$207=0),0,IF(SUM(AT$209:AT215)&lt;1,10%,0))</f>
        <v>0</v>
      </c>
      <c r="AU216" s="2">
        <f>IF(OR(AU$208&gt;=$AQ216,AU$207=0),0,IF(SUM(AU$209:AU215)&lt;1,10%,0))</f>
        <v>0</v>
      </c>
      <c r="AV216" s="2">
        <f>IF(OR(AV$208&gt;=$AQ216,AV$207=0),0,IF(SUM(AV$209:AV215)&lt;1,10%,0))</f>
        <v>0</v>
      </c>
      <c r="AW216" s="2">
        <f>IF(OR(AW$208&gt;=$AQ216,AW$207=0),0,IF(SUM(AW$209:AW215)&lt;1,10%,0))</f>
        <v>0</v>
      </c>
      <c r="AX216" s="2">
        <f>IF(OR(AX$208&gt;=$AQ216,AX$207=0),0,IF(SUM(AX$209:AX215)&lt;1,10%,0))</f>
        <v>0</v>
      </c>
      <c r="AY216" s="2">
        <f>IF(OR(AY$208&gt;=$AQ216,AY$207=0),0,IF(SUM(AY$209:AY215)&lt;1,10%,0))</f>
        <v>0</v>
      </c>
      <c r="AZ216" s="2">
        <f>IF(OR(AZ$208&gt;=$AQ216,AZ$207=0),0,IF(SUM(AZ$209:AZ215)&lt;1,10%,0))</f>
        <v>0</v>
      </c>
      <c r="BA216" s="2">
        <f ca="1">IF(OR(BA$208&gt;=$AQ216,BA$207=0),0,IF(SUM(BA$209:BA215)&lt;1,10%,0))</f>
        <v>0</v>
      </c>
      <c r="BB216" s="2">
        <f>IF(OR(BB$208&gt;=$AQ216,BB$207=0),0,IF(SUM(BB$209:BB215)&lt;1,10%,0))</f>
        <v>0</v>
      </c>
      <c r="BC216" s="2">
        <f>IF(OR(BC$208&gt;=$AQ216,BC$207=0),0,IF(SUM(BC$209:BC215)&lt;1,10%,0))</f>
        <v>0</v>
      </c>
      <c r="BD216" s="2">
        <f>IF(OR(BD$208&gt;=$AQ216,BD$207=0),0,IF(SUM(BD$209:BD215)&lt;1,10%,0))</f>
        <v>0</v>
      </c>
      <c r="BE216" s="2">
        <f>IF(OR(BE$208&gt;=$AQ216,BE$207=0),0,IF(SUM(BE$209:BE215)&lt;1,10%,0))</f>
        <v>0</v>
      </c>
      <c r="BF216" s="2">
        <f>IF(OR(BF$208&gt;=$AQ216,BF$207=0),0,IF(SUM(BF$209:BF215)&lt;1,10%,0))</f>
        <v>0</v>
      </c>
      <c r="BG216" s="2">
        <f>IF(OR(BG$208&gt;=$AQ216,BG$207=0),0,IF(SUM(BG$209:BG215)&lt;1,10%,0))</f>
        <v>0</v>
      </c>
      <c r="BH216" s="2">
        <f>IF(OR(BH$208&gt;=$AQ216,BH$207=0),0,IF(SUM(BH$209:BH215)&lt;1,10%,0))</f>
        <v>0</v>
      </c>
      <c r="BI216" s="2">
        <f>IF(OR(BI$208&gt;=$AQ216,BI$207=0),0,IF(SUM(BI$209:BI215)&lt;1,10%,0))</f>
        <v>0</v>
      </c>
      <c r="BJ216" s="2">
        <f>IF(OR(BJ$208&gt;=$AQ216,BJ$207=0),0,IF(SUM(BJ$209:BJ215)&lt;1,10%,0))</f>
        <v>0</v>
      </c>
      <c r="BK216" s="2">
        <f ca="1">IF(OR(BK$208&gt;=$AQ216,BK$207=0),0,IF(SUM(BK$209:BK215)&lt;1,10%,0))</f>
        <v>0</v>
      </c>
      <c r="BL216" s="2">
        <f>IF(OR(BL$208&gt;=$AQ216,BL$207=0),0,IF(SUM(BL$209:BL215)&lt;1,10%,0))</f>
        <v>0</v>
      </c>
      <c r="BM216" s="2">
        <f>IF(OR(BM$208&gt;=$AQ216,BM$207=0),0,IF(SUM(BM$209:BM215)&lt;1,10%,0))</f>
        <v>0</v>
      </c>
      <c r="BN216" s="2">
        <f>IF(OR(BN$208&gt;=$AQ216,BN$207=0),0,IF(SUM(BN$209:BN215)&lt;1,10%,0))</f>
        <v>0</v>
      </c>
      <c r="BO216" s="2">
        <f>IF(OR(BO$208&gt;=$AQ216,BO$207=0),0,IF(SUM(BO$209:BO215)&lt;1,10%,0))</f>
        <v>0</v>
      </c>
      <c r="BP216" s="2">
        <f>IF(OR(BP$208&gt;=$AQ216,BP$207=0),0,IF(SUM(BP$209:BP215)&lt;1,10%,0))</f>
        <v>0</v>
      </c>
      <c r="BQ216" s="2">
        <f>IF(OR(BQ$208&gt;=$AQ216,BQ$207=0),0,IF(SUM(BQ$209:BQ215)&lt;1,10%,0))</f>
        <v>0</v>
      </c>
      <c r="BR216" s="2">
        <f>IF(OR(BR$208&gt;=$AQ216,BR$207=0),0,IF(SUM(BR$209:BR215)&lt;1,10%,0))</f>
        <v>0</v>
      </c>
      <c r="BS216" s="2">
        <f>IF(OR(BS$208&gt;=$AQ216,BS$207=0),0,IF(SUM(BS$209:BS215)&lt;1,10%,0))</f>
        <v>0</v>
      </c>
      <c r="BT216" s="2">
        <f>IF(OR(BT$208&gt;=$AQ216,BT$207=0),0,IF(SUM(BT$209:BT215)&lt;1,10%,0))</f>
        <v>0</v>
      </c>
      <c r="BU216" s="2">
        <f ca="1">IF(OR(BU$208&gt;=$AQ216,BU$207=0),0,IF(SUM(BU$209:BU215)&lt;1,10%,0))</f>
        <v>0</v>
      </c>
      <c r="BV216" s="2">
        <f>IF(OR(BV$208&gt;=$AQ216,BV$207=0),0,IF(SUM(BV$209:BV215)&lt;1,10%,0))</f>
        <v>0</v>
      </c>
      <c r="BW216" s="2">
        <f>IF(OR(BW$208&gt;=$AQ216,BW$207=0),0,IF(SUM(BW$209:BW215)&lt;1,10%,0))</f>
        <v>0</v>
      </c>
      <c r="BX216" s="2">
        <f>IF(OR(BX$208&gt;=$AQ216,BX$207=0),0,IF(SUM(BX$209:BX215)&lt;1,10%,0))</f>
        <v>0</v>
      </c>
      <c r="BY216" s="2">
        <f>IF(OR(BY$208&gt;=$AQ216,BY$207=0),0,IF(SUM(BY$209:BY215)&lt;1,10%,0))</f>
        <v>0</v>
      </c>
      <c r="BZ216" s="2">
        <f>IF(OR(BZ$208&gt;=$AQ216,BZ$207=0),0,IF(SUM(BZ$209:BZ215)&lt;1,10%,0))</f>
        <v>0</v>
      </c>
    </row>
    <row r="217" spans="3:78" outlineLevel="1">
      <c r="C217" t="s">
        <v>546</v>
      </c>
      <c r="E217" s="133">
        <f t="shared" ca="1" si="130"/>
        <v>0</v>
      </c>
      <c r="F217" s="4">
        <f t="shared" si="131"/>
        <v>0</v>
      </c>
      <c r="G217" s="4">
        <f t="shared" si="132"/>
        <v>0</v>
      </c>
      <c r="H217" s="4">
        <f t="shared" si="133"/>
        <v>0</v>
      </c>
      <c r="I217" s="4">
        <f t="shared" si="134"/>
        <v>0</v>
      </c>
      <c r="J217" s="4">
        <f t="shared" si="135"/>
        <v>0</v>
      </c>
      <c r="K217" s="4">
        <f t="shared" si="136"/>
        <v>0</v>
      </c>
      <c r="L217" s="4">
        <f t="shared" si="137"/>
        <v>0</v>
      </c>
      <c r="M217" s="4">
        <f t="shared" si="138"/>
        <v>0</v>
      </c>
      <c r="N217" s="4">
        <f t="shared" si="139"/>
        <v>0</v>
      </c>
      <c r="O217" s="4">
        <f t="shared" ca="1" si="140"/>
        <v>0</v>
      </c>
      <c r="P217" s="4">
        <f t="shared" si="141"/>
        <v>0</v>
      </c>
      <c r="Q217" s="4">
        <f t="shared" si="142"/>
        <v>0</v>
      </c>
      <c r="R217" s="4">
        <f t="shared" si="143"/>
        <v>0</v>
      </c>
      <c r="S217" s="4">
        <f t="shared" si="144"/>
        <v>0</v>
      </c>
      <c r="T217" s="4">
        <f t="shared" si="145"/>
        <v>0</v>
      </c>
      <c r="U217" s="4">
        <f t="shared" si="146"/>
        <v>0</v>
      </c>
      <c r="V217" s="4">
        <f t="shared" si="147"/>
        <v>0</v>
      </c>
      <c r="W217" s="4">
        <f t="shared" si="148"/>
        <v>0</v>
      </c>
      <c r="X217" s="4">
        <f t="shared" si="149"/>
        <v>0</v>
      </c>
      <c r="Y217" s="4">
        <f t="shared" ca="1" si="150"/>
        <v>0</v>
      </c>
      <c r="Z217" s="4">
        <f t="shared" si="151"/>
        <v>0</v>
      </c>
      <c r="AA217" s="4">
        <f t="shared" si="152"/>
        <v>0</v>
      </c>
      <c r="AB217" s="4">
        <f t="shared" si="153"/>
        <v>0</v>
      </c>
      <c r="AC217" s="4">
        <f t="shared" si="154"/>
        <v>0</v>
      </c>
      <c r="AD217" s="4">
        <f t="shared" si="155"/>
        <v>0</v>
      </c>
      <c r="AE217" s="4">
        <f t="shared" si="156"/>
        <v>0</v>
      </c>
      <c r="AF217" s="4">
        <f t="shared" si="157"/>
        <v>0</v>
      </c>
      <c r="AG217" s="4">
        <f t="shared" si="158"/>
        <v>0</v>
      </c>
      <c r="AH217" s="4">
        <f t="shared" si="159"/>
        <v>0</v>
      </c>
      <c r="AI217" s="4">
        <f t="shared" ca="1" si="160"/>
        <v>0</v>
      </c>
      <c r="AJ217" s="4">
        <f t="shared" si="161"/>
        <v>0</v>
      </c>
      <c r="AK217" s="4">
        <f t="shared" si="162"/>
        <v>0</v>
      </c>
      <c r="AL217" s="4">
        <f t="shared" si="163"/>
        <v>0</v>
      </c>
      <c r="AM217" s="4">
        <f t="shared" si="164"/>
        <v>0</v>
      </c>
      <c r="AN217" s="4">
        <f t="shared" si="165"/>
        <v>0</v>
      </c>
      <c r="AQ217" s="1">
        <v>8</v>
      </c>
      <c r="AR217" s="2">
        <f>IF(OR(AR$208&gt;=$AQ217,AR$207=0),0,IF(SUM(AR$209:AR216)&lt;1,10%,0))</f>
        <v>0</v>
      </c>
      <c r="AS217" s="2">
        <f>IF(OR(AS$208&gt;=$AQ217,AS$207=0),0,IF(SUM(AS$209:AS216)&lt;1,10%,0))</f>
        <v>0</v>
      </c>
      <c r="AT217" s="2">
        <f>IF(OR(AT$208&gt;=$AQ217,AT$207=0),0,IF(SUM(AT$209:AT216)&lt;1,10%,0))</f>
        <v>0</v>
      </c>
      <c r="AU217" s="2">
        <f>IF(OR(AU$208&gt;=$AQ217,AU$207=0),0,IF(SUM(AU$209:AU216)&lt;1,10%,0))</f>
        <v>0</v>
      </c>
      <c r="AV217" s="2">
        <f>IF(OR(AV$208&gt;=$AQ217,AV$207=0),0,IF(SUM(AV$209:AV216)&lt;1,10%,0))</f>
        <v>0</v>
      </c>
      <c r="AW217" s="2">
        <f>IF(OR(AW$208&gt;=$AQ217,AW$207=0),0,IF(SUM(AW$209:AW216)&lt;1,10%,0))</f>
        <v>0</v>
      </c>
      <c r="AX217" s="2">
        <f>IF(OR(AX$208&gt;=$AQ217,AX$207=0),0,IF(SUM(AX$209:AX216)&lt;1,10%,0))</f>
        <v>0</v>
      </c>
      <c r="AY217" s="2">
        <f>IF(OR(AY$208&gt;=$AQ217,AY$207=0),0,IF(SUM(AY$209:AY216)&lt;1,10%,0))</f>
        <v>0</v>
      </c>
      <c r="AZ217" s="2">
        <f>IF(OR(AZ$208&gt;=$AQ217,AZ$207=0),0,IF(SUM(AZ$209:AZ216)&lt;1,10%,0))</f>
        <v>0</v>
      </c>
      <c r="BA217" s="2">
        <f ca="1">IF(OR(BA$208&gt;=$AQ217,BA$207=0),0,IF(SUM(BA$209:BA216)&lt;1,10%,0))</f>
        <v>0</v>
      </c>
      <c r="BB217" s="2">
        <f>IF(OR(BB$208&gt;=$AQ217,BB$207=0),0,IF(SUM(BB$209:BB216)&lt;1,10%,0))</f>
        <v>0</v>
      </c>
      <c r="BC217" s="2">
        <f>IF(OR(BC$208&gt;=$AQ217,BC$207=0),0,IF(SUM(BC$209:BC216)&lt;1,10%,0))</f>
        <v>0</v>
      </c>
      <c r="BD217" s="2">
        <f>IF(OR(BD$208&gt;=$AQ217,BD$207=0),0,IF(SUM(BD$209:BD216)&lt;1,10%,0))</f>
        <v>0</v>
      </c>
      <c r="BE217" s="2">
        <f>IF(OR(BE$208&gt;=$AQ217,BE$207=0),0,IF(SUM(BE$209:BE216)&lt;1,10%,0))</f>
        <v>0</v>
      </c>
      <c r="BF217" s="2">
        <f>IF(OR(BF$208&gt;=$AQ217,BF$207=0),0,IF(SUM(BF$209:BF216)&lt;1,10%,0))</f>
        <v>0</v>
      </c>
      <c r="BG217" s="2">
        <f>IF(OR(BG$208&gt;=$AQ217,BG$207=0),0,IF(SUM(BG$209:BG216)&lt;1,10%,0))</f>
        <v>0</v>
      </c>
      <c r="BH217" s="2">
        <f>IF(OR(BH$208&gt;=$AQ217,BH$207=0),0,IF(SUM(BH$209:BH216)&lt;1,10%,0))</f>
        <v>0</v>
      </c>
      <c r="BI217" s="2">
        <f>IF(OR(BI$208&gt;=$AQ217,BI$207=0),0,IF(SUM(BI$209:BI216)&lt;1,10%,0))</f>
        <v>0</v>
      </c>
      <c r="BJ217" s="2">
        <f>IF(OR(BJ$208&gt;=$AQ217,BJ$207=0),0,IF(SUM(BJ$209:BJ216)&lt;1,10%,0))</f>
        <v>0</v>
      </c>
      <c r="BK217" s="2">
        <f ca="1">IF(OR(BK$208&gt;=$AQ217,BK$207=0),0,IF(SUM(BK$209:BK216)&lt;1,10%,0))</f>
        <v>0</v>
      </c>
      <c r="BL217" s="2">
        <f>IF(OR(BL$208&gt;=$AQ217,BL$207=0),0,IF(SUM(BL$209:BL216)&lt;1,10%,0))</f>
        <v>0</v>
      </c>
      <c r="BM217" s="2">
        <f>IF(OR(BM$208&gt;=$AQ217,BM$207=0),0,IF(SUM(BM$209:BM216)&lt;1,10%,0))</f>
        <v>0</v>
      </c>
      <c r="BN217" s="2">
        <f>IF(OR(BN$208&gt;=$AQ217,BN$207=0),0,IF(SUM(BN$209:BN216)&lt;1,10%,0))</f>
        <v>0</v>
      </c>
      <c r="BO217" s="2">
        <f>IF(OR(BO$208&gt;=$AQ217,BO$207=0),0,IF(SUM(BO$209:BO216)&lt;1,10%,0))</f>
        <v>0</v>
      </c>
      <c r="BP217" s="2">
        <f>IF(OR(BP$208&gt;=$AQ217,BP$207=0),0,IF(SUM(BP$209:BP216)&lt;1,10%,0))</f>
        <v>0</v>
      </c>
      <c r="BQ217" s="2">
        <f>IF(OR(BQ$208&gt;=$AQ217,BQ$207=0),0,IF(SUM(BQ$209:BQ216)&lt;1,10%,0))</f>
        <v>0</v>
      </c>
      <c r="BR217" s="2">
        <f>IF(OR(BR$208&gt;=$AQ217,BR$207=0),0,IF(SUM(BR$209:BR216)&lt;1,10%,0))</f>
        <v>0</v>
      </c>
      <c r="BS217" s="2">
        <f>IF(OR(BS$208&gt;=$AQ217,BS$207=0),0,IF(SUM(BS$209:BS216)&lt;1,10%,0))</f>
        <v>0</v>
      </c>
      <c r="BT217" s="2">
        <f>IF(OR(BT$208&gt;=$AQ217,BT$207=0),0,IF(SUM(BT$209:BT216)&lt;1,10%,0))</f>
        <v>0</v>
      </c>
      <c r="BU217" s="2">
        <f ca="1">IF(OR(BU$208&gt;=$AQ217,BU$207=0),0,IF(SUM(BU$209:BU216)&lt;1,10%,0))</f>
        <v>0</v>
      </c>
      <c r="BV217" s="2">
        <f>IF(OR(BV$208&gt;=$AQ217,BV$207=0),0,IF(SUM(BV$209:BV216)&lt;1,10%,0))</f>
        <v>0</v>
      </c>
      <c r="BW217" s="2">
        <f>IF(OR(BW$208&gt;=$AQ217,BW$207=0),0,IF(SUM(BW$209:BW216)&lt;1,10%,0))</f>
        <v>0</v>
      </c>
      <c r="BX217" s="2">
        <f>IF(OR(BX$208&gt;=$AQ217,BX$207=0),0,IF(SUM(BX$209:BX216)&lt;1,10%,0))</f>
        <v>0</v>
      </c>
      <c r="BY217" s="2">
        <f>IF(OR(BY$208&gt;=$AQ217,BY$207=0),0,IF(SUM(BY$209:BY216)&lt;1,10%,0))</f>
        <v>0</v>
      </c>
      <c r="BZ217" s="2">
        <f>IF(OR(BZ$208&gt;=$AQ217,BZ$207=0),0,IF(SUM(BZ$209:BZ216)&lt;1,10%,0))</f>
        <v>0</v>
      </c>
    </row>
    <row r="218" spans="3:78" outlineLevel="1">
      <c r="C218" t="s">
        <v>547</v>
      </c>
      <c r="E218" s="133">
        <f t="shared" ca="1" si="130"/>
        <v>0</v>
      </c>
      <c r="F218" s="4">
        <f t="shared" si="131"/>
        <v>0</v>
      </c>
      <c r="G218" s="4">
        <f t="shared" si="132"/>
        <v>0</v>
      </c>
      <c r="H218" s="4">
        <f t="shared" si="133"/>
        <v>0</v>
      </c>
      <c r="I218" s="4">
        <f t="shared" si="134"/>
        <v>0</v>
      </c>
      <c r="J218" s="4">
        <f t="shared" si="135"/>
        <v>0</v>
      </c>
      <c r="K218" s="4">
        <f t="shared" si="136"/>
        <v>0</v>
      </c>
      <c r="L218" s="4">
        <f t="shared" si="137"/>
        <v>0</v>
      </c>
      <c r="M218" s="4">
        <f t="shared" si="138"/>
        <v>0</v>
      </c>
      <c r="N218" s="4">
        <f t="shared" si="139"/>
        <v>0</v>
      </c>
      <c r="O218" s="4">
        <f t="shared" ca="1" si="140"/>
        <v>0</v>
      </c>
      <c r="P218" s="4">
        <f t="shared" si="141"/>
        <v>0</v>
      </c>
      <c r="Q218" s="4">
        <f t="shared" si="142"/>
        <v>0</v>
      </c>
      <c r="R218" s="4">
        <f t="shared" si="143"/>
        <v>0</v>
      </c>
      <c r="S218" s="4">
        <f t="shared" si="144"/>
        <v>0</v>
      </c>
      <c r="T218" s="4">
        <f t="shared" si="145"/>
        <v>0</v>
      </c>
      <c r="U218" s="4">
        <f t="shared" si="146"/>
        <v>0</v>
      </c>
      <c r="V218" s="4">
        <f t="shared" si="147"/>
        <v>0</v>
      </c>
      <c r="W218" s="4">
        <f t="shared" si="148"/>
        <v>0</v>
      </c>
      <c r="X218" s="4">
        <f t="shared" si="149"/>
        <v>0</v>
      </c>
      <c r="Y218" s="4">
        <f t="shared" ca="1" si="150"/>
        <v>0</v>
      </c>
      <c r="Z218" s="4">
        <f t="shared" si="151"/>
        <v>0</v>
      </c>
      <c r="AA218" s="4">
        <f t="shared" si="152"/>
        <v>0</v>
      </c>
      <c r="AB218" s="4">
        <f t="shared" si="153"/>
        <v>0</v>
      </c>
      <c r="AC218" s="4">
        <f t="shared" si="154"/>
        <v>0</v>
      </c>
      <c r="AD218" s="4">
        <f t="shared" si="155"/>
        <v>0</v>
      </c>
      <c r="AE218" s="4">
        <f t="shared" si="156"/>
        <v>0</v>
      </c>
      <c r="AF218" s="4">
        <f t="shared" si="157"/>
        <v>0</v>
      </c>
      <c r="AG218" s="4">
        <f t="shared" si="158"/>
        <v>0</v>
      </c>
      <c r="AH218" s="4">
        <f t="shared" si="159"/>
        <v>0</v>
      </c>
      <c r="AI218" s="4">
        <f t="shared" ca="1" si="160"/>
        <v>0</v>
      </c>
      <c r="AJ218" s="4">
        <f t="shared" si="161"/>
        <v>0</v>
      </c>
      <c r="AK218" s="4">
        <f t="shared" si="162"/>
        <v>0</v>
      </c>
      <c r="AL218" s="4">
        <f t="shared" si="163"/>
        <v>0</v>
      </c>
      <c r="AM218" s="4">
        <f t="shared" si="164"/>
        <v>0</v>
      </c>
      <c r="AN218" s="4">
        <f t="shared" si="165"/>
        <v>0</v>
      </c>
      <c r="AQ218" s="1">
        <v>9</v>
      </c>
      <c r="AR218" s="2">
        <f>IF(OR(AR$208&gt;=$AQ218,AR$207=0),0,IF(SUM(AR$209:AR217)&lt;1,10%,0))</f>
        <v>0</v>
      </c>
      <c r="AS218" s="2">
        <f>IF(OR(AS$208&gt;=$AQ218,AS$207=0),0,IF(SUM(AS$209:AS217)&lt;1,10%,0))</f>
        <v>0</v>
      </c>
      <c r="AT218" s="2">
        <f>IF(OR(AT$208&gt;=$AQ218,AT$207=0),0,IF(SUM(AT$209:AT217)&lt;1,10%,0))</f>
        <v>0</v>
      </c>
      <c r="AU218" s="2">
        <f>IF(OR(AU$208&gt;=$AQ218,AU$207=0),0,IF(SUM(AU$209:AU217)&lt;1,10%,0))</f>
        <v>0</v>
      </c>
      <c r="AV218" s="2">
        <f>IF(OR(AV$208&gt;=$AQ218,AV$207=0),0,IF(SUM(AV$209:AV217)&lt;1,10%,0))</f>
        <v>0</v>
      </c>
      <c r="AW218" s="2">
        <f>IF(OR(AW$208&gt;=$AQ218,AW$207=0),0,IF(SUM(AW$209:AW217)&lt;1,10%,0))</f>
        <v>0</v>
      </c>
      <c r="AX218" s="2">
        <f>IF(OR(AX$208&gt;=$AQ218,AX$207=0),0,IF(SUM(AX$209:AX217)&lt;1,10%,0))</f>
        <v>0</v>
      </c>
      <c r="AY218" s="2">
        <f>IF(OR(AY$208&gt;=$AQ218,AY$207=0),0,IF(SUM(AY$209:AY217)&lt;1,10%,0))</f>
        <v>0</v>
      </c>
      <c r="AZ218" s="2">
        <f>IF(OR(AZ$208&gt;=$AQ218,AZ$207=0),0,IF(SUM(AZ$209:AZ217)&lt;1,10%,0))</f>
        <v>0</v>
      </c>
      <c r="BA218" s="2">
        <f ca="1">IF(OR(BA$208&gt;=$AQ218,BA$207=0),0,IF(SUM(BA$209:BA217)&lt;1,10%,0))</f>
        <v>0</v>
      </c>
      <c r="BB218" s="2">
        <f>IF(OR(BB$208&gt;=$AQ218,BB$207=0),0,IF(SUM(BB$209:BB217)&lt;1,10%,0))</f>
        <v>0</v>
      </c>
      <c r="BC218" s="2">
        <f>IF(OR(BC$208&gt;=$AQ218,BC$207=0),0,IF(SUM(BC$209:BC217)&lt;1,10%,0))</f>
        <v>0</v>
      </c>
      <c r="BD218" s="2">
        <f>IF(OR(BD$208&gt;=$AQ218,BD$207=0),0,IF(SUM(BD$209:BD217)&lt;1,10%,0))</f>
        <v>0</v>
      </c>
      <c r="BE218" s="2">
        <f>IF(OR(BE$208&gt;=$AQ218,BE$207=0),0,IF(SUM(BE$209:BE217)&lt;1,10%,0))</f>
        <v>0</v>
      </c>
      <c r="BF218" s="2">
        <f>IF(OR(BF$208&gt;=$AQ218,BF$207=0),0,IF(SUM(BF$209:BF217)&lt;1,10%,0))</f>
        <v>0</v>
      </c>
      <c r="BG218" s="2">
        <f>IF(OR(BG$208&gt;=$AQ218,BG$207=0),0,IF(SUM(BG$209:BG217)&lt;1,10%,0))</f>
        <v>0</v>
      </c>
      <c r="BH218" s="2">
        <f>IF(OR(BH$208&gt;=$AQ218,BH$207=0),0,IF(SUM(BH$209:BH217)&lt;1,10%,0))</f>
        <v>0</v>
      </c>
      <c r="BI218" s="2">
        <f>IF(OR(BI$208&gt;=$AQ218,BI$207=0),0,IF(SUM(BI$209:BI217)&lt;1,10%,0))</f>
        <v>0</v>
      </c>
      <c r="BJ218" s="2">
        <f>IF(OR(BJ$208&gt;=$AQ218,BJ$207=0),0,IF(SUM(BJ$209:BJ217)&lt;1,10%,0))</f>
        <v>0</v>
      </c>
      <c r="BK218" s="2">
        <f ca="1">IF(OR(BK$208&gt;=$AQ218,BK$207=0),0,IF(SUM(BK$209:BK217)&lt;1,10%,0))</f>
        <v>0</v>
      </c>
      <c r="BL218" s="2">
        <f>IF(OR(BL$208&gt;=$AQ218,BL$207=0),0,IF(SUM(BL$209:BL217)&lt;1,10%,0))</f>
        <v>0</v>
      </c>
      <c r="BM218" s="2">
        <f>IF(OR(BM$208&gt;=$AQ218,BM$207=0),0,IF(SUM(BM$209:BM217)&lt;1,10%,0))</f>
        <v>0</v>
      </c>
      <c r="BN218" s="2">
        <f>IF(OR(BN$208&gt;=$AQ218,BN$207=0),0,IF(SUM(BN$209:BN217)&lt;1,10%,0))</f>
        <v>0</v>
      </c>
      <c r="BO218" s="2">
        <f>IF(OR(BO$208&gt;=$AQ218,BO$207=0),0,IF(SUM(BO$209:BO217)&lt;1,10%,0))</f>
        <v>0</v>
      </c>
      <c r="BP218" s="2">
        <f>IF(OR(BP$208&gt;=$AQ218,BP$207=0),0,IF(SUM(BP$209:BP217)&lt;1,10%,0))</f>
        <v>0</v>
      </c>
      <c r="BQ218" s="2">
        <f>IF(OR(BQ$208&gt;=$AQ218,BQ$207=0),0,IF(SUM(BQ$209:BQ217)&lt;1,10%,0))</f>
        <v>0</v>
      </c>
      <c r="BR218" s="2">
        <f>IF(OR(BR$208&gt;=$AQ218,BR$207=0),0,IF(SUM(BR$209:BR217)&lt;1,10%,0))</f>
        <v>0</v>
      </c>
      <c r="BS218" s="2">
        <f>IF(OR(BS$208&gt;=$AQ218,BS$207=0),0,IF(SUM(BS$209:BS217)&lt;1,10%,0))</f>
        <v>0</v>
      </c>
      <c r="BT218" s="2">
        <f>IF(OR(BT$208&gt;=$AQ218,BT$207=0),0,IF(SUM(BT$209:BT217)&lt;1,10%,0))</f>
        <v>0</v>
      </c>
      <c r="BU218" s="2">
        <f ca="1">IF(OR(BU$208&gt;=$AQ218,BU$207=0),0,IF(SUM(BU$209:BU217)&lt;1,10%,0))</f>
        <v>0</v>
      </c>
      <c r="BV218" s="2">
        <f>IF(OR(BV$208&gt;=$AQ218,BV$207=0),0,IF(SUM(BV$209:BV217)&lt;1,10%,0))</f>
        <v>0</v>
      </c>
      <c r="BW218" s="2">
        <f>IF(OR(BW$208&gt;=$AQ218,BW$207=0),0,IF(SUM(BW$209:BW217)&lt;1,10%,0))</f>
        <v>0</v>
      </c>
      <c r="BX218" s="2">
        <f>IF(OR(BX$208&gt;=$AQ218,BX$207=0),0,IF(SUM(BX$209:BX217)&lt;1,10%,0))</f>
        <v>0</v>
      </c>
      <c r="BY218" s="2">
        <f>IF(OR(BY$208&gt;=$AQ218,BY$207=0),0,IF(SUM(BY$209:BY217)&lt;1,10%,0))</f>
        <v>0</v>
      </c>
      <c r="BZ218" s="2">
        <f>IF(OR(BZ$208&gt;=$AQ218,BZ$207=0),0,IF(SUM(BZ$209:BZ217)&lt;1,10%,0))</f>
        <v>0</v>
      </c>
    </row>
    <row r="219" spans="3:78" outlineLevel="1">
      <c r="C219" t="s">
        <v>548</v>
      </c>
      <c r="E219" s="133">
        <f t="shared" ca="1" si="130"/>
        <v>0</v>
      </c>
      <c r="F219" s="4">
        <f t="shared" si="131"/>
        <v>0</v>
      </c>
      <c r="G219" s="4">
        <f t="shared" si="132"/>
        <v>0</v>
      </c>
      <c r="H219" s="4">
        <f t="shared" si="133"/>
        <v>0</v>
      </c>
      <c r="I219" s="4">
        <f t="shared" si="134"/>
        <v>0</v>
      </c>
      <c r="J219" s="4">
        <f t="shared" si="135"/>
        <v>0</v>
      </c>
      <c r="K219" s="4">
        <f t="shared" si="136"/>
        <v>0</v>
      </c>
      <c r="L219" s="4">
        <f t="shared" si="137"/>
        <v>0</v>
      </c>
      <c r="M219" s="4">
        <f t="shared" si="138"/>
        <v>0</v>
      </c>
      <c r="N219" s="4">
        <f t="shared" si="139"/>
        <v>0</v>
      </c>
      <c r="O219" s="4">
        <f t="shared" ca="1" si="140"/>
        <v>0</v>
      </c>
      <c r="P219" s="4">
        <f t="shared" si="141"/>
        <v>0</v>
      </c>
      <c r="Q219" s="4">
        <f t="shared" si="142"/>
        <v>0</v>
      </c>
      <c r="R219" s="4">
        <f t="shared" si="143"/>
        <v>0</v>
      </c>
      <c r="S219" s="4">
        <f t="shared" si="144"/>
        <v>0</v>
      </c>
      <c r="T219" s="4">
        <f t="shared" si="145"/>
        <v>0</v>
      </c>
      <c r="U219" s="4">
        <f t="shared" si="146"/>
        <v>0</v>
      </c>
      <c r="V219" s="4">
        <f t="shared" si="147"/>
        <v>0</v>
      </c>
      <c r="W219" s="4">
        <f t="shared" si="148"/>
        <v>0</v>
      </c>
      <c r="X219" s="4">
        <f t="shared" si="149"/>
        <v>0</v>
      </c>
      <c r="Y219" s="4">
        <f t="shared" ca="1" si="150"/>
        <v>0</v>
      </c>
      <c r="Z219" s="4">
        <f t="shared" si="151"/>
        <v>0</v>
      </c>
      <c r="AA219" s="4">
        <f t="shared" si="152"/>
        <v>0</v>
      </c>
      <c r="AB219" s="4">
        <f t="shared" si="153"/>
        <v>0</v>
      </c>
      <c r="AC219" s="4">
        <f t="shared" si="154"/>
        <v>0</v>
      </c>
      <c r="AD219" s="4">
        <f t="shared" si="155"/>
        <v>0</v>
      </c>
      <c r="AE219" s="4">
        <f t="shared" si="156"/>
        <v>0</v>
      </c>
      <c r="AF219" s="4">
        <f t="shared" si="157"/>
        <v>0</v>
      </c>
      <c r="AG219" s="4">
        <f t="shared" si="158"/>
        <v>0</v>
      </c>
      <c r="AH219" s="4">
        <f t="shared" si="159"/>
        <v>0</v>
      </c>
      <c r="AI219" s="4">
        <f t="shared" ca="1" si="160"/>
        <v>0</v>
      </c>
      <c r="AJ219" s="4">
        <f t="shared" si="161"/>
        <v>0</v>
      </c>
      <c r="AK219" s="4">
        <f t="shared" si="162"/>
        <v>0</v>
      </c>
      <c r="AL219" s="4">
        <f t="shared" si="163"/>
        <v>0</v>
      </c>
      <c r="AM219" s="4">
        <f t="shared" si="164"/>
        <v>0</v>
      </c>
      <c r="AN219" s="4">
        <f t="shared" si="165"/>
        <v>0</v>
      </c>
      <c r="AQ219" s="1">
        <v>10</v>
      </c>
      <c r="AR219" s="2">
        <f>IF(OR(AR$208&gt;=$AQ219,AR$207=0),0,IF(SUM(AR$209:AR218)&lt;1,10%,0))</f>
        <v>0</v>
      </c>
      <c r="AS219" s="2">
        <f>IF(OR(AS$208&gt;=$AQ219,AS$207=0),0,IF(SUM(AS$209:AS218)&lt;1,10%,0))</f>
        <v>0</v>
      </c>
      <c r="AT219" s="2">
        <f>IF(OR(AT$208&gt;=$AQ219,AT$207=0),0,IF(SUM(AT$209:AT218)&lt;1,10%,0))</f>
        <v>0</v>
      </c>
      <c r="AU219" s="2">
        <f>IF(OR(AU$208&gt;=$AQ219,AU$207=0),0,IF(SUM(AU$209:AU218)&lt;1,10%,0))</f>
        <v>0</v>
      </c>
      <c r="AV219" s="2">
        <f>IF(OR(AV$208&gt;=$AQ219,AV$207=0),0,IF(SUM(AV$209:AV218)&lt;1,10%,0))</f>
        <v>0</v>
      </c>
      <c r="AW219" s="2">
        <f>IF(OR(AW$208&gt;=$AQ219,AW$207=0),0,IF(SUM(AW$209:AW218)&lt;1,10%,0))</f>
        <v>0</v>
      </c>
      <c r="AX219" s="2">
        <f>IF(OR(AX$208&gt;=$AQ219,AX$207=0),0,IF(SUM(AX$209:AX218)&lt;1,10%,0))</f>
        <v>0</v>
      </c>
      <c r="AY219" s="2">
        <f>IF(OR(AY$208&gt;=$AQ219,AY$207=0),0,IF(SUM(AY$209:AY218)&lt;1,10%,0))</f>
        <v>0</v>
      </c>
      <c r="AZ219" s="2">
        <f>IF(OR(AZ$208&gt;=$AQ219,AZ$207=0),0,IF(SUM(AZ$209:AZ218)&lt;1,10%,0))</f>
        <v>0</v>
      </c>
      <c r="BA219" s="2">
        <f ca="1">IF(OR(BA$208&gt;=$AQ219,BA$207=0),0,IF(SUM(BA$209:BA218)&lt;1,10%,0))</f>
        <v>0</v>
      </c>
      <c r="BB219" s="2">
        <f>IF(OR(BB$208&gt;=$AQ219,BB$207=0),0,IF(SUM(BB$209:BB218)&lt;1,10%,0))</f>
        <v>0</v>
      </c>
      <c r="BC219" s="2">
        <f>IF(OR(BC$208&gt;=$AQ219,BC$207=0),0,IF(SUM(BC$209:BC218)&lt;1,10%,0))</f>
        <v>0</v>
      </c>
      <c r="BD219" s="2">
        <f>IF(OR(BD$208&gt;=$AQ219,BD$207=0),0,IF(SUM(BD$209:BD218)&lt;1,10%,0))</f>
        <v>0</v>
      </c>
      <c r="BE219" s="2">
        <f>IF(OR(BE$208&gt;=$AQ219,BE$207=0),0,IF(SUM(BE$209:BE218)&lt;1,10%,0))</f>
        <v>0</v>
      </c>
      <c r="BF219" s="2">
        <f>IF(OR(BF$208&gt;=$AQ219,BF$207=0),0,IF(SUM(BF$209:BF218)&lt;1,10%,0))</f>
        <v>0</v>
      </c>
      <c r="BG219" s="2">
        <f>IF(OR(BG$208&gt;=$AQ219,BG$207=0),0,IF(SUM(BG$209:BG218)&lt;1,10%,0))</f>
        <v>0</v>
      </c>
      <c r="BH219" s="2">
        <f>IF(OR(BH$208&gt;=$AQ219,BH$207=0),0,IF(SUM(BH$209:BH218)&lt;1,10%,0))</f>
        <v>0</v>
      </c>
      <c r="BI219" s="2">
        <f>IF(OR(BI$208&gt;=$AQ219,BI$207=0),0,IF(SUM(BI$209:BI218)&lt;1,10%,0))</f>
        <v>0</v>
      </c>
      <c r="BJ219" s="2">
        <f>IF(OR(BJ$208&gt;=$AQ219,BJ$207=0),0,IF(SUM(BJ$209:BJ218)&lt;1,10%,0))</f>
        <v>0</v>
      </c>
      <c r="BK219" s="2">
        <f ca="1">IF(OR(BK$208&gt;=$AQ219,BK$207=0),0,IF(SUM(BK$209:BK218)&lt;1,10%,0))</f>
        <v>0</v>
      </c>
      <c r="BL219" s="2">
        <f>IF(OR(BL$208&gt;=$AQ219,BL$207=0),0,IF(SUM(BL$209:BL218)&lt;1,10%,0))</f>
        <v>0</v>
      </c>
      <c r="BM219" s="2">
        <f>IF(OR(BM$208&gt;=$AQ219,BM$207=0),0,IF(SUM(BM$209:BM218)&lt;1,10%,0))</f>
        <v>0</v>
      </c>
      <c r="BN219" s="2">
        <f>IF(OR(BN$208&gt;=$AQ219,BN$207=0),0,IF(SUM(BN$209:BN218)&lt;1,10%,0))</f>
        <v>0</v>
      </c>
      <c r="BO219" s="2">
        <f>IF(OR(BO$208&gt;=$AQ219,BO$207=0),0,IF(SUM(BO$209:BO218)&lt;1,10%,0))</f>
        <v>0</v>
      </c>
      <c r="BP219" s="2">
        <f>IF(OR(BP$208&gt;=$AQ219,BP$207=0),0,IF(SUM(BP$209:BP218)&lt;1,10%,0))</f>
        <v>0</v>
      </c>
      <c r="BQ219" s="2">
        <f>IF(OR(BQ$208&gt;=$AQ219,BQ$207=0),0,IF(SUM(BQ$209:BQ218)&lt;1,10%,0))</f>
        <v>0</v>
      </c>
      <c r="BR219" s="2">
        <f>IF(OR(BR$208&gt;=$AQ219,BR$207=0),0,IF(SUM(BR$209:BR218)&lt;1,10%,0))</f>
        <v>0</v>
      </c>
      <c r="BS219" s="2">
        <f>IF(OR(BS$208&gt;=$AQ219,BS$207=0),0,IF(SUM(BS$209:BS218)&lt;1,10%,0))</f>
        <v>0</v>
      </c>
      <c r="BT219" s="2">
        <f>IF(OR(BT$208&gt;=$AQ219,BT$207=0),0,IF(SUM(BT$209:BT218)&lt;1,10%,0))</f>
        <v>0</v>
      </c>
      <c r="BU219" s="2">
        <f ca="1">IF(OR(BU$208&gt;=$AQ219,BU$207=0),0,IF(SUM(BU$209:BU218)&lt;1,10%,0))</f>
        <v>0</v>
      </c>
      <c r="BV219" s="2">
        <f>IF(OR(BV$208&gt;=$AQ219,BV$207=0),0,IF(SUM(BV$209:BV218)&lt;1,10%,0))</f>
        <v>0</v>
      </c>
      <c r="BW219" s="2">
        <f>IF(OR(BW$208&gt;=$AQ219,BW$207=0),0,IF(SUM(BW$209:BW218)&lt;1,10%,0))</f>
        <v>0</v>
      </c>
      <c r="BX219" s="2">
        <f>IF(OR(BX$208&gt;=$AQ219,BX$207=0),0,IF(SUM(BX$209:BX218)&lt;1,10%,0))</f>
        <v>0</v>
      </c>
      <c r="BY219" s="2">
        <f>IF(OR(BY$208&gt;=$AQ219,BY$207=0),0,IF(SUM(BY$209:BY218)&lt;1,10%,0))</f>
        <v>0</v>
      </c>
      <c r="BZ219" s="2">
        <f>IF(OR(BZ$208&gt;=$AQ219,BZ$207=0),0,IF(SUM(BZ$209:BZ218)&lt;1,10%,0))</f>
        <v>0</v>
      </c>
    </row>
    <row r="220" spans="3:78" outlineLevel="1">
      <c r="C220" t="s">
        <v>549</v>
      </c>
      <c r="E220" s="133">
        <f t="shared" ca="1" si="130"/>
        <v>0</v>
      </c>
      <c r="F220" s="4">
        <f t="shared" si="131"/>
        <v>0</v>
      </c>
      <c r="G220" s="4">
        <f t="shared" si="132"/>
        <v>0</v>
      </c>
      <c r="H220" s="4">
        <f t="shared" si="133"/>
        <v>0</v>
      </c>
      <c r="I220" s="4">
        <f t="shared" si="134"/>
        <v>0</v>
      </c>
      <c r="J220" s="4">
        <f t="shared" si="135"/>
        <v>0</v>
      </c>
      <c r="K220" s="4">
        <f t="shared" si="136"/>
        <v>0</v>
      </c>
      <c r="L220" s="4">
        <f t="shared" si="137"/>
        <v>0</v>
      </c>
      <c r="M220" s="4">
        <f t="shared" si="138"/>
        <v>0</v>
      </c>
      <c r="N220" s="4">
        <f t="shared" si="139"/>
        <v>0</v>
      </c>
      <c r="O220" s="4">
        <f t="shared" ca="1" si="140"/>
        <v>0</v>
      </c>
      <c r="P220" s="4">
        <f t="shared" si="141"/>
        <v>0</v>
      </c>
      <c r="Q220" s="4">
        <f t="shared" si="142"/>
        <v>0</v>
      </c>
      <c r="R220" s="4">
        <f t="shared" si="143"/>
        <v>0</v>
      </c>
      <c r="S220" s="4">
        <f t="shared" si="144"/>
        <v>0</v>
      </c>
      <c r="T220" s="4">
        <f t="shared" si="145"/>
        <v>0</v>
      </c>
      <c r="U220" s="4">
        <f t="shared" si="146"/>
        <v>0</v>
      </c>
      <c r="V220" s="4">
        <f t="shared" si="147"/>
        <v>0</v>
      </c>
      <c r="W220" s="4">
        <f t="shared" si="148"/>
        <v>0</v>
      </c>
      <c r="X220" s="4">
        <f t="shared" si="149"/>
        <v>0</v>
      </c>
      <c r="Y220" s="4">
        <f t="shared" ca="1" si="150"/>
        <v>0</v>
      </c>
      <c r="Z220" s="4">
        <f t="shared" si="151"/>
        <v>0</v>
      </c>
      <c r="AA220" s="4">
        <f t="shared" si="152"/>
        <v>0</v>
      </c>
      <c r="AB220" s="4">
        <f t="shared" si="153"/>
        <v>0</v>
      </c>
      <c r="AC220" s="4">
        <f t="shared" si="154"/>
        <v>0</v>
      </c>
      <c r="AD220" s="4">
        <f t="shared" si="155"/>
        <v>0</v>
      </c>
      <c r="AE220" s="4">
        <f t="shared" si="156"/>
        <v>0</v>
      </c>
      <c r="AF220" s="4">
        <f t="shared" si="157"/>
        <v>0</v>
      </c>
      <c r="AG220" s="4">
        <f t="shared" si="158"/>
        <v>0</v>
      </c>
      <c r="AH220" s="4">
        <f t="shared" si="159"/>
        <v>0</v>
      </c>
      <c r="AI220" s="4">
        <f t="shared" ca="1" si="160"/>
        <v>0</v>
      </c>
      <c r="AJ220" s="4">
        <f t="shared" si="161"/>
        <v>0</v>
      </c>
      <c r="AK220" s="4">
        <f t="shared" si="162"/>
        <v>0</v>
      </c>
      <c r="AL220" s="4">
        <f t="shared" si="163"/>
        <v>0</v>
      </c>
      <c r="AM220" s="4">
        <f t="shared" si="164"/>
        <v>0</v>
      </c>
      <c r="AN220" s="4">
        <f t="shared" si="165"/>
        <v>0</v>
      </c>
      <c r="AQ220" s="1">
        <v>11</v>
      </c>
      <c r="AR220" s="2">
        <f>IF(OR(AR$208&gt;=$AQ220,AR$207=0),0,IF(SUM(AR$209:AR219)&lt;1,10%,0))</f>
        <v>0</v>
      </c>
      <c r="AS220" s="2">
        <f>IF(OR(AS$208&gt;=$AQ220,AS$207=0),0,IF(SUM(AS$209:AS219)&lt;1,10%,0))</f>
        <v>0</v>
      </c>
      <c r="AT220" s="2">
        <f>IF(OR(AT$208&gt;=$AQ220,AT$207=0),0,IF(SUM(AT$209:AT219)&lt;1,10%,0))</f>
        <v>0</v>
      </c>
      <c r="AU220" s="2">
        <f>IF(OR(AU$208&gt;=$AQ220,AU$207=0),0,IF(SUM(AU$209:AU219)&lt;1,10%,0))</f>
        <v>0</v>
      </c>
      <c r="AV220" s="2">
        <f>IF(OR(AV$208&gt;=$AQ220,AV$207=0),0,IF(SUM(AV$209:AV219)&lt;1,10%,0))</f>
        <v>0</v>
      </c>
      <c r="AW220" s="2">
        <f>IF(OR(AW$208&gt;=$AQ220,AW$207=0),0,IF(SUM(AW$209:AW219)&lt;1,10%,0))</f>
        <v>0</v>
      </c>
      <c r="AX220" s="2">
        <f>IF(OR(AX$208&gt;=$AQ220,AX$207=0),0,IF(SUM(AX$209:AX219)&lt;1,10%,0))</f>
        <v>0</v>
      </c>
      <c r="AY220" s="2">
        <f>IF(OR(AY$208&gt;=$AQ220,AY$207=0),0,IF(SUM(AY$209:AY219)&lt;1,10%,0))</f>
        <v>0</v>
      </c>
      <c r="AZ220" s="2">
        <f>IF(OR(AZ$208&gt;=$AQ220,AZ$207=0),0,IF(SUM(AZ$209:AZ219)&lt;1,10%,0))</f>
        <v>0</v>
      </c>
      <c r="BA220" s="2">
        <f ca="1">IF(OR(BA$208&gt;=$AQ220,BA$207=0),0,IF(SUM(BA$209:BA219)&lt;1,10%,0))</f>
        <v>0</v>
      </c>
      <c r="BB220" s="2">
        <f>IF(OR(BB$208&gt;=$AQ220,BB$207=0),0,IF(SUM(BB$209:BB219)&lt;1,10%,0))</f>
        <v>0</v>
      </c>
      <c r="BC220" s="2">
        <f>IF(OR(BC$208&gt;=$AQ220,BC$207=0),0,IF(SUM(BC$209:BC219)&lt;1,10%,0))</f>
        <v>0</v>
      </c>
      <c r="BD220" s="2">
        <f>IF(OR(BD$208&gt;=$AQ220,BD$207=0),0,IF(SUM(BD$209:BD219)&lt;1,10%,0))</f>
        <v>0</v>
      </c>
      <c r="BE220" s="2">
        <f>IF(OR(BE$208&gt;=$AQ220,BE$207=0),0,IF(SUM(BE$209:BE219)&lt;1,10%,0))</f>
        <v>0</v>
      </c>
      <c r="BF220" s="2">
        <f>IF(OR(BF$208&gt;=$AQ220,BF$207=0),0,IF(SUM(BF$209:BF219)&lt;1,10%,0))</f>
        <v>0</v>
      </c>
      <c r="BG220" s="2">
        <f>IF(OR(BG$208&gt;=$AQ220,BG$207=0),0,IF(SUM(BG$209:BG219)&lt;1,10%,0))</f>
        <v>0</v>
      </c>
      <c r="BH220" s="2">
        <f>IF(OR(BH$208&gt;=$AQ220,BH$207=0),0,IF(SUM(BH$209:BH219)&lt;1,10%,0))</f>
        <v>0</v>
      </c>
      <c r="BI220" s="2">
        <f>IF(OR(BI$208&gt;=$AQ220,BI$207=0),0,IF(SUM(BI$209:BI219)&lt;1,10%,0))</f>
        <v>0</v>
      </c>
      <c r="BJ220" s="2">
        <f>IF(OR(BJ$208&gt;=$AQ220,BJ$207=0),0,IF(SUM(BJ$209:BJ219)&lt;1,10%,0))</f>
        <v>0</v>
      </c>
      <c r="BK220" s="2">
        <f ca="1">IF(OR(BK$208&gt;=$AQ220,BK$207=0),0,IF(SUM(BK$209:BK219)&lt;1,10%,0))</f>
        <v>0</v>
      </c>
      <c r="BL220" s="2">
        <f>IF(OR(BL$208&gt;=$AQ220,BL$207=0),0,IF(SUM(BL$209:BL219)&lt;1,10%,0))</f>
        <v>0</v>
      </c>
      <c r="BM220" s="2">
        <f>IF(OR(BM$208&gt;=$AQ220,BM$207=0),0,IF(SUM(BM$209:BM219)&lt;1,10%,0))</f>
        <v>0</v>
      </c>
      <c r="BN220" s="2">
        <f>IF(OR(BN$208&gt;=$AQ220,BN$207=0),0,IF(SUM(BN$209:BN219)&lt;1,10%,0))</f>
        <v>0</v>
      </c>
      <c r="BO220" s="2">
        <f>IF(OR(BO$208&gt;=$AQ220,BO$207=0),0,IF(SUM(BO$209:BO219)&lt;1,10%,0))</f>
        <v>0</v>
      </c>
      <c r="BP220" s="2">
        <f>IF(OR(BP$208&gt;=$AQ220,BP$207=0),0,IF(SUM(BP$209:BP219)&lt;1,10%,0))</f>
        <v>0</v>
      </c>
      <c r="BQ220" s="2">
        <f>IF(OR(BQ$208&gt;=$AQ220,BQ$207=0),0,IF(SUM(BQ$209:BQ219)&lt;1,10%,0))</f>
        <v>0</v>
      </c>
      <c r="BR220" s="2">
        <f>IF(OR(BR$208&gt;=$AQ220,BR$207=0),0,IF(SUM(BR$209:BR219)&lt;1,10%,0))</f>
        <v>0</v>
      </c>
      <c r="BS220" s="2">
        <f>IF(OR(BS$208&gt;=$AQ220,BS$207=0),0,IF(SUM(BS$209:BS219)&lt;1,10%,0))</f>
        <v>0</v>
      </c>
      <c r="BT220" s="2">
        <f>IF(OR(BT$208&gt;=$AQ220,BT$207=0),0,IF(SUM(BT$209:BT219)&lt;1,10%,0))</f>
        <v>0</v>
      </c>
      <c r="BU220" s="2">
        <f ca="1">IF(OR(BU$208&gt;=$AQ220,BU$207=0),0,IF(SUM(BU$209:BU219)&lt;1,10%,0))</f>
        <v>0</v>
      </c>
      <c r="BV220" s="2">
        <f>IF(OR(BV$208&gt;=$AQ220,BV$207=0),0,IF(SUM(BV$209:BV219)&lt;1,10%,0))</f>
        <v>0</v>
      </c>
      <c r="BW220" s="2">
        <f>IF(OR(BW$208&gt;=$AQ220,BW$207=0),0,IF(SUM(BW$209:BW219)&lt;1,10%,0))</f>
        <v>0</v>
      </c>
      <c r="BX220" s="2">
        <f>IF(OR(BX$208&gt;=$AQ220,BX$207=0),0,IF(SUM(BX$209:BX219)&lt;1,10%,0))</f>
        <v>0</v>
      </c>
      <c r="BY220" s="2">
        <f>IF(OR(BY$208&gt;=$AQ220,BY$207=0),0,IF(SUM(BY$209:BY219)&lt;1,10%,0))</f>
        <v>0</v>
      </c>
      <c r="BZ220" s="2">
        <f>IF(OR(BZ$208&gt;=$AQ220,BZ$207=0),0,IF(SUM(BZ$209:BZ219)&lt;1,10%,0))</f>
        <v>0</v>
      </c>
    </row>
    <row r="221" spans="3:78" outlineLevel="1">
      <c r="C221" t="s">
        <v>550</v>
      </c>
      <c r="E221" s="133">
        <f t="shared" ca="1" si="130"/>
        <v>0</v>
      </c>
      <c r="F221" s="4">
        <f t="shared" si="131"/>
        <v>0</v>
      </c>
      <c r="G221" s="4">
        <f t="shared" si="132"/>
        <v>0</v>
      </c>
      <c r="H221" s="4">
        <f t="shared" si="133"/>
        <v>0</v>
      </c>
      <c r="I221" s="4">
        <f t="shared" si="134"/>
        <v>0</v>
      </c>
      <c r="J221" s="4">
        <f t="shared" si="135"/>
        <v>0</v>
      </c>
      <c r="K221" s="4">
        <f t="shared" si="136"/>
        <v>0</v>
      </c>
      <c r="L221" s="4">
        <f t="shared" si="137"/>
        <v>0</v>
      </c>
      <c r="M221" s="4">
        <f t="shared" si="138"/>
        <v>0</v>
      </c>
      <c r="N221" s="4">
        <f t="shared" si="139"/>
        <v>0</v>
      </c>
      <c r="O221" s="4">
        <f t="shared" ca="1" si="140"/>
        <v>0</v>
      </c>
      <c r="P221" s="4">
        <f t="shared" si="141"/>
        <v>0</v>
      </c>
      <c r="Q221" s="4">
        <f t="shared" si="142"/>
        <v>0</v>
      </c>
      <c r="R221" s="4">
        <f t="shared" si="143"/>
        <v>0</v>
      </c>
      <c r="S221" s="4">
        <f t="shared" si="144"/>
        <v>0</v>
      </c>
      <c r="T221" s="4">
        <f t="shared" si="145"/>
        <v>0</v>
      </c>
      <c r="U221" s="4">
        <f t="shared" si="146"/>
        <v>0</v>
      </c>
      <c r="V221" s="4">
        <f t="shared" si="147"/>
        <v>0</v>
      </c>
      <c r="W221" s="4">
        <f t="shared" si="148"/>
        <v>0</v>
      </c>
      <c r="X221" s="4">
        <f t="shared" si="149"/>
        <v>0</v>
      </c>
      <c r="Y221" s="4">
        <f t="shared" ca="1" si="150"/>
        <v>0</v>
      </c>
      <c r="Z221" s="4">
        <f t="shared" si="151"/>
        <v>0</v>
      </c>
      <c r="AA221" s="4">
        <f t="shared" si="152"/>
        <v>0</v>
      </c>
      <c r="AB221" s="4">
        <f t="shared" si="153"/>
        <v>0</v>
      </c>
      <c r="AC221" s="4">
        <f t="shared" si="154"/>
        <v>0</v>
      </c>
      <c r="AD221" s="4">
        <f t="shared" si="155"/>
        <v>0</v>
      </c>
      <c r="AE221" s="4">
        <f t="shared" si="156"/>
        <v>0</v>
      </c>
      <c r="AF221" s="4">
        <f t="shared" si="157"/>
        <v>0</v>
      </c>
      <c r="AG221" s="4">
        <f t="shared" si="158"/>
        <v>0</v>
      </c>
      <c r="AH221" s="4">
        <f t="shared" si="159"/>
        <v>0</v>
      </c>
      <c r="AI221" s="4">
        <f t="shared" ca="1" si="160"/>
        <v>0</v>
      </c>
      <c r="AJ221" s="4">
        <f t="shared" si="161"/>
        <v>0</v>
      </c>
      <c r="AK221" s="4">
        <f t="shared" si="162"/>
        <v>0</v>
      </c>
      <c r="AL221" s="4">
        <f t="shared" si="163"/>
        <v>0</v>
      </c>
      <c r="AM221" s="4">
        <f t="shared" si="164"/>
        <v>0</v>
      </c>
      <c r="AN221" s="4">
        <f t="shared" si="165"/>
        <v>0</v>
      </c>
      <c r="AQ221" s="1">
        <v>12</v>
      </c>
      <c r="AR221" s="2">
        <f>IF(OR(AR$208&gt;=$AQ221,AR$207=0),0,IF(SUM(AR$209:AR220)&lt;1,10%,0))</f>
        <v>0</v>
      </c>
      <c r="AS221" s="2">
        <f>IF(OR(AS$208&gt;=$AQ221,AS$207=0),0,IF(SUM(AS$209:AS220)&lt;1,10%,0))</f>
        <v>0</v>
      </c>
      <c r="AT221" s="2">
        <f>IF(OR(AT$208&gt;=$AQ221,AT$207=0),0,IF(SUM(AT$209:AT220)&lt;1,10%,0))</f>
        <v>0</v>
      </c>
      <c r="AU221" s="2">
        <f>IF(OR(AU$208&gt;=$AQ221,AU$207=0),0,IF(SUM(AU$209:AU220)&lt;1,10%,0))</f>
        <v>0</v>
      </c>
      <c r="AV221" s="2">
        <f>IF(OR(AV$208&gt;=$AQ221,AV$207=0),0,IF(SUM(AV$209:AV220)&lt;1,10%,0))</f>
        <v>0</v>
      </c>
      <c r="AW221" s="2">
        <f>IF(OR(AW$208&gt;=$AQ221,AW$207=0),0,IF(SUM(AW$209:AW220)&lt;1,10%,0))</f>
        <v>0</v>
      </c>
      <c r="AX221" s="2">
        <f>IF(OR(AX$208&gt;=$AQ221,AX$207=0),0,IF(SUM(AX$209:AX220)&lt;1,10%,0))</f>
        <v>0</v>
      </c>
      <c r="AY221" s="2">
        <f>IF(OR(AY$208&gt;=$AQ221,AY$207=0),0,IF(SUM(AY$209:AY220)&lt;1,10%,0))</f>
        <v>0</v>
      </c>
      <c r="AZ221" s="2">
        <f>IF(OR(AZ$208&gt;=$AQ221,AZ$207=0),0,IF(SUM(AZ$209:AZ220)&lt;1,10%,0))</f>
        <v>0</v>
      </c>
      <c r="BA221" s="2">
        <f ca="1">IF(OR(BA$208&gt;=$AQ221,BA$207=0),0,IF(SUM(BA$209:BA220)&lt;1,10%,0))</f>
        <v>0</v>
      </c>
      <c r="BB221" s="2">
        <f>IF(OR(BB$208&gt;=$AQ221,BB$207=0),0,IF(SUM(BB$209:BB220)&lt;1,10%,0))</f>
        <v>0</v>
      </c>
      <c r="BC221" s="2">
        <f>IF(OR(BC$208&gt;=$AQ221,BC$207=0),0,IF(SUM(BC$209:BC220)&lt;1,10%,0))</f>
        <v>0</v>
      </c>
      <c r="BD221" s="2">
        <f>IF(OR(BD$208&gt;=$AQ221,BD$207=0),0,IF(SUM(BD$209:BD220)&lt;1,10%,0))</f>
        <v>0</v>
      </c>
      <c r="BE221" s="2">
        <f>IF(OR(BE$208&gt;=$AQ221,BE$207=0),0,IF(SUM(BE$209:BE220)&lt;1,10%,0))</f>
        <v>0</v>
      </c>
      <c r="BF221" s="2">
        <f>IF(OR(BF$208&gt;=$AQ221,BF$207=0),0,IF(SUM(BF$209:BF220)&lt;1,10%,0))</f>
        <v>0</v>
      </c>
      <c r="BG221" s="2">
        <f>IF(OR(BG$208&gt;=$AQ221,BG$207=0),0,IF(SUM(BG$209:BG220)&lt;1,10%,0))</f>
        <v>0</v>
      </c>
      <c r="BH221" s="2">
        <f>IF(OR(BH$208&gt;=$AQ221,BH$207=0),0,IF(SUM(BH$209:BH220)&lt;1,10%,0))</f>
        <v>0</v>
      </c>
      <c r="BI221" s="2">
        <f>IF(OR(BI$208&gt;=$AQ221,BI$207=0),0,IF(SUM(BI$209:BI220)&lt;1,10%,0))</f>
        <v>0</v>
      </c>
      <c r="BJ221" s="2">
        <f>IF(OR(BJ$208&gt;=$AQ221,BJ$207=0),0,IF(SUM(BJ$209:BJ220)&lt;1,10%,0))</f>
        <v>0</v>
      </c>
      <c r="BK221" s="2">
        <f ca="1">IF(OR(BK$208&gt;=$AQ221,BK$207=0),0,IF(SUM(BK$209:BK220)&lt;1,10%,0))</f>
        <v>0</v>
      </c>
      <c r="BL221" s="2">
        <f>IF(OR(BL$208&gt;=$AQ221,BL$207=0),0,IF(SUM(BL$209:BL220)&lt;1,10%,0))</f>
        <v>0</v>
      </c>
      <c r="BM221" s="2">
        <f>IF(OR(BM$208&gt;=$AQ221,BM$207=0),0,IF(SUM(BM$209:BM220)&lt;1,10%,0))</f>
        <v>0</v>
      </c>
      <c r="BN221" s="2">
        <f>IF(OR(BN$208&gt;=$AQ221,BN$207=0),0,IF(SUM(BN$209:BN220)&lt;1,10%,0))</f>
        <v>0</v>
      </c>
      <c r="BO221" s="2">
        <f>IF(OR(BO$208&gt;=$AQ221,BO$207=0),0,IF(SUM(BO$209:BO220)&lt;1,10%,0))</f>
        <v>0</v>
      </c>
      <c r="BP221" s="2">
        <f>IF(OR(BP$208&gt;=$AQ221,BP$207=0),0,IF(SUM(BP$209:BP220)&lt;1,10%,0))</f>
        <v>0</v>
      </c>
      <c r="BQ221" s="2">
        <f>IF(OR(BQ$208&gt;=$AQ221,BQ$207=0),0,IF(SUM(BQ$209:BQ220)&lt;1,10%,0))</f>
        <v>0</v>
      </c>
      <c r="BR221" s="2">
        <f>IF(OR(BR$208&gt;=$AQ221,BR$207=0),0,IF(SUM(BR$209:BR220)&lt;1,10%,0))</f>
        <v>0</v>
      </c>
      <c r="BS221" s="2">
        <f>IF(OR(BS$208&gt;=$AQ221,BS$207=0),0,IF(SUM(BS$209:BS220)&lt;1,10%,0))</f>
        <v>0</v>
      </c>
      <c r="BT221" s="2">
        <f>IF(OR(BT$208&gt;=$AQ221,BT$207=0),0,IF(SUM(BT$209:BT220)&lt;1,10%,0))</f>
        <v>0</v>
      </c>
      <c r="BU221" s="2">
        <f ca="1">IF(OR(BU$208&gt;=$AQ221,BU$207=0),0,IF(SUM(BU$209:BU220)&lt;1,10%,0))</f>
        <v>0</v>
      </c>
      <c r="BV221" s="2">
        <f>IF(OR(BV$208&gt;=$AQ221,BV$207=0),0,IF(SUM(BV$209:BV220)&lt;1,10%,0))</f>
        <v>0</v>
      </c>
      <c r="BW221" s="2">
        <f>IF(OR(BW$208&gt;=$AQ221,BW$207=0),0,IF(SUM(BW$209:BW220)&lt;1,10%,0))</f>
        <v>0</v>
      </c>
      <c r="BX221" s="2">
        <f>IF(OR(BX$208&gt;=$AQ221,BX$207=0),0,IF(SUM(BX$209:BX220)&lt;1,10%,0))</f>
        <v>0</v>
      </c>
      <c r="BY221" s="2">
        <f>IF(OR(BY$208&gt;=$AQ221,BY$207=0),0,IF(SUM(BY$209:BY220)&lt;1,10%,0))</f>
        <v>0</v>
      </c>
      <c r="BZ221" s="2">
        <f>IF(OR(BZ$208&gt;=$AQ221,BZ$207=0),0,IF(SUM(BZ$209:BZ220)&lt;1,10%,0))</f>
        <v>0</v>
      </c>
    </row>
    <row r="222" spans="3:78" outlineLevel="1">
      <c r="C222" t="s">
        <v>551</v>
      </c>
      <c r="E222" s="133">
        <f t="shared" ca="1" si="130"/>
        <v>0</v>
      </c>
      <c r="F222" s="4">
        <f t="shared" si="131"/>
        <v>0</v>
      </c>
      <c r="G222" s="4">
        <f t="shared" si="132"/>
        <v>0</v>
      </c>
      <c r="H222" s="4">
        <f t="shared" si="133"/>
        <v>0</v>
      </c>
      <c r="I222" s="4">
        <f t="shared" si="134"/>
        <v>0</v>
      </c>
      <c r="J222" s="4">
        <f t="shared" si="135"/>
        <v>0</v>
      </c>
      <c r="K222" s="4">
        <f t="shared" si="136"/>
        <v>0</v>
      </c>
      <c r="L222" s="4">
        <f t="shared" si="137"/>
        <v>0</v>
      </c>
      <c r="M222" s="4">
        <f t="shared" si="138"/>
        <v>0</v>
      </c>
      <c r="N222" s="4">
        <f t="shared" si="139"/>
        <v>0</v>
      </c>
      <c r="O222" s="4">
        <f t="shared" ca="1" si="140"/>
        <v>0</v>
      </c>
      <c r="P222" s="4">
        <f t="shared" si="141"/>
        <v>0</v>
      </c>
      <c r="Q222" s="4">
        <f t="shared" si="142"/>
        <v>0</v>
      </c>
      <c r="R222" s="4">
        <f t="shared" si="143"/>
        <v>0</v>
      </c>
      <c r="S222" s="4">
        <f t="shared" si="144"/>
        <v>0</v>
      </c>
      <c r="T222" s="4">
        <f t="shared" si="145"/>
        <v>0</v>
      </c>
      <c r="U222" s="4">
        <f t="shared" si="146"/>
        <v>0</v>
      </c>
      <c r="V222" s="4">
        <f t="shared" si="147"/>
        <v>0</v>
      </c>
      <c r="W222" s="4">
        <f t="shared" si="148"/>
        <v>0</v>
      </c>
      <c r="X222" s="4">
        <f t="shared" si="149"/>
        <v>0</v>
      </c>
      <c r="Y222" s="4">
        <f t="shared" ca="1" si="150"/>
        <v>0</v>
      </c>
      <c r="Z222" s="4">
        <f t="shared" si="151"/>
        <v>0</v>
      </c>
      <c r="AA222" s="4">
        <f t="shared" si="152"/>
        <v>0</v>
      </c>
      <c r="AB222" s="4">
        <f t="shared" si="153"/>
        <v>0</v>
      </c>
      <c r="AC222" s="4">
        <f t="shared" si="154"/>
        <v>0</v>
      </c>
      <c r="AD222" s="4">
        <f t="shared" si="155"/>
        <v>0</v>
      </c>
      <c r="AE222" s="4">
        <f t="shared" si="156"/>
        <v>0</v>
      </c>
      <c r="AF222" s="4">
        <f t="shared" si="157"/>
        <v>0</v>
      </c>
      <c r="AG222" s="4">
        <f t="shared" si="158"/>
        <v>0</v>
      </c>
      <c r="AH222" s="4">
        <f t="shared" si="159"/>
        <v>0</v>
      </c>
      <c r="AI222" s="4">
        <f t="shared" ca="1" si="160"/>
        <v>0</v>
      </c>
      <c r="AJ222" s="4">
        <f t="shared" si="161"/>
        <v>0</v>
      </c>
      <c r="AK222" s="4">
        <f t="shared" si="162"/>
        <v>0</v>
      </c>
      <c r="AL222" s="4">
        <f t="shared" si="163"/>
        <v>0</v>
      </c>
      <c r="AM222" s="4">
        <f t="shared" si="164"/>
        <v>0</v>
      </c>
      <c r="AN222" s="4">
        <f t="shared" si="165"/>
        <v>0</v>
      </c>
      <c r="AQ222" s="1">
        <v>13</v>
      </c>
      <c r="AR222" s="2">
        <f>IF(OR(AR$208&gt;=$AQ222,AR$207=0),0,IF(SUM(AR$209:AR221)&lt;1,10%,0))</f>
        <v>0</v>
      </c>
      <c r="AS222" s="2">
        <f>IF(OR(AS$208&gt;=$AQ222,AS$207=0),0,IF(SUM(AS$209:AS221)&lt;1,10%,0))</f>
        <v>0</v>
      </c>
      <c r="AT222" s="2">
        <f>IF(OR(AT$208&gt;=$AQ222,AT$207=0),0,IF(SUM(AT$209:AT221)&lt;1,10%,0))</f>
        <v>0</v>
      </c>
      <c r="AU222" s="2">
        <f>IF(OR(AU$208&gt;=$AQ222,AU$207=0),0,IF(SUM(AU$209:AU221)&lt;1,10%,0))</f>
        <v>0</v>
      </c>
      <c r="AV222" s="2">
        <f>IF(OR(AV$208&gt;=$AQ222,AV$207=0),0,IF(SUM(AV$209:AV221)&lt;1,10%,0))</f>
        <v>0</v>
      </c>
      <c r="AW222" s="2">
        <f>IF(OR(AW$208&gt;=$AQ222,AW$207=0),0,IF(SUM(AW$209:AW221)&lt;1,10%,0))</f>
        <v>0</v>
      </c>
      <c r="AX222" s="2">
        <f>IF(OR(AX$208&gt;=$AQ222,AX$207=0),0,IF(SUM(AX$209:AX221)&lt;1,10%,0))</f>
        <v>0</v>
      </c>
      <c r="AY222" s="2">
        <f>IF(OR(AY$208&gt;=$AQ222,AY$207=0),0,IF(SUM(AY$209:AY221)&lt;1,10%,0))</f>
        <v>0</v>
      </c>
      <c r="AZ222" s="2">
        <f>IF(OR(AZ$208&gt;=$AQ222,AZ$207=0),0,IF(SUM(AZ$209:AZ221)&lt;1,10%,0))</f>
        <v>0</v>
      </c>
      <c r="BA222" s="2">
        <f ca="1">IF(OR(BA$208&gt;=$AQ222,BA$207=0),0,IF(SUM(BA$209:BA221)&lt;1,10%,0))</f>
        <v>0</v>
      </c>
      <c r="BB222" s="2">
        <f>IF(OR(BB$208&gt;=$AQ222,BB$207=0),0,IF(SUM(BB$209:BB221)&lt;1,10%,0))</f>
        <v>0</v>
      </c>
      <c r="BC222" s="2">
        <f>IF(OR(BC$208&gt;=$AQ222,BC$207=0),0,IF(SUM(BC$209:BC221)&lt;1,10%,0))</f>
        <v>0</v>
      </c>
      <c r="BD222" s="2">
        <f>IF(OR(BD$208&gt;=$AQ222,BD$207=0),0,IF(SUM(BD$209:BD221)&lt;1,10%,0))</f>
        <v>0</v>
      </c>
      <c r="BE222" s="2">
        <f>IF(OR(BE$208&gt;=$AQ222,BE$207=0),0,IF(SUM(BE$209:BE221)&lt;1,10%,0))</f>
        <v>0</v>
      </c>
      <c r="BF222" s="2">
        <f>IF(OR(BF$208&gt;=$AQ222,BF$207=0),0,IF(SUM(BF$209:BF221)&lt;1,10%,0))</f>
        <v>0</v>
      </c>
      <c r="BG222" s="2">
        <f>IF(OR(BG$208&gt;=$AQ222,BG$207=0),0,IF(SUM(BG$209:BG221)&lt;1,10%,0))</f>
        <v>0</v>
      </c>
      <c r="BH222" s="2">
        <f>IF(OR(BH$208&gt;=$AQ222,BH$207=0),0,IF(SUM(BH$209:BH221)&lt;1,10%,0))</f>
        <v>0</v>
      </c>
      <c r="BI222" s="2">
        <f>IF(OR(BI$208&gt;=$AQ222,BI$207=0),0,IF(SUM(BI$209:BI221)&lt;1,10%,0))</f>
        <v>0</v>
      </c>
      <c r="BJ222" s="2">
        <f>IF(OR(BJ$208&gt;=$AQ222,BJ$207=0),0,IF(SUM(BJ$209:BJ221)&lt;1,10%,0))</f>
        <v>0</v>
      </c>
      <c r="BK222" s="2">
        <f ca="1">IF(OR(BK$208&gt;=$AQ222,BK$207=0),0,IF(SUM(BK$209:BK221)&lt;1,10%,0))</f>
        <v>0</v>
      </c>
      <c r="BL222" s="2">
        <f>IF(OR(BL$208&gt;=$AQ222,BL$207=0),0,IF(SUM(BL$209:BL221)&lt;1,10%,0))</f>
        <v>0</v>
      </c>
      <c r="BM222" s="2">
        <f>IF(OR(BM$208&gt;=$AQ222,BM$207=0),0,IF(SUM(BM$209:BM221)&lt;1,10%,0))</f>
        <v>0</v>
      </c>
      <c r="BN222" s="2">
        <f>IF(OR(BN$208&gt;=$AQ222,BN$207=0),0,IF(SUM(BN$209:BN221)&lt;1,10%,0))</f>
        <v>0</v>
      </c>
      <c r="BO222" s="2">
        <f>IF(OR(BO$208&gt;=$AQ222,BO$207=0),0,IF(SUM(BO$209:BO221)&lt;1,10%,0))</f>
        <v>0</v>
      </c>
      <c r="BP222" s="2">
        <f>IF(OR(BP$208&gt;=$AQ222,BP$207=0),0,IF(SUM(BP$209:BP221)&lt;1,10%,0))</f>
        <v>0</v>
      </c>
      <c r="BQ222" s="2">
        <f>IF(OR(BQ$208&gt;=$AQ222,BQ$207=0),0,IF(SUM(BQ$209:BQ221)&lt;1,10%,0))</f>
        <v>0</v>
      </c>
      <c r="BR222" s="2">
        <f>IF(OR(BR$208&gt;=$AQ222,BR$207=0),0,IF(SUM(BR$209:BR221)&lt;1,10%,0))</f>
        <v>0</v>
      </c>
      <c r="BS222" s="2">
        <f>IF(OR(BS$208&gt;=$AQ222,BS$207=0),0,IF(SUM(BS$209:BS221)&lt;1,10%,0))</f>
        <v>0</v>
      </c>
      <c r="BT222" s="2">
        <f>IF(OR(BT$208&gt;=$AQ222,BT$207=0),0,IF(SUM(BT$209:BT221)&lt;1,10%,0))</f>
        <v>0</v>
      </c>
      <c r="BU222" s="2">
        <f ca="1">IF(OR(BU$208&gt;=$AQ222,BU$207=0),0,IF(SUM(BU$209:BU221)&lt;1,10%,0))</f>
        <v>0</v>
      </c>
      <c r="BV222" s="2">
        <f>IF(OR(BV$208&gt;=$AQ222,BV$207=0),0,IF(SUM(BV$209:BV221)&lt;1,10%,0))</f>
        <v>0</v>
      </c>
      <c r="BW222" s="2">
        <f>IF(OR(BW$208&gt;=$AQ222,BW$207=0),0,IF(SUM(BW$209:BW221)&lt;1,10%,0))</f>
        <v>0</v>
      </c>
      <c r="BX222" s="2">
        <f>IF(OR(BX$208&gt;=$AQ222,BX$207=0),0,IF(SUM(BX$209:BX221)&lt;1,10%,0))</f>
        <v>0</v>
      </c>
      <c r="BY222" s="2">
        <f>IF(OR(BY$208&gt;=$AQ222,BY$207=0),0,IF(SUM(BY$209:BY221)&lt;1,10%,0))</f>
        <v>0</v>
      </c>
      <c r="BZ222" s="2">
        <f>IF(OR(BZ$208&gt;=$AQ222,BZ$207=0),0,IF(SUM(BZ$209:BZ221)&lt;1,10%,0))</f>
        <v>0</v>
      </c>
    </row>
    <row r="223" spans="3:78" outlineLevel="1">
      <c r="C223" t="s">
        <v>552</v>
      </c>
      <c r="E223" s="133">
        <f t="shared" ca="1" si="130"/>
        <v>0</v>
      </c>
      <c r="F223" s="4">
        <f t="shared" si="131"/>
        <v>0</v>
      </c>
      <c r="G223" s="4">
        <f t="shared" si="132"/>
        <v>0</v>
      </c>
      <c r="H223" s="4">
        <f t="shared" si="133"/>
        <v>0</v>
      </c>
      <c r="I223" s="4">
        <f t="shared" si="134"/>
        <v>0</v>
      </c>
      <c r="J223" s="4">
        <f t="shared" si="135"/>
        <v>0</v>
      </c>
      <c r="K223" s="4">
        <f t="shared" si="136"/>
        <v>0</v>
      </c>
      <c r="L223" s="4">
        <f t="shared" si="137"/>
        <v>0</v>
      </c>
      <c r="M223" s="4">
        <f t="shared" si="138"/>
        <v>0</v>
      </c>
      <c r="N223" s="4">
        <f t="shared" si="139"/>
        <v>0</v>
      </c>
      <c r="O223" s="4">
        <f t="shared" ca="1" si="140"/>
        <v>0</v>
      </c>
      <c r="P223" s="4">
        <f t="shared" si="141"/>
        <v>0</v>
      </c>
      <c r="Q223" s="4">
        <f t="shared" si="142"/>
        <v>0</v>
      </c>
      <c r="R223" s="4">
        <f t="shared" si="143"/>
        <v>0</v>
      </c>
      <c r="S223" s="4">
        <f t="shared" si="144"/>
        <v>0</v>
      </c>
      <c r="T223" s="4">
        <f t="shared" si="145"/>
        <v>0</v>
      </c>
      <c r="U223" s="4">
        <f t="shared" si="146"/>
        <v>0</v>
      </c>
      <c r="V223" s="4">
        <f t="shared" si="147"/>
        <v>0</v>
      </c>
      <c r="W223" s="4">
        <f t="shared" si="148"/>
        <v>0</v>
      </c>
      <c r="X223" s="4">
        <f t="shared" si="149"/>
        <v>0</v>
      </c>
      <c r="Y223" s="4">
        <f t="shared" ca="1" si="150"/>
        <v>0</v>
      </c>
      <c r="Z223" s="4">
        <f t="shared" si="151"/>
        <v>0</v>
      </c>
      <c r="AA223" s="4">
        <f t="shared" si="152"/>
        <v>0</v>
      </c>
      <c r="AB223" s="4">
        <f t="shared" si="153"/>
        <v>0</v>
      </c>
      <c r="AC223" s="4">
        <f t="shared" si="154"/>
        <v>0</v>
      </c>
      <c r="AD223" s="4">
        <f t="shared" si="155"/>
        <v>0</v>
      </c>
      <c r="AE223" s="4">
        <f t="shared" si="156"/>
        <v>0</v>
      </c>
      <c r="AF223" s="4">
        <f t="shared" si="157"/>
        <v>0</v>
      </c>
      <c r="AG223" s="4">
        <f t="shared" si="158"/>
        <v>0</v>
      </c>
      <c r="AH223" s="4">
        <f t="shared" si="159"/>
        <v>0</v>
      </c>
      <c r="AI223" s="4">
        <f t="shared" ca="1" si="160"/>
        <v>0</v>
      </c>
      <c r="AJ223" s="4">
        <f t="shared" si="161"/>
        <v>0</v>
      </c>
      <c r="AK223" s="4">
        <f t="shared" si="162"/>
        <v>0</v>
      </c>
      <c r="AL223" s="4">
        <f t="shared" si="163"/>
        <v>0</v>
      </c>
      <c r="AM223" s="4">
        <f t="shared" si="164"/>
        <v>0</v>
      </c>
      <c r="AN223" s="4">
        <f t="shared" si="165"/>
        <v>0</v>
      </c>
      <c r="AQ223" s="1">
        <v>14</v>
      </c>
      <c r="AR223" s="2">
        <f>IF(OR(AR$208&gt;=$AQ223,AR$207=0),0,IF(SUM(AR$209:AR222)&lt;1,10%,0))</f>
        <v>0</v>
      </c>
      <c r="AS223" s="2">
        <f>IF(OR(AS$208&gt;=$AQ223,AS$207=0),0,IF(SUM(AS$209:AS222)&lt;1,10%,0))</f>
        <v>0</v>
      </c>
      <c r="AT223" s="2">
        <f>IF(OR(AT$208&gt;=$AQ223,AT$207=0),0,IF(SUM(AT$209:AT222)&lt;1,10%,0))</f>
        <v>0</v>
      </c>
      <c r="AU223" s="2">
        <f>IF(OR(AU$208&gt;=$AQ223,AU$207=0),0,IF(SUM(AU$209:AU222)&lt;1,10%,0))</f>
        <v>0</v>
      </c>
      <c r="AV223" s="2">
        <f>IF(OR(AV$208&gt;=$AQ223,AV$207=0),0,IF(SUM(AV$209:AV222)&lt;1,10%,0))</f>
        <v>0</v>
      </c>
      <c r="AW223" s="2">
        <f>IF(OR(AW$208&gt;=$AQ223,AW$207=0),0,IF(SUM(AW$209:AW222)&lt;1,10%,0))</f>
        <v>0</v>
      </c>
      <c r="AX223" s="2">
        <f>IF(OR(AX$208&gt;=$AQ223,AX$207=0),0,IF(SUM(AX$209:AX222)&lt;1,10%,0))</f>
        <v>0</v>
      </c>
      <c r="AY223" s="2">
        <f>IF(OR(AY$208&gt;=$AQ223,AY$207=0),0,IF(SUM(AY$209:AY222)&lt;1,10%,0))</f>
        <v>0</v>
      </c>
      <c r="AZ223" s="2">
        <f>IF(OR(AZ$208&gt;=$AQ223,AZ$207=0),0,IF(SUM(AZ$209:AZ222)&lt;1,10%,0))</f>
        <v>0</v>
      </c>
      <c r="BA223" s="2">
        <f ca="1">IF(OR(BA$208&gt;=$AQ223,BA$207=0),0,IF(SUM(BA$209:BA222)&lt;1,10%,0))</f>
        <v>0</v>
      </c>
      <c r="BB223" s="2">
        <f>IF(OR(BB$208&gt;=$AQ223,BB$207=0),0,IF(SUM(BB$209:BB222)&lt;1,10%,0))</f>
        <v>0</v>
      </c>
      <c r="BC223" s="2">
        <f>IF(OR(BC$208&gt;=$AQ223,BC$207=0),0,IF(SUM(BC$209:BC222)&lt;1,10%,0))</f>
        <v>0</v>
      </c>
      <c r="BD223" s="2">
        <f>IF(OR(BD$208&gt;=$AQ223,BD$207=0),0,IF(SUM(BD$209:BD222)&lt;1,10%,0))</f>
        <v>0</v>
      </c>
      <c r="BE223" s="2">
        <f>IF(OR(BE$208&gt;=$AQ223,BE$207=0),0,IF(SUM(BE$209:BE222)&lt;1,10%,0))</f>
        <v>0</v>
      </c>
      <c r="BF223" s="2">
        <f>IF(OR(BF$208&gt;=$AQ223,BF$207=0),0,IF(SUM(BF$209:BF222)&lt;1,10%,0))</f>
        <v>0</v>
      </c>
      <c r="BG223" s="2">
        <f>IF(OR(BG$208&gt;=$AQ223,BG$207=0),0,IF(SUM(BG$209:BG222)&lt;1,10%,0))</f>
        <v>0</v>
      </c>
      <c r="BH223" s="2">
        <f>IF(OR(BH$208&gt;=$AQ223,BH$207=0),0,IF(SUM(BH$209:BH222)&lt;1,10%,0))</f>
        <v>0</v>
      </c>
      <c r="BI223" s="2">
        <f>IF(OR(BI$208&gt;=$AQ223,BI$207=0),0,IF(SUM(BI$209:BI222)&lt;1,10%,0))</f>
        <v>0</v>
      </c>
      <c r="BJ223" s="2">
        <f>IF(OR(BJ$208&gt;=$AQ223,BJ$207=0),0,IF(SUM(BJ$209:BJ222)&lt;1,10%,0))</f>
        <v>0</v>
      </c>
      <c r="BK223" s="2">
        <f ca="1">IF(OR(BK$208&gt;=$AQ223,BK$207=0),0,IF(SUM(BK$209:BK222)&lt;1,10%,0))</f>
        <v>0</v>
      </c>
      <c r="BL223" s="2">
        <f>IF(OR(BL$208&gt;=$AQ223,BL$207=0),0,IF(SUM(BL$209:BL222)&lt;1,10%,0))</f>
        <v>0</v>
      </c>
      <c r="BM223" s="2">
        <f>IF(OR(BM$208&gt;=$AQ223,BM$207=0),0,IF(SUM(BM$209:BM222)&lt;1,10%,0))</f>
        <v>0</v>
      </c>
      <c r="BN223" s="2">
        <f>IF(OR(BN$208&gt;=$AQ223,BN$207=0),0,IF(SUM(BN$209:BN222)&lt;1,10%,0))</f>
        <v>0</v>
      </c>
      <c r="BO223" s="2">
        <f>IF(OR(BO$208&gt;=$AQ223,BO$207=0),0,IF(SUM(BO$209:BO222)&lt;1,10%,0))</f>
        <v>0</v>
      </c>
      <c r="BP223" s="2">
        <f>IF(OR(BP$208&gt;=$AQ223,BP$207=0),0,IF(SUM(BP$209:BP222)&lt;1,10%,0))</f>
        <v>0</v>
      </c>
      <c r="BQ223" s="2">
        <f>IF(OR(BQ$208&gt;=$AQ223,BQ$207=0),0,IF(SUM(BQ$209:BQ222)&lt;1,10%,0))</f>
        <v>0</v>
      </c>
      <c r="BR223" s="2">
        <f>IF(OR(BR$208&gt;=$AQ223,BR$207=0),0,IF(SUM(BR$209:BR222)&lt;1,10%,0))</f>
        <v>0</v>
      </c>
      <c r="BS223" s="2">
        <f>IF(OR(BS$208&gt;=$AQ223,BS$207=0),0,IF(SUM(BS$209:BS222)&lt;1,10%,0))</f>
        <v>0</v>
      </c>
      <c r="BT223" s="2">
        <f>IF(OR(BT$208&gt;=$AQ223,BT$207=0),0,IF(SUM(BT$209:BT222)&lt;1,10%,0))</f>
        <v>0</v>
      </c>
      <c r="BU223" s="2">
        <f ca="1">IF(OR(BU$208&gt;=$AQ223,BU$207=0),0,IF(SUM(BU$209:BU222)&lt;1,10%,0))</f>
        <v>0</v>
      </c>
      <c r="BV223" s="2">
        <f>IF(OR(BV$208&gt;=$AQ223,BV$207=0),0,IF(SUM(BV$209:BV222)&lt;1,10%,0))</f>
        <v>0</v>
      </c>
      <c r="BW223" s="2">
        <f>IF(OR(BW$208&gt;=$AQ223,BW$207=0),0,IF(SUM(BW$209:BW222)&lt;1,10%,0))</f>
        <v>0</v>
      </c>
      <c r="BX223" s="2">
        <f>IF(OR(BX$208&gt;=$AQ223,BX$207=0),0,IF(SUM(BX$209:BX222)&lt;1,10%,0))</f>
        <v>0</v>
      </c>
      <c r="BY223" s="2">
        <f>IF(OR(BY$208&gt;=$AQ223,BY$207=0),0,IF(SUM(BY$209:BY222)&lt;1,10%,0))</f>
        <v>0</v>
      </c>
      <c r="BZ223" s="2">
        <f>IF(OR(BZ$208&gt;=$AQ223,BZ$207=0),0,IF(SUM(BZ$209:BZ222)&lt;1,10%,0))</f>
        <v>0</v>
      </c>
    </row>
    <row r="224" spans="3:78" outlineLevel="1">
      <c r="C224" t="s">
        <v>553</v>
      </c>
      <c r="E224" s="133">
        <f t="shared" ca="1" si="130"/>
        <v>0</v>
      </c>
      <c r="F224" s="4">
        <f t="shared" si="131"/>
        <v>0</v>
      </c>
      <c r="G224" s="4">
        <f t="shared" si="132"/>
        <v>0</v>
      </c>
      <c r="H224" s="4">
        <f t="shared" si="133"/>
        <v>0</v>
      </c>
      <c r="I224" s="4">
        <f t="shared" si="134"/>
        <v>0</v>
      </c>
      <c r="J224" s="4">
        <f t="shared" si="135"/>
        <v>0</v>
      </c>
      <c r="K224" s="4">
        <f t="shared" si="136"/>
        <v>0</v>
      </c>
      <c r="L224" s="4">
        <f t="shared" si="137"/>
        <v>0</v>
      </c>
      <c r="M224" s="4">
        <f t="shared" si="138"/>
        <v>0</v>
      </c>
      <c r="N224" s="4">
        <f t="shared" si="139"/>
        <v>0</v>
      </c>
      <c r="O224" s="4">
        <f t="shared" ca="1" si="140"/>
        <v>0</v>
      </c>
      <c r="P224" s="4">
        <f t="shared" si="141"/>
        <v>0</v>
      </c>
      <c r="Q224" s="4">
        <f t="shared" si="142"/>
        <v>0</v>
      </c>
      <c r="R224" s="4">
        <f t="shared" si="143"/>
        <v>0</v>
      </c>
      <c r="S224" s="4">
        <f t="shared" si="144"/>
        <v>0</v>
      </c>
      <c r="T224" s="4">
        <f t="shared" si="145"/>
        <v>0</v>
      </c>
      <c r="U224" s="4">
        <f t="shared" si="146"/>
        <v>0</v>
      </c>
      <c r="V224" s="4">
        <f t="shared" si="147"/>
        <v>0</v>
      </c>
      <c r="W224" s="4">
        <f t="shared" si="148"/>
        <v>0</v>
      </c>
      <c r="X224" s="4">
        <f t="shared" si="149"/>
        <v>0</v>
      </c>
      <c r="Y224" s="4">
        <f t="shared" ca="1" si="150"/>
        <v>0</v>
      </c>
      <c r="Z224" s="4">
        <f t="shared" si="151"/>
        <v>0</v>
      </c>
      <c r="AA224" s="4">
        <f t="shared" si="152"/>
        <v>0</v>
      </c>
      <c r="AB224" s="4">
        <f t="shared" si="153"/>
        <v>0</v>
      </c>
      <c r="AC224" s="4">
        <f t="shared" si="154"/>
        <v>0</v>
      </c>
      <c r="AD224" s="4">
        <f t="shared" si="155"/>
        <v>0</v>
      </c>
      <c r="AE224" s="4">
        <f t="shared" si="156"/>
        <v>0</v>
      </c>
      <c r="AF224" s="4">
        <f t="shared" si="157"/>
        <v>0</v>
      </c>
      <c r="AG224" s="4">
        <f t="shared" si="158"/>
        <v>0</v>
      </c>
      <c r="AH224" s="4">
        <f t="shared" si="159"/>
        <v>0</v>
      </c>
      <c r="AI224" s="4">
        <f t="shared" ca="1" si="160"/>
        <v>0</v>
      </c>
      <c r="AJ224" s="4">
        <f t="shared" si="161"/>
        <v>0</v>
      </c>
      <c r="AK224" s="4">
        <f t="shared" si="162"/>
        <v>0</v>
      </c>
      <c r="AL224" s="4">
        <f t="shared" si="163"/>
        <v>0</v>
      </c>
      <c r="AM224" s="4">
        <f t="shared" si="164"/>
        <v>0</v>
      </c>
      <c r="AN224" s="4">
        <f t="shared" si="165"/>
        <v>0</v>
      </c>
      <c r="AQ224" s="1">
        <v>15</v>
      </c>
      <c r="AR224" s="2">
        <f>IF(OR(AR$208&gt;=$AQ224,AR$207=0),0,IF(SUM(AR$209:AR223)&lt;1,10%,0))</f>
        <v>0</v>
      </c>
      <c r="AS224" s="2">
        <f>IF(OR(AS$208&gt;=$AQ224,AS$207=0),0,IF(SUM(AS$209:AS223)&lt;1,10%,0))</f>
        <v>0</v>
      </c>
      <c r="AT224" s="2">
        <f>IF(OR(AT$208&gt;=$AQ224,AT$207=0),0,IF(SUM(AT$209:AT223)&lt;1,10%,0))</f>
        <v>0</v>
      </c>
      <c r="AU224" s="2">
        <f>IF(OR(AU$208&gt;=$AQ224,AU$207=0),0,IF(SUM(AU$209:AU223)&lt;1,10%,0))</f>
        <v>0</v>
      </c>
      <c r="AV224" s="2">
        <f>IF(OR(AV$208&gt;=$AQ224,AV$207=0),0,IF(SUM(AV$209:AV223)&lt;1,10%,0))</f>
        <v>0</v>
      </c>
      <c r="AW224" s="2">
        <f>IF(OR(AW$208&gt;=$AQ224,AW$207=0),0,IF(SUM(AW$209:AW223)&lt;1,10%,0))</f>
        <v>0</v>
      </c>
      <c r="AX224" s="2">
        <f>IF(OR(AX$208&gt;=$AQ224,AX$207=0),0,IF(SUM(AX$209:AX223)&lt;1,10%,0))</f>
        <v>0</v>
      </c>
      <c r="AY224" s="2">
        <f>IF(OR(AY$208&gt;=$AQ224,AY$207=0),0,IF(SUM(AY$209:AY223)&lt;1,10%,0))</f>
        <v>0</v>
      </c>
      <c r="AZ224" s="2">
        <f>IF(OR(AZ$208&gt;=$AQ224,AZ$207=0),0,IF(SUM(AZ$209:AZ223)&lt;1,10%,0))</f>
        <v>0</v>
      </c>
      <c r="BA224" s="2">
        <f ca="1">IF(OR(BA$208&gt;=$AQ224,BA$207=0),0,IF(SUM(BA$209:BA223)&lt;1,10%,0))</f>
        <v>0</v>
      </c>
      <c r="BB224" s="2">
        <f>IF(OR(BB$208&gt;=$AQ224,BB$207=0),0,IF(SUM(BB$209:BB223)&lt;1,10%,0))</f>
        <v>0</v>
      </c>
      <c r="BC224" s="2">
        <f>IF(OR(BC$208&gt;=$AQ224,BC$207=0),0,IF(SUM(BC$209:BC223)&lt;1,10%,0))</f>
        <v>0</v>
      </c>
      <c r="BD224" s="2">
        <f>IF(OR(BD$208&gt;=$AQ224,BD$207=0),0,IF(SUM(BD$209:BD223)&lt;1,10%,0))</f>
        <v>0</v>
      </c>
      <c r="BE224" s="2">
        <f>IF(OR(BE$208&gt;=$AQ224,BE$207=0),0,IF(SUM(BE$209:BE223)&lt;1,10%,0))</f>
        <v>0</v>
      </c>
      <c r="BF224" s="2">
        <f>IF(OR(BF$208&gt;=$AQ224,BF$207=0),0,IF(SUM(BF$209:BF223)&lt;1,10%,0))</f>
        <v>0</v>
      </c>
      <c r="BG224" s="2">
        <f>IF(OR(BG$208&gt;=$AQ224,BG$207=0),0,IF(SUM(BG$209:BG223)&lt;1,10%,0))</f>
        <v>0</v>
      </c>
      <c r="BH224" s="2">
        <f>IF(OR(BH$208&gt;=$AQ224,BH$207=0),0,IF(SUM(BH$209:BH223)&lt;1,10%,0))</f>
        <v>0</v>
      </c>
      <c r="BI224" s="2">
        <f>IF(OR(BI$208&gt;=$AQ224,BI$207=0),0,IF(SUM(BI$209:BI223)&lt;1,10%,0))</f>
        <v>0</v>
      </c>
      <c r="BJ224" s="2">
        <f>IF(OR(BJ$208&gt;=$AQ224,BJ$207=0),0,IF(SUM(BJ$209:BJ223)&lt;1,10%,0))</f>
        <v>0</v>
      </c>
      <c r="BK224" s="2">
        <f ca="1">IF(OR(BK$208&gt;=$AQ224,BK$207=0),0,IF(SUM(BK$209:BK223)&lt;1,10%,0))</f>
        <v>0</v>
      </c>
      <c r="BL224" s="2">
        <f>IF(OR(BL$208&gt;=$AQ224,BL$207=0),0,IF(SUM(BL$209:BL223)&lt;1,10%,0))</f>
        <v>0</v>
      </c>
      <c r="BM224" s="2">
        <f>IF(OR(BM$208&gt;=$AQ224,BM$207=0),0,IF(SUM(BM$209:BM223)&lt;1,10%,0))</f>
        <v>0</v>
      </c>
      <c r="BN224" s="2">
        <f>IF(OR(BN$208&gt;=$AQ224,BN$207=0),0,IF(SUM(BN$209:BN223)&lt;1,10%,0))</f>
        <v>0</v>
      </c>
      <c r="BO224" s="2">
        <f>IF(OR(BO$208&gt;=$AQ224,BO$207=0),0,IF(SUM(BO$209:BO223)&lt;1,10%,0))</f>
        <v>0</v>
      </c>
      <c r="BP224" s="2">
        <f>IF(OR(BP$208&gt;=$AQ224,BP$207=0),0,IF(SUM(BP$209:BP223)&lt;1,10%,0))</f>
        <v>0</v>
      </c>
      <c r="BQ224" s="2">
        <f>IF(OR(BQ$208&gt;=$AQ224,BQ$207=0),0,IF(SUM(BQ$209:BQ223)&lt;1,10%,0))</f>
        <v>0</v>
      </c>
      <c r="BR224" s="2">
        <f>IF(OR(BR$208&gt;=$AQ224,BR$207=0),0,IF(SUM(BR$209:BR223)&lt;1,10%,0))</f>
        <v>0</v>
      </c>
      <c r="BS224" s="2">
        <f>IF(OR(BS$208&gt;=$AQ224,BS$207=0),0,IF(SUM(BS$209:BS223)&lt;1,10%,0))</f>
        <v>0</v>
      </c>
      <c r="BT224" s="2">
        <f>IF(OR(BT$208&gt;=$AQ224,BT$207=0),0,IF(SUM(BT$209:BT223)&lt;1,10%,0))</f>
        <v>0</v>
      </c>
      <c r="BU224" s="2">
        <f ca="1">IF(OR(BU$208&gt;=$AQ224,BU$207=0),0,IF(SUM(BU$209:BU223)&lt;1,10%,0))</f>
        <v>0</v>
      </c>
      <c r="BV224" s="2">
        <f>IF(OR(BV$208&gt;=$AQ224,BV$207=0),0,IF(SUM(BV$209:BV223)&lt;1,10%,0))</f>
        <v>0</v>
      </c>
      <c r="BW224" s="2">
        <f>IF(OR(BW$208&gt;=$AQ224,BW$207=0),0,IF(SUM(BW$209:BW223)&lt;1,10%,0))</f>
        <v>0</v>
      </c>
      <c r="BX224" s="2">
        <f>IF(OR(BX$208&gt;=$AQ224,BX$207=0),0,IF(SUM(BX$209:BX223)&lt;1,10%,0))</f>
        <v>0</v>
      </c>
      <c r="BY224" s="2">
        <f>IF(OR(BY$208&gt;=$AQ224,BY$207=0),0,IF(SUM(BY$209:BY223)&lt;1,10%,0))</f>
        <v>0</v>
      </c>
      <c r="BZ224" s="2">
        <f>IF(OR(BZ$208&gt;=$AQ224,BZ$207=0),0,IF(SUM(BZ$209:BZ223)&lt;1,10%,0))</f>
        <v>0</v>
      </c>
    </row>
    <row r="225" spans="3:78" outlineLevel="1">
      <c r="C225" t="s">
        <v>554</v>
      </c>
      <c r="E225" s="133">
        <f t="shared" ca="1" si="130"/>
        <v>0</v>
      </c>
      <c r="F225" s="4">
        <f t="shared" si="131"/>
        <v>0</v>
      </c>
      <c r="G225" s="4">
        <f t="shared" si="132"/>
        <v>0</v>
      </c>
      <c r="H225" s="4">
        <f t="shared" si="133"/>
        <v>0</v>
      </c>
      <c r="I225" s="4">
        <f t="shared" si="134"/>
        <v>0</v>
      </c>
      <c r="J225" s="4">
        <f t="shared" si="135"/>
        <v>0</v>
      </c>
      <c r="K225" s="4">
        <f t="shared" si="136"/>
        <v>0</v>
      </c>
      <c r="L225" s="4">
        <f t="shared" si="137"/>
        <v>0</v>
      </c>
      <c r="M225" s="4">
        <f t="shared" si="138"/>
        <v>0</v>
      </c>
      <c r="N225" s="4">
        <f t="shared" si="139"/>
        <v>0</v>
      </c>
      <c r="O225" s="4">
        <f t="shared" ca="1" si="140"/>
        <v>0</v>
      </c>
      <c r="P225" s="4">
        <f t="shared" si="141"/>
        <v>0</v>
      </c>
      <c r="Q225" s="4">
        <f t="shared" si="142"/>
        <v>0</v>
      </c>
      <c r="R225" s="4">
        <f t="shared" si="143"/>
        <v>0</v>
      </c>
      <c r="S225" s="4">
        <f t="shared" si="144"/>
        <v>0</v>
      </c>
      <c r="T225" s="4">
        <f t="shared" si="145"/>
        <v>0</v>
      </c>
      <c r="U225" s="4">
        <f t="shared" si="146"/>
        <v>0</v>
      </c>
      <c r="V225" s="4">
        <f t="shared" si="147"/>
        <v>0</v>
      </c>
      <c r="W225" s="4">
        <f t="shared" si="148"/>
        <v>0</v>
      </c>
      <c r="X225" s="4">
        <f t="shared" si="149"/>
        <v>0</v>
      </c>
      <c r="Y225" s="4">
        <f t="shared" ca="1" si="150"/>
        <v>0</v>
      </c>
      <c r="Z225" s="4">
        <f t="shared" si="151"/>
        <v>0</v>
      </c>
      <c r="AA225" s="4">
        <f t="shared" si="152"/>
        <v>0</v>
      </c>
      <c r="AB225" s="4">
        <f t="shared" si="153"/>
        <v>0</v>
      </c>
      <c r="AC225" s="4">
        <f t="shared" si="154"/>
        <v>0</v>
      </c>
      <c r="AD225" s="4">
        <f t="shared" si="155"/>
        <v>0</v>
      </c>
      <c r="AE225" s="4">
        <f t="shared" si="156"/>
        <v>0</v>
      </c>
      <c r="AF225" s="4">
        <f t="shared" si="157"/>
        <v>0</v>
      </c>
      <c r="AG225" s="4">
        <f t="shared" si="158"/>
        <v>0</v>
      </c>
      <c r="AH225" s="4">
        <f t="shared" si="159"/>
        <v>0</v>
      </c>
      <c r="AI225" s="4">
        <f t="shared" ca="1" si="160"/>
        <v>0</v>
      </c>
      <c r="AJ225" s="4">
        <f t="shared" si="161"/>
        <v>0</v>
      </c>
      <c r="AK225" s="4">
        <f t="shared" si="162"/>
        <v>0</v>
      </c>
      <c r="AL225" s="4">
        <f t="shared" si="163"/>
        <v>0</v>
      </c>
      <c r="AM225" s="4">
        <f t="shared" si="164"/>
        <v>0</v>
      </c>
      <c r="AN225" s="4">
        <f t="shared" si="165"/>
        <v>0</v>
      </c>
      <c r="AQ225" s="1">
        <v>16</v>
      </c>
      <c r="AR225" s="2">
        <f>IF(OR(AR$208&gt;=$AQ225,AR$207=0),0,IF(SUM(AR$209:AR224)&lt;1,10%,0))</f>
        <v>0</v>
      </c>
      <c r="AS225" s="2">
        <f>IF(OR(AS$208&gt;=$AQ225,AS$207=0),0,IF(SUM(AS$209:AS224)&lt;1,10%,0))</f>
        <v>0</v>
      </c>
      <c r="AT225" s="2">
        <f>IF(OR(AT$208&gt;=$AQ225,AT$207=0),0,IF(SUM(AT$209:AT224)&lt;1,10%,0))</f>
        <v>0</v>
      </c>
      <c r="AU225" s="2">
        <f>IF(OR(AU$208&gt;=$AQ225,AU$207=0),0,IF(SUM(AU$209:AU224)&lt;1,10%,0))</f>
        <v>0</v>
      </c>
      <c r="AV225" s="2">
        <f>IF(OR(AV$208&gt;=$AQ225,AV$207=0),0,IF(SUM(AV$209:AV224)&lt;1,10%,0))</f>
        <v>0</v>
      </c>
      <c r="AW225" s="2">
        <f>IF(OR(AW$208&gt;=$AQ225,AW$207=0),0,IF(SUM(AW$209:AW224)&lt;1,10%,0))</f>
        <v>0</v>
      </c>
      <c r="AX225" s="2">
        <f>IF(OR(AX$208&gt;=$AQ225,AX$207=0),0,IF(SUM(AX$209:AX224)&lt;1,10%,0))</f>
        <v>0</v>
      </c>
      <c r="AY225" s="2">
        <f>IF(OR(AY$208&gt;=$AQ225,AY$207=0),0,IF(SUM(AY$209:AY224)&lt;1,10%,0))</f>
        <v>0</v>
      </c>
      <c r="AZ225" s="2">
        <f>IF(OR(AZ$208&gt;=$AQ225,AZ$207=0),0,IF(SUM(AZ$209:AZ224)&lt;1,10%,0))</f>
        <v>0</v>
      </c>
      <c r="BA225" s="2">
        <f ca="1">IF(OR(BA$208&gt;=$AQ225,BA$207=0),0,IF(SUM(BA$209:BA224)&lt;1,10%,0))</f>
        <v>0</v>
      </c>
      <c r="BB225" s="2">
        <f>IF(OR(BB$208&gt;=$AQ225,BB$207=0),0,IF(SUM(BB$209:BB224)&lt;1,10%,0))</f>
        <v>0</v>
      </c>
      <c r="BC225" s="2">
        <f>IF(OR(BC$208&gt;=$AQ225,BC$207=0),0,IF(SUM(BC$209:BC224)&lt;1,10%,0))</f>
        <v>0</v>
      </c>
      <c r="BD225" s="2">
        <f>IF(OR(BD$208&gt;=$AQ225,BD$207=0),0,IF(SUM(BD$209:BD224)&lt;1,10%,0))</f>
        <v>0</v>
      </c>
      <c r="BE225" s="2">
        <f>IF(OR(BE$208&gt;=$AQ225,BE$207=0),0,IF(SUM(BE$209:BE224)&lt;1,10%,0))</f>
        <v>0</v>
      </c>
      <c r="BF225" s="2">
        <f>IF(OR(BF$208&gt;=$AQ225,BF$207=0),0,IF(SUM(BF$209:BF224)&lt;1,10%,0))</f>
        <v>0</v>
      </c>
      <c r="BG225" s="2">
        <f>IF(OR(BG$208&gt;=$AQ225,BG$207=0),0,IF(SUM(BG$209:BG224)&lt;1,10%,0))</f>
        <v>0</v>
      </c>
      <c r="BH225" s="2">
        <f>IF(OR(BH$208&gt;=$AQ225,BH$207=0),0,IF(SUM(BH$209:BH224)&lt;1,10%,0))</f>
        <v>0</v>
      </c>
      <c r="BI225" s="2">
        <f>IF(OR(BI$208&gt;=$AQ225,BI$207=0),0,IF(SUM(BI$209:BI224)&lt;1,10%,0))</f>
        <v>0</v>
      </c>
      <c r="BJ225" s="2">
        <f>IF(OR(BJ$208&gt;=$AQ225,BJ$207=0),0,IF(SUM(BJ$209:BJ224)&lt;1,10%,0))</f>
        <v>0</v>
      </c>
      <c r="BK225" s="2">
        <f ca="1">IF(OR(BK$208&gt;=$AQ225,BK$207=0),0,IF(SUM(BK$209:BK224)&lt;1,10%,0))</f>
        <v>0</v>
      </c>
      <c r="BL225" s="2">
        <f>IF(OR(BL$208&gt;=$AQ225,BL$207=0),0,IF(SUM(BL$209:BL224)&lt;1,10%,0))</f>
        <v>0</v>
      </c>
      <c r="BM225" s="2">
        <f>IF(OR(BM$208&gt;=$AQ225,BM$207=0),0,IF(SUM(BM$209:BM224)&lt;1,10%,0))</f>
        <v>0</v>
      </c>
      <c r="BN225" s="2">
        <f>IF(OR(BN$208&gt;=$AQ225,BN$207=0),0,IF(SUM(BN$209:BN224)&lt;1,10%,0))</f>
        <v>0</v>
      </c>
      <c r="BO225" s="2">
        <f>IF(OR(BO$208&gt;=$AQ225,BO$207=0),0,IF(SUM(BO$209:BO224)&lt;1,10%,0))</f>
        <v>0</v>
      </c>
      <c r="BP225" s="2">
        <f>IF(OR(BP$208&gt;=$AQ225,BP$207=0),0,IF(SUM(BP$209:BP224)&lt;1,10%,0))</f>
        <v>0</v>
      </c>
      <c r="BQ225" s="2">
        <f>IF(OR(BQ$208&gt;=$AQ225,BQ$207=0),0,IF(SUM(BQ$209:BQ224)&lt;1,10%,0))</f>
        <v>0</v>
      </c>
      <c r="BR225" s="2">
        <f>IF(OR(BR$208&gt;=$AQ225,BR$207=0),0,IF(SUM(BR$209:BR224)&lt;1,10%,0))</f>
        <v>0</v>
      </c>
      <c r="BS225" s="2">
        <f>IF(OR(BS$208&gt;=$AQ225,BS$207=0),0,IF(SUM(BS$209:BS224)&lt;1,10%,0))</f>
        <v>0</v>
      </c>
      <c r="BT225" s="2">
        <f>IF(OR(BT$208&gt;=$AQ225,BT$207=0),0,IF(SUM(BT$209:BT224)&lt;1,10%,0))</f>
        <v>0</v>
      </c>
      <c r="BU225" s="2">
        <f ca="1">IF(OR(BU$208&gt;=$AQ225,BU$207=0),0,IF(SUM(BU$209:BU224)&lt;1,10%,0))</f>
        <v>0</v>
      </c>
      <c r="BV225" s="2">
        <f>IF(OR(BV$208&gt;=$AQ225,BV$207=0),0,IF(SUM(BV$209:BV224)&lt;1,10%,0))</f>
        <v>0</v>
      </c>
      <c r="BW225" s="2">
        <f>IF(OR(BW$208&gt;=$AQ225,BW$207=0),0,IF(SUM(BW$209:BW224)&lt;1,10%,0))</f>
        <v>0</v>
      </c>
      <c r="BX225" s="2">
        <f>IF(OR(BX$208&gt;=$AQ225,BX$207=0),0,IF(SUM(BX$209:BX224)&lt;1,10%,0))</f>
        <v>0</v>
      </c>
      <c r="BY225" s="2">
        <f>IF(OR(BY$208&gt;=$AQ225,BY$207=0),0,IF(SUM(BY$209:BY224)&lt;1,10%,0))</f>
        <v>0</v>
      </c>
      <c r="BZ225" s="2">
        <f>IF(OR(BZ$208&gt;=$AQ225,BZ$207=0),0,IF(SUM(BZ$209:BZ224)&lt;1,10%,0))</f>
        <v>0</v>
      </c>
    </row>
    <row r="226" spans="3:78" outlineLevel="1">
      <c r="C226" t="s">
        <v>555</v>
      </c>
      <c r="E226" s="133">
        <f t="shared" ca="1" si="130"/>
        <v>0</v>
      </c>
      <c r="F226" s="4">
        <f t="shared" si="131"/>
        <v>0</v>
      </c>
      <c r="G226" s="4">
        <f t="shared" si="132"/>
        <v>0</v>
      </c>
      <c r="H226" s="4">
        <f t="shared" si="133"/>
        <v>0</v>
      </c>
      <c r="I226" s="4">
        <f t="shared" si="134"/>
        <v>0</v>
      </c>
      <c r="J226" s="4">
        <f t="shared" si="135"/>
        <v>0</v>
      </c>
      <c r="K226" s="4">
        <f t="shared" si="136"/>
        <v>0</v>
      </c>
      <c r="L226" s="4">
        <f t="shared" si="137"/>
        <v>0</v>
      </c>
      <c r="M226" s="4">
        <f t="shared" si="138"/>
        <v>0</v>
      </c>
      <c r="N226" s="4">
        <f t="shared" si="139"/>
        <v>0</v>
      </c>
      <c r="O226" s="4">
        <f t="shared" ca="1" si="140"/>
        <v>0</v>
      </c>
      <c r="P226" s="4">
        <f t="shared" si="141"/>
        <v>0</v>
      </c>
      <c r="Q226" s="4">
        <f t="shared" si="142"/>
        <v>0</v>
      </c>
      <c r="R226" s="4">
        <f t="shared" si="143"/>
        <v>0</v>
      </c>
      <c r="S226" s="4">
        <f t="shared" si="144"/>
        <v>0</v>
      </c>
      <c r="T226" s="4">
        <f t="shared" si="145"/>
        <v>0</v>
      </c>
      <c r="U226" s="4">
        <f t="shared" si="146"/>
        <v>0</v>
      </c>
      <c r="V226" s="4">
        <f t="shared" si="147"/>
        <v>0</v>
      </c>
      <c r="W226" s="4">
        <f t="shared" si="148"/>
        <v>0</v>
      </c>
      <c r="X226" s="4">
        <f t="shared" si="149"/>
        <v>0</v>
      </c>
      <c r="Y226" s="4">
        <f t="shared" ca="1" si="150"/>
        <v>0</v>
      </c>
      <c r="Z226" s="4">
        <f t="shared" si="151"/>
        <v>0</v>
      </c>
      <c r="AA226" s="4">
        <f t="shared" si="152"/>
        <v>0</v>
      </c>
      <c r="AB226" s="4">
        <f t="shared" si="153"/>
        <v>0</v>
      </c>
      <c r="AC226" s="4">
        <f t="shared" si="154"/>
        <v>0</v>
      </c>
      <c r="AD226" s="4">
        <f t="shared" si="155"/>
        <v>0</v>
      </c>
      <c r="AE226" s="4">
        <f t="shared" si="156"/>
        <v>0</v>
      </c>
      <c r="AF226" s="4">
        <f t="shared" si="157"/>
        <v>0</v>
      </c>
      <c r="AG226" s="4">
        <f t="shared" si="158"/>
        <v>0</v>
      </c>
      <c r="AH226" s="4">
        <f t="shared" si="159"/>
        <v>0</v>
      </c>
      <c r="AI226" s="4">
        <f t="shared" ca="1" si="160"/>
        <v>0</v>
      </c>
      <c r="AJ226" s="4">
        <f t="shared" si="161"/>
        <v>0</v>
      </c>
      <c r="AK226" s="4">
        <f t="shared" si="162"/>
        <v>0</v>
      </c>
      <c r="AL226" s="4">
        <f t="shared" si="163"/>
        <v>0</v>
      </c>
      <c r="AM226" s="4">
        <f t="shared" si="164"/>
        <v>0</v>
      </c>
      <c r="AN226" s="4">
        <f t="shared" si="165"/>
        <v>0</v>
      </c>
      <c r="AQ226" s="1">
        <v>17</v>
      </c>
      <c r="AR226" s="2">
        <f>IF(OR(AR$208&gt;=$AQ226,AR$207=0),0,IF(SUM(AR$209:AR225)&lt;1,10%,0))</f>
        <v>0</v>
      </c>
      <c r="AS226" s="2">
        <f>IF(OR(AS$208&gt;=$AQ226,AS$207=0),0,IF(SUM(AS$209:AS225)&lt;1,10%,0))</f>
        <v>0</v>
      </c>
      <c r="AT226" s="2">
        <f>IF(OR(AT$208&gt;=$AQ226,AT$207=0),0,IF(SUM(AT$209:AT225)&lt;1,10%,0))</f>
        <v>0</v>
      </c>
      <c r="AU226" s="2">
        <f>IF(OR(AU$208&gt;=$AQ226,AU$207=0),0,IF(SUM(AU$209:AU225)&lt;1,10%,0))</f>
        <v>0</v>
      </c>
      <c r="AV226" s="2">
        <f>IF(OR(AV$208&gt;=$AQ226,AV$207=0),0,IF(SUM(AV$209:AV225)&lt;1,10%,0))</f>
        <v>0</v>
      </c>
      <c r="AW226" s="2">
        <f>IF(OR(AW$208&gt;=$AQ226,AW$207=0),0,IF(SUM(AW$209:AW225)&lt;1,10%,0))</f>
        <v>0</v>
      </c>
      <c r="AX226" s="2">
        <f>IF(OR(AX$208&gt;=$AQ226,AX$207=0),0,IF(SUM(AX$209:AX225)&lt;1,10%,0))</f>
        <v>0</v>
      </c>
      <c r="AY226" s="2">
        <f>IF(OR(AY$208&gt;=$AQ226,AY$207=0),0,IF(SUM(AY$209:AY225)&lt;1,10%,0))</f>
        <v>0</v>
      </c>
      <c r="AZ226" s="2">
        <f>IF(OR(AZ$208&gt;=$AQ226,AZ$207=0),0,IF(SUM(AZ$209:AZ225)&lt;1,10%,0))</f>
        <v>0</v>
      </c>
      <c r="BA226" s="2">
        <f ca="1">IF(OR(BA$208&gt;=$AQ226,BA$207=0),0,IF(SUM(BA$209:BA225)&lt;1,10%,0))</f>
        <v>0</v>
      </c>
      <c r="BB226" s="2">
        <f>IF(OR(BB$208&gt;=$AQ226,BB$207=0),0,IF(SUM(BB$209:BB225)&lt;1,10%,0))</f>
        <v>0</v>
      </c>
      <c r="BC226" s="2">
        <f>IF(OR(BC$208&gt;=$AQ226,BC$207=0),0,IF(SUM(BC$209:BC225)&lt;1,10%,0))</f>
        <v>0</v>
      </c>
      <c r="BD226" s="2">
        <f>IF(OR(BD$208&gt;=$AQ226,BD$207=0),0,IF(SUM(BD$209:BD225)&lt;1,10%,0))</f>
        <v>0</v>
      </c>
      <c r="BE226" s="2">
        <f>IF(OR(BE$208&gt;=$AQ226,BE$207=0),0,IF(SUM(BE$209:BE225)&lt;1,10%,0))</f>
        <v>0</v>
      </c>
      <c r="BF226" s="2">
        <f>IF(OR(BF$208&gt;=$AQ226,BF$207=0),0,IF(SUM(BF$209:BF225)&lt;1,10%,0))</f>
        <v>0</v>
      </c>
      <c r="BG226" s="2">
        <f>IF(OR(BG$208&gt;=$AQ226,BG$207=0),0,IF(SUM(BG$209:BG225)&lt;1,10%,0))</f>
        <v>0</v>
      </c>
      <c r="BH226" s="2">
        <f>IF(OR(BH$208&gt;=$AQ226,BH$207=0),0,IF(SUM(BH$209:BH225)&lt;1,10%,0))</f>
        <v>0</v>
      </c>
      <c r="BI226" s="2">
        <f>IF(OR(BI$208&gt;=$AQ226,BI$207=0),0,IF(SUM(BI$209:BI225)&lt;1,10%,0))</f>
        <v>0</v>
      </c>
      <c r="BJ226" s="2">
        <f>IF(OR(BJ$208&gt;=$AQ226,BJ$207=0),0,IF(SUM(BJ$209:BJ225)&lt;1,10%,0))</f>
        <v>0</v>
      </c>
      <c r="BK226" s="2">
        <f ca="1">IF(OR(BK$208&gt;=$AQ226,BK$207=0),0,IF(SUM(BK$209:BK225)&lt;1,10%,0))</f>
        <v>0</v>
      </c>
      <c r="BL226" s="2">
        <f>IF(OR(BL$208&gt;=$AQ226,BL$207=0),0,IF(SUM(BL$209:BL225)&lt;1,10%,0))</f>
        <v>0</v>
      </c>
      <c r="BM226" s="2">
        <f>IF(OR(BM$208&gt;=$AQ226,BM$207=0),0,IF(SUM(BM$209:BM225)&lt;1,10%,0))</f>
        <v>0</v>
      </c>
      <c r="BN226" s="2">
        <f>IF(OR(BN$208&gt;=$AQ226,BN$207=0),0,IF(SUM(BN$209:BN225)&lt;1,10%,0))</f>
        <v>0</v>
      </c>
      <c r="BO226" s="2">
        <f>IF(OR(BO$208&gt;=$AQ226,BO$207=0),0,IF(SUM(BO$209:BO225)&lt;1,10%,0))</f>
        <v>0</v>
      </c>
      <c r="BP226" s="2">
        <f>IF(OR(BP$208&gt;=$AQ226,BP$207=0),0,IF(SUM(BP$209:BP225)&lt;1,10%,0))</f>
        <v>0</v>
      </c>
      <c r="BQ226" s="2">
        <f>IF(OR(BQ$208&gt;=$AQ226,BQ$207=0),0,IF(SUM(BQ$209:BQ225)&lt;1,10%,0))</f>
        <v>0</v>
      </c>
      <c r="BR226" s="2">
        <f>IF(OR(BR$208&gt;=$AQ226,BR$207=0),0,IF(SUM(BR$209:BR225)&lt;1,10%,0))</f>
        <v>0</v>
      </c>
      <c r="BS226" s="2">
        <f>IF(OR(BS$208&gt;=$AQ226,BS$207=0),0,IF(SUM(BS$209:BS225)&lt;1,10%,0))</f>
        <v>0</v>
      </c>
      <c r="BT226" s="2">
        <f>IF(OR(BT$208&gt;=$AQ226,BT$207=0),0,IF(SUM(BT$209:BT225)&lt;1,10%,0))</f>
        <v>0</v>
      </c>
      <c r="BU226" s="2">
        <f ca="1">IF(OR(BU$208&gt;=$AQ226,BU$207=0),0,IF(SUM(BU$209:BU225)&lt;1,10%,0))</f>
        <v>0</v>
      </c>
      <c r="BV226" s="2">
        <f>IF(OR(BV$208&gt;=$AQ226,BV$207=0),0,IF(SUM(BV$209:BV225)&lt;1,10%,0))</f>
        <v>0</v>
      </c>
      <c r="BW226" s="2">
        <f>IF(OR(BW$208&gt;=$AQ226,BW$207=0),0,IF(SUM(BW$209:BW225)&lt;1,10%,0))</f>
        <v>0</v>
      </c>
      <c r="BX226" s="2">
        <f>IF(OR(BX$208&gt;=$AQ226,BX$207=0),0,IF(SUM(BX$209:BX225)&lt;1,10%,0))</f>
        <v>0</v>
      </c>
      <c r="BY226" s="2">
        <f>IF(OR(BY$208&gt;=$AQ226,BY$207=0),0,IF(SUM(BY$209:BY225)&lt;1,10%,0))</f>
        <v>0</v>
      </c>
      <c r="BZ226" s="2">
        <f>IF(OR(BZ$208&gt;=$AQ226,BZ$207=0),0,IF(SUM(BZ$209:BZ225)&lt;1,10%,0))</f>
        <v>0</v>
      </c>
    </row>
    <row r="227" spans="3:78" outlineLevel="1">
      <c r="C227" t="s">
        <v>556</v>
      </c>
      <c r="E227" s="133">
        <f t="shared" ca="1" si="130"/>
        <v>0</v>
      </c>
      <c r="F227" s="4">
        <f t="shared" si="131"/>
        <v>0</v>
      </c>
      <c r="G227" s="4">
        <f t="shared" si="132"/>
        <v>0</v>
      </c>
      <c r="H227" s="4">
        <f t="shared" si="133"/>
        <v>0</v>
      </c>
      <c r="I227" s="4">
        <f t="shared" si="134"/>
        <v>0</v>
      </c>
      <c r="J227" s="4">
        <f t="shared" si="135"/>
        <v>0</v>
      </c>
      <c r="K227" s="4">
        <f t="shared" si="136"/>
        <v>0</v>
      </c>
      <c r="L227" s="4">
        <f t="shared" si="137"/>
        <v>0</v>
      </c>
      <c r="M227" s="4">
        <f t="shared" si="138"/>
        <v>0</v>
      </c>
      <c r="N227" s="4">
        <f t="shared" si="139"/>
        <v>0</v>
      </c>
      <c r="O227" s="4">
        <f t="shared" ca="1" si="140"/>
        <v>0</v>
      </c>
      <c r="P227" s="4">
        <f t="shared" si="141"/>
        <v>0</v>
      </c>
      <c r="Q227" s="4">
        <f t="shared" si="142"/>
        <v>0</v>
      </c>
      <c r="R227" s="4">
        <f t="shared" si="143"/>
        <v>0</v>
      </c>
      <c r="S227" s="4">
        <f t="shared" si="144"/>
        <v>0</v>
      </c>
      <c r="T227" s="4">
        <f t="shared" si="145"/>
        <v>0</v>
      </c>
      <c r="U227" s="4">
        <f t="shared" si="146"/>
        <v>0</v>
      </c>
      <c r="V227" s="4">
        <f t="shared" si="147"/>
        <v>0</v>
      </c>
      <c r="W227" s="4">
        <f t="shared" si="148"/>
        <v>0</v>
      </c>
      <c r="X227" s="4">
        <f t="shared" si="149"/>
        <v>0</v>
      </c>
      <c r="Y227" s="4">
        <f t="shared" ca="1" si="150"/>
        <v>0</v>
      </c>
      <c r="Z227" s="4">
        <f t="shared" si="151"/>
        <v>0</v>
      </c>
      <c r="AA227" s="4">
        <f t="shared" si="152"/>
        <v>0</v>
      </c>
      <c r="AB227" s="4">
        <f t="shared" si="153"/>
        <v>0</v>
      </c>
      <c r="AC227" s="4">
        <f t="shared" si="154"/>
        <v>0</v>
      </c>
      <c r="AD227" s="4">
        <f t="shared" si="155"/>
        <v>0</v>
      </c>
      <c r="AE227" s="4">
        <f t="shared" si="156"/>
        <v>0</v>
      </c>
      <c r="AF227" s="4">
        <f t="shared" si="157"/>
        <v>0</v>
      </c>
      <c r="AG227" s="4">
        <f t="shared" si="158"/>
        <v>0</v>
      </c>
      <c r="AH227" s="4">
        <f t="shared" si="159"/>
        <v>0</v>
      </c>
      <c r="AI227" s="4">
        <f t="shared" ca="1" si="160"/>
        <v>0</v>
      </c>
      <c r="AJ227" s="4">
        <f t="shared" si="161"/>
        <v>0</v>
      </c>
      <c r="AK227" s="4">
        <f t="shared" si="162"/>
        <v>0</v>
      </c>
      <c r="AL227" s="4">
        <f t="shared" si="163"/>
        <v>0</v>
      </c>
      <c r="AM227" s="4">
        <f t="shared" si="164"/>
        <v>0</v>
      </c>
      <c r="AN227" s="4">
        <f t="shared" si="165"/>
        <v>0</v>
      </c>
      <c r="AQ227" s="1">
        <v>18</v>
      </c>
      <c r="AR227" s="2">
        <f>IF(OR(AR$208&gt;=$AQ227,AR$207=0),0,IF(SUM(AR$209:AR226)&lt;1,10%,0))</f>
        <v>0</v>
      </c>
      <c r="AS227" s="2">
        <f>IF(OR(AS$208&gt;=$AQ227,AS$207=0),0,IF(SUM(AS$209:AS226)&lt;1,10%,0))</f>
        <v>0</v>
      </c>
      <c r="AT227" s="2">
        <f>IF(OR(AT$208&gt;=$AQ227,AT$207=0),0,IF(SUM(AT$209:AT226)&lt;1,10%,0))</f>
        <v>0</v>
      </c>
      <c r="AU227" s="2">
        <f>IF(OR(AU$208&gt;=$AQ227,AU$207=0),0,IF(SUM(AU$209:AU226)&lt;1,10%,0))</f>
        <v>0</v>
      </c>
      <c r="AV227" s="2">
        <f>IF(OR(AV$208&gt;=$AQ227,AV$207=0),0,IF(SUM(AV$209:AV226)&lt;1,10%,0))</f>
        <v>0</v>
      </c>
      <c r="AW227" s="2">
        <f>IF(OR(AW$208&gt;=$AQ227,AW$207=0),0,IF(SUM(AW$209:AW226)&lt;1,10%,0))</f>
        <v>0</v>
      </c>
      <c r="AX227" s="2">
        <f>IF(OR(AX$208&gt;=$AQ227,AX$207=0),0,IF(SUM(AX$209:AX226)&lt;1,10%,0))</f>
        <v>0</v>
      </c>
      <c r="AY227" s="2">
        <f>IF(OR(AY$208&gt;=$AQ227,AY$207=0),0,IF(SUM(AY$209:AY226)&lt;1,10%,0))</f>
        <v>0</v>
      </c>
      <c r="AZ227" s="2">
        <f>IF(OR(AZ$208&gt;=$AQ227,AZ$207=0),0,IF(SUM(AZ$209:AZ226)&lt;1,10%,0))</f>
        <v>0</v>
      </c>
      <c r="BA227" s="2">
        <f ca="1">IF(OR(BA$208&gt;=$AQ227,BA$207=0),0,IF(SUM(BA$209:BA226)&lt;1,10%,0))</f>
        <v>0</v>
      </c>
      <c r="BB227" s="2">
        <f>IF(OR(BB$208&gt;=$AQ227,BB$207=0),0,IF(SUM(BB$209:BB226)&lt;1,10%,0))</f>
        <v>0</v>
      </c>
      <c r="BC227" s="2">
        <f>IF(OR(BC$208&gt;=$AQ227,BC$207=0),0,IF(SUM(BC$209:BC226)&lt;1,10%,0))</f>
        <v>0</v>
      </c>
      <c r="BD227" s="2">
        <f>IF(OR(BD$208&gt;=$AQ227,BD$207=0),0,IF(SUM(BD$209:BD226)&lt;1,10%,0))</f>
        <v>0</v>
      </c>
      <c r="BE227" s="2">
        <f>IF(OR(BE$208&gt;=$AQ227,BE$207=0),0,IF(SUM(BE$209:BE226)&lt;1,10%,0))</f>
        <v>0</v>
      </c>
      <c r="BF227" s="2">
        <f>IF(OR(BF$208&gt;=$AQ227,BF$207=0),0,IF(SUM(BF$209:BF226)&lt;1,10%,0))</f>
        <v>0</v>
      </c>
      <c r="BG227" s="2">
        <f>IF(OR(BG$208&gt;=$AQ227,BG$207=0),0,IF(SUM(BG$209:BG226)&lt;1,10%,0))</f>
        <v>0</v>
      </c>
      <c r="BH227" s="2">
        <f>IF(OR(BH$208&gt;=$AQ227,BH$207=0),0,IF(SUM(BH$209:BH226)&lt;1,10%,0))</f>
        <v>0</v>
      </c>
      <c r="BI227" s="2">
        <f>IF(OR(BI$208&gt;=$AQ227,BI$207=0),0,IF(SUM(BI$209:BI226)&lt;1,10%,0))</f>
        <v>0</v>
      </c>
      <c r="BJ227" s="2">
        <f>IF(OR(BJ$208&gt;=$AQ227,BJ$207=0),0,IF(SUM(BJ$209:BJ226)&lt;1,10%,0))</f>
        <v>0</v>
      </c>
      <c r="BK227" s="2">
        <f ca="1">IF(OR(BK$208&gt;=$AQ227,BK$207=0),0,IF(SUM(BK$209:BK226)&lt;1,10%,0))</f>
        <v>0</v>
      </c>
      <c r="BL227" s="2">
        <f>IF(OR(BL$208&gt;=$AQ227,BL$207=0),0,IF(SUM(BL$209:BL226)&lt;1,10%,0))</f>
        <v>0</v>
      </c>
      <c r="BM227" s="2">
        <f>IF(OR(BM$208&gt;=$AQ227,BM$207=0),0,IF(SUM(BM$209:BM226)&lt;1,10%,0))</f>
        <v>0</v>
      </c>
      <c r="BN227" s="2">
        <f>IF(OR(BN$208&gt;=$AQ227,BN$207=0),0,IF(SUM(BN$209:BN226)&lt;1,10%,0))</f>
        <v>0</v>
      </c>
      <c r="BO227" s="2">
        <f>IF(OR(BO$208&gt;=$AQ227,BO$207=0),0,IF(SUM(BO$209:BO226)&lt;1,10%,0))</f>
        <v>0</v>
      </c>
      <c r="BP227" s="2">
        <f>IF(OR(BP$208&gt;=$AQ227,BP$207=0),0,IF(SUM(BP$209:BP226)&lt;1,10%,0))</f>
        <v>0</v>
      </c>
      <c r="BQ227" s="2">
        <f>IF(OR(BQ$208&gt;=$AQ227,BQ$207=0),0,IF(SUM(BQ$209:BQ226)&lt;1,10%,0))</f>
        <v>0</v>
      </c>
      <c r="BR227" s="2">
        <f>IF(OR(BR$208&gt;=$AQ227,BR$207=0),0,IF(SUM(BR$209:BR226)&lt;1,10%,0))</f>
        <v>0</v>
      </c>
      <c r="BS227" s="2">
        <f>IF(OR(BS$208&gt;=$AQ227,BS$207=0),0,IF(SUM(BS$209:BS226)&lt;1,10%,0))</f>
        <v>0</v>
      </c>
      <c r="BT227" s="2">
        <f>IF(OR(BT$208&gt;=$AQ227,BT$207=0),0,IF(SUM(BT$209:BT226)&lt;1,10%,0))</f>
        <v>0</v>
      </c>
      <c r="BU227" s="2">
        <f ca="1">IF(OR(BU$208&gt;=$AQ227,BU$207=0),0,IF(SUM(BU$209:BU226)&lt;1,10%,0))</f>
        <v>0</v>
      </c>
      <c r="BV227" s="2">
        <f>IF(OR(BV$208&gt;=$AQ227,BV$207=0),0,IF(SUM(BV$209:BV226)&lt;1,10%,0))</f>
        <v>0</v>
      </c>
      <c r="BW227" s="2">
        <f>IF(OR(BW$208&gt;=$AQ227,BW$207=0),0,IF(SUM(BW$209:BW226)&lt;1,10%,0))</f>
        <v>0</v>
      </c>
      <c r="BX227" s="2">
        <f>IF(OR(BX$208&gt;=$AQ227,BX$207=0),0,IF(SUM(BX$209:BX226)&lt;1,10%,0))</f>
        <v>0</v>
      </c>
      <c r="BY227" s="2">
        <f>IF(OR(BY$208&gt;=$AQ227,BY$207=0),0,IF(SUM(BY$209:BY226)&lt;1,10%,0))</f>
        <v>0</v>
      </c>
      <c r="BZ227" s="2">
        <f>IF(OR(BZ$208&gt;=$AQ227,BZ$207=0),0,IF(SUM(BZ$209:BZ226)&lt;1,10%,0))</f>
        <v>0</v>
      </c>
    </row>
    <row r="228" spans="3:78" outlineLevel="1">
      <c r="C228" t="s">
        <v>557</v>
      </c>
      <c r="E228" s="133">
        <f t="shared" ca="1" si="130"/>
        <v>0</v>
      </c>
      <c r="F228" s="4">
        <f t="shared" si="131"/>
        <v>0</v>
      </c>
      <c r="G228" s="4">
        <f t="shared" si="132"/>
        <v>0</v>
      </c>
      <c r="H228" s="4">
        <f t="shared" si="133"/>
        <v>0</v>
      </c>
      <c r="I228" s="4">
        <f t="shared" si="134"/>
        <v>0</v>
      </c>
      <c r="J228" s="4">
        <f t="shared" si="135"/>
        <v>0</v>
      </c>
      <c r="K228" s="4">
        <f t="shared" si="136"/>
        <v>0</v>
      </c>
      <c r="L228" s="4">
        <f t="shared" si="137"/>
        <v>0</v>
      </c>
      <c r="M228" s="4">
        <f t="shared" si="138"/>
        <v>0</v>
      </c>
      <c r="N228" s="4">
        <f t="shared" si="139"/>
        <v>0</v>
      </c>
      <c r="O228" s="4">
        <f t="shared" ca="1" si="140"/>
        <v>0</v>
      </c>
      <c r="P228" s="4">
        <f t="shared" si="141"/>
        <v>0</v>
      </c>
      <c r="Q228" s="4">
        <f t="shared" si="142"/>
        <v>0</v>
      </c>
      <c r="R228" s="4">
        <f t="shared" si="143"/>
        <v>0</v>
      </c>
      <c r="S228" s="4">
        <f t="shared" si="144"/>
        <v>0</v>
      </c>
      <c r="T228" s="4">
        <f t="shared" si="145"/>
        <v>0</v>
      </c>
      <c r="U228" s="4">
        <f t="shared" si="146"/>
        <v>0</v>
      </c>
      <c r="V228" s="4">
        <f t="shared" si="147"/>
        <v>0</v>
      </c>
      <c r="W228" s="4">
        <f t="shared" si="148"/>
        <v>0</v>
      </c>
      <c r="X228" s="4">
        <f t="shared" si="149"/>
        <v>0</v>
      </c>
      <c r="Y228" s="4">
        <f t="shared" ca="1" si="150"/>
        <v>0</v>
      </c>
      <c r="Z228" s="4">
        <f t="shared" si="151"/>
        <v>0</v>
      </c>
      <c r="AA228" s="4">
        <f t="shared" si="152"/>
        <v>0</v>
      </c>
      <c r="AB228" s="4">
        <f t="shared" si="153"/>
        <v>0</v>
      </c>
      <c r="AC228" s="4">
        <f t="shared" si="154"/>
        <v>0</v>
      </c>
      <c r="AD228" s="4">
        <f t="shared" si="155"/>
        <v>0</v>
      </c>
      <c r="AE228" s="4">
        <f t="shared" si="156"/>
        <v>0</v>
      </c>
      <c r="AF228" s="4">
        <f t="shared" si="157"/>
        <v>0</v>
      </c>
      <c r="AG228" s="4">
        <f t="shared" si="158"/>
        <v>0</v>
      </c>
      <c r="AH228" s="4">
        <f t="shared" si="159"/>
        <v>0</v>
      </c>
      <c r="AI228" s="4">
        <f t="shared" ca="1" si="160"/>
        <v>0</v>
      </c>
      <c r="AJ228" s="4">
        <f t="shared" si="161"/>
        <v>0</v>
      </c>
      <c r="AK228" s="4">
        <f t="shared" si="162"/>
        <v>0</v>
      </c>
      <c r="AL228" s="4">
        <f t="shared" si="163"/>
        <v>0</v>
      </c>
      <c r="AM228" s="4">
        <f t="shared" si="164"/>
        <v>0</v>
      </c>
      <c r="AN228" s="4">
        <f t="shared" si="165"/>
        <v>0</v>
      </c>
      <c r="AQ228" s="1">
        <v>19</v>
      </c>
      <c r="AR228" s="2">
        <f>IF(OR(AR$208&gt;=$AQ228,AR$207=0),0,IF(SUM(AR$209:AR227)&lt;1,10%,0))</f>
        <v>0</v>
      </c>
      <c r="AS228" s="2">
        <f>IF(OR(AS$208&gt;=$AQ228,AS$207=0),0,IF(SUM(AS$209:AS227)&lt;1,10%,0))</f>
        <v>0</v>
      </c>
      <c r="AT228" s="2">
        <f>IF(OR(AT$208&gt;=$AQ228,AT$207=0),0,IF(SUM(AT$209:AT227)&lt;1,10%,0))</f>
        <v>0</v>
      </c>
      <c r="AU228" s="2">
        <f>IF(OR(AU$208&gt;=$AQ228,AU$207=0),0,IF(SUM(AU$209:AU227)&lt;1,10%,0))</f>
        <v>0</v>
      </c>
      <c r="AV228" s="2">
        <f>IF(OR(AV$208&gt;=$AQ228,AV$207=0),0,IF(SUM(AV$209:AV227)&lt;1,10%,0))</f>
        <v>0</v>
      </c>
      <c r="AW228" s="2">
        <f>IF(OR(AW$208&gt;=$AQ228,AW$207=0),0,IF(SUM(AW$209:AW227)&lt;1,10%,0))</f>
        <v>0</v>
      </c>
      <c r="AX228" s="2">
        <f>IF(OR(AX$208&gt;=$AQ228,AX$207=0),0,IF(SUM(AX$209:AX227)&lt;1,10%,0))</f>
        <v>0</v>
      </c>
      <c r="AY228" s="2">
        <f>IF(OR(AY$208&gt;=$AQ228,AY$207=0),0,IF(SUM(AY$209:AY227)&lt;1,10%,0))</f>
        <v>0</v>
      </c>
      <c r="AZ228" s="2">
        <f>IF(OR(AZ$208&gt;=$AQ228,AZ$207=0),0,IF(SUM(AZ$209:AZ227)&lt;1,10%,0))</f>
        <v>0</v>
      </c>
      <c r="BA228" s="2">
        <f ca="1">IF(OR(BA$208&gt;=$AQ228,BA$207=0),0,IF(SUM(BA$209:BA227)&lt;1,10%,0))</f>
        <v>0</v>
      </c>
      <c r="BB228" s="2">
        <f>IF(OR(BB$208&gt;=$AQ228,BB$207=0),0,IF(SUM(BB$209:BB227)&lt;1,10%,0))</f>
        <v>0</v>
      </c>
      <c r="BC228" s="2">
        <f>IF(OR(BC$208&gt;=$AQ228,BC$207=0),0,IF(SUM(BC$209:BC227)&lt;1,10%,0))</f>
        <v>0</v>
      </c>
      <c r="BD228" s="2">
        <f>IF(OR(BD$208&gt;=$AQ228,BD$207=0),0,IF(SUM(BD$209:BD227)&lt;1,10%,0))</f>
        <v>0</v>
      </c>
      <c r="BE228" s="2">
        <f>IF(OR(BE$208&gt;=$AQ228,BE$207=0),0,IF(SUM(BE$209:BE227)&lt;1,10%,0))</f>
        <v>0</v>
      </c>
      <c r="BF228" s="2">
        <f>IF(OR(BF$208&gt;=$AQ228,BF$207=0),0,IF(SUM(BF$209:BF227)&lt;1,10%,0))</f>
        <v>0</v>
      </c>
      <c r="BG228" s="2">
        <f>IF(OR(BG$208&gt;=$AQ228,BG$207=0),0,IF(SUM(BG$209:BG227)&lt;1,10%,0))</f>
        <v>0</v>
      </c>
      <c r="BH228" s="2">
        <f>IF(OR(BH$208&gt;=$AQ228,BH$207=0),0,IF(SUM(BH$209:BH227)&lt;1,10%,0))</f>
        <v>0</v>
      </c>
      <c r="BI228" s="2">
        <f>IF(OR(BI$208&gt;=$AQ228,BI$207=0),0,IF(SUM(BI$209:BI227)&lt;1,10%,0))</f>
        <v>0</v>
      </c>
      <c r="BJ228" s="2">
        <f>IF(OR(BJ$208&gt;=$AQ228,BJ$207=0),0,IF(SUM(BJ$209:BJ227)&lt;1,10%,0))</f>
        <v>0</v>
      </c>
      <c r="BK228" s="2">
        <f ca="1">IF(OR(BK$208&gt;=$AQ228,BK$207=0),0,IF(SUM(BK$209:BK227)&lt;1,10%,0))</f>
        <v>0</v>
      </c>
      <c r="BL228" s="2">
        <f>IF(OR(BL$208&gt;=$AQ228,BL$207=0),0,IF(SUM(BL$209:BL227)&lt;1,10%,0))</f>
        <v>0</v>
      </c>
      <c r="BM228" s="2">
        <f>IF(OR(BM$208&gt;=$AQ228,BM$207=0),0,IF(SUM(BM$209:BM227)&lt;1,10%,0))</f>
        <v>0</v>
      </c>
      <c r="BN228" s="2">
        <f>IF(OR(BN$208&gt;=$AQ228,BN$207=0),0,IF(SUM(BN$209:BN227)&lt;1,10%,0))</f>
        <v>0</v>
      </c>
      <c r="BO228" s="2">
        <f>IF(OR(BO$208&gt;=$AQ228,BO$207=0),0,IF(SUM(BO$209:BO227)&lt;1,10%,0))</f>
        <v>0</v>
      </c>
      <c r="BP228" s="2">
        <f>IF(OR(BP$208&gt;=$AQ228,BP$207=0),0,IF(SUM(BP$209:BP227)&lt;1,10%,0))</f>
        <v>0</v>
      </c>
      <c r="BQ228" s="2">
        <f>IF(OR(BQ$208&gt;=$AQ228,BQ$207=0),0,IF(SUM(BQ$209:BQ227)&lt;1,10%,0))</f>
        <v>0</v>
      </c>
      <c r="BR228" s="2">
        <f>IF(OR(BR$208&gt;=$AQ228,BR$207=0),0,IF(SUM(BR$209:BR227)&lt;1,10%,0))</f>
        <v>0</v>
      </c>
      <c r="BS228" s="2">
        <f>IF(OR(BS$208&gt;=$AQ228,BS$207=0),0,IF(SUM(BS$209:BS227)&lt;1,10%,0))</f>
        <v>0</v>
      </c>
      <c r="BT228" s="2">
        <f>IF(OR(BT$208&gt;=$AQ228,BT$207=0),0,IF(SUM(BT$209:BT227)&lt;1,10%,0))</f>
        <v>0</v>
      </c>
      <c r="BU228" s="2">
        <f ca="1">IF(OR(BU$208&gt;=$AQ228,BU$207=0),0,IF(SUM(BU$209:BU227)&lt;1,10%,0))</f>
        <v>0</v>
      </c>
      <c r="BV228" s="2">
        <f>IF(OR(BV$208&gt;=$AQ228,BV$207=0),0,IF(SUM(BV$209:BV227)&lt;1,10%,0))</f>
        <v>0</v>
      </c>
      <c r="BW228" s="2">
        <f>IF(OR(BW$208&gt;=$AQ228,BW$207=0),0,IF(SUM(BW$209:BW227)&lt;1,10%,0))</f>
        <v>0</v>
      </c>
      <c r="BX228" s="2">
        <f>IF(OR(BX$208&gt;=$AQ228,BX$207=0),0,IF(SUM(BX$209:BX227)&lt;1,10%,0))</f>
        <v>0</v>
      </c>
      <c r="BY228" s="2">
        <f>IF(OR(BY$208&gt;=$AQ228,BY$207=0),0,IF(SUM(BY$209:BY227)&lt;1,10%,0))</f>
        <v>0</v>
      </c>
      <c r="BZ228" s="2">
        <f>IF(OR(BZ$208&gt;=$AQ228,BZ$207=0),0,IF(SUM(BZ$209:BZ227)&lt;1,10%,0))</f>
        <v>0</v>
      </c>
    </row>
    <row r="229" spans="3:78" outlineLevel="1">
      <c r="C229" t="s">
        <v>558</v>
      </c>
      <c r="E229" s="133">
        <f t="shared" ca="1" si="130"/>
        <v>0</v>
      </c>
      <c r="F229" s="4">
        <f t="shared" si="131"/>
        <v>0</v>
      </c>
      <c r="G229" s="4">
        <f t="shared" si="132"/>
        <v>0</v>
      </c>
      <c r="H229" s="4">
        <f t="shared" si="133"/>
        <v>0</v>
      </c>
      <c r="I229" s="4">
        <f t="shared" si="134"/>
        <v>0</v>
      </c>
      <c r="J229" s="4">
        <f t="shared" si="135"/>
        <v>0</v>
      </c>
      <c r="K229" s="4">
        <f t="shared" si="136"/>
        <v>0</v>
      </c>
      <c r="L229" s="4">
        <f t="shared" si="137"/>
        <v>0</v>
      </c>
      <c r="M229" s="4">
        <f t="shared" si="138"/>
        <v>0</v>
      </c>
      <c r="N229" s="4">
        <f t="shared" si="139"/>
        <v>0</v>
      </c>
      <c r="O229" s="4">
        <f t="shared" ca="1" si="140"/>
        <v>0</v>
      </c>
      <c r="P229" s="4">
        <f t="shared" si="141"/>
        <v>0</v>
      </c>
      <c r="Q229" s="4">
        <f t="shared" si="142"/>
        <v>0</v>
      </c>
      <c r="R229" s="4">
        <f t="shared" si="143"/>
        <v>0</v>
      </c>
      <c r="S229" s="4">
        <f t="shared" si="144"/>
        <v>0</v>
      </c>
      <c r="T229" s="4">
        <f t="shared" si="145"/>
        <v>0</v>
      </c>
      <c r="U229" s="4">
        <f t="shared" si="146"/>
        <v>0</v>
      </c>
      <c r="V229" s="4">
        <f t="shared" si="147"/>
        <v>0</v>
      </c>
      <c r="W229" s="4">
        <f t="shared" si="148"/>
        <v>0</v>
      </c>
      <c r="X229" s="4">
        <f t="shared" si="149"/>
        <v>0</v>
      </c>
      <c r="Y229" s="4">
        <f t="shared" ca="1" si="150"/>
        <v>0</v>
      </c>
      <c r="Z229" s="4">
        <f t="shared" si="151"/>
        <v>0</v>
      </c>
      <c r="AA229" s="4">
        <f t="shared" si="152"/>
        <v>0</v>
      </c>
      <c r="AB229" s="4">
        <f t="shared" si="153"/>
        <v>0</v>
      </c>
      <c r="AC229" s="4">
        <f t="shared" si="154"/>
        <v>0</v>
      </c>
      <c r="AD229" s="4">
        <f t="shared" si="155"/>
        <v>0</v>
      </c>
      <c r="AE229" s="4">
        <f t="shared" si="156"/>
        <v>0</v>
      </c>
      <c r="AF229" s="4">
        <f t="shared" si="157"/>
        <v>0</v>
      </c>
      <c r="AG229" s="4">
        <f t="shared" si="158"/>
        <v>0</v>
      </c>
      <c r="AH229" s="4">
        <f t="shared" si="159"/>
        <v>0</v>
      </c>
      <c r="AI229" s="4">
        <f t="shared" ca="1" si="160"/>
        <v>0</v>
      </c>
      <c r="AJ229" s="4">
        <f t="shared" si="161"/>
        <v>0</v>
      </c>
      <c r="AK229" s="4">
        <f t="shared" si="162"/>
        <v>0</v>
      </c>
      <c r="AL229" s="4">
        <f t="shared" si="163"/>
        <v>0</v>
      </c>
      <c r="AM229" s="4">
        <f t="shared" si="164"/>
        <v>0</v>
      </c>
      <c r="AN229" s="4">
        <f t="shared" si="165"/>
        <v>0</v>
      </c>
      <c r="AQ229" s="1">
        <v>20</v>
      </c>
      <c r="AR229" s="2">
        <f>IF(OR(AR$208&gt;=$AQ229,AR$207=0),0,IF(SUM(AR$209:AR228)&lt;1,10%,0))</f>
        <v>0</v>
      </c>
      <c r="AS229" s="2">
        <f>IF(OR(AS$208&gt;=$AQ229,AS$207=0),0,IF(SUM(AS$209:AS228)&lt;1,10%,0))</f>
        <v>0</v>
      </c>
      <c r="AT229" s="2">
        <f>IF(OR(AT$208&gt;=$AQ229,AT$207=0),0,IF(SUM(AT$209:AT228)&lt;1,10%,0))</f>
        <v>0</v>
      </c>
      <c r="AU229" s="2">
        <f>IF(OR(AU$208&gt;=$AQ229,AU$207=0),0,IF(SUM(AU$209:AU228)&lt;1,10%,0))</f>
        <v>0</v>
      </c>
      <c r="AV229" s="2">
        <f>IF(OR(AV$208&gt;=$AQ229,AV$207=0),0,IF(SUM(AV$209:AV228)&lt;1,10%,0))</f>
        <v>0</v>
      </c>
      <c r="AW229" s="2">
        <f>IF(OR(AW$208&gt;=$AQ229,AW$207=0),0,IF(SUM(AW$209:AW228)&lt;1,10%,0))</f>
        <v>0</v>
      </c>
      <c r="AX229" s="2">
        <f>IF(OR(AX$208&gt;=$AQ229,AX$207=0),0,IF(SUM(AX$209:AX228)&lt;1,10%,0))</f>
        <v>0</v>
      </c>
      <c r="AY229" s="2">
        <f>IF(OR(AY$208&gt;=$AQ229,AY$207=0),0,IF(SUM(AY$209:AY228)&lt;1,10%,0))</f>
        <v>0</v>
      </c>
      <c r="AZ229" s="2">
        <f>IF(OR(AZ$208&gt;=$AQ229,AZ$207=0),0,IF(SUM(AZ$209:AZ228)&lt;1,10%,0))</f>
        <v>0</v>
      </c>
      <c r="BA229" s="2">
        <f ca="1">IF(OR(BA$208&gt;=$AQ229,BA$207=0),0,IF(SUM(BA$209:BA228)&lt;1,10%,0))</f>
        <v>0</v>
      </c>
      <c r="BB229" s="2">
        <f>IF(OR(BB$208&gt;=$AQ229,BB$207=0),0,IF(SUM(BB$209:BB228)&lt;1,10%,0))</f>
        <v>0</v>
      </c>
      <c r="BC229" s="2">
        <f>IF(OR(BC$208&gt;=$AQ229,BC$207=0),0,IF(SUM(BC$209:BC228)&lt;1,10%,0))</f>
        <v>0</v>
      </c>
      <c r="BD229" s="2">
        <f>IF(OR(BD$208&gt;=$AQ229,BD$207=0),0,IF(SUM(BD$209:BD228)&lt;1,10%,0))</f>
        <v>0</v>
      </c>
      <c r="BE229" s="2">
        <f>IF(OR(BE$208&gt;=$AQ229,BE$207=0),0,IF(SUM(BE$209:BE228)&lt;1,10%,0))</f>
        <v>0</v>
      </c>
      <c r="BF229" s="2">
        <f>IF(OR(BF$208&gt;=$AQ229,BF$207=0),0,IF(SUM(BF$209:BF228)&lt;1,10%,0))</f>
        <v>0</v>
      </c>
      <c r="BG229" s="2">
        <f>IF(OR(BG$208&gt;=$AQ229,BG$207=0),0,IF(SUM(BG$209:BG228)&lt;1,10%,0))</f>
        <v>0</v>
      </c>
      <c r="BH229" s="2">
        <f>IF(OR(BH$208&gt;=$AQ229,BH$207=0),0,IF(SUM(BH$209:BH228)&lt;1,10%,0))</f>
        <v>0</v>
      </c>
      <c r="BI229" s="2">
        <f>IF(OR(BI$208&gt;=$AQ229,BI$207=0),0,IF(SUM(BI$209:BI228)&lt;1,10%,0))</f>
        <v>0</v>
      </c>
      <c r="BJ229" s="2">
        <f>IF(OR(BJ$208&gt;=$AQ229,BJ$207=0),0,IF(SUM(BJ$209:BJ228)&lt;1,10%,0))</f>
        <v>0</v>
      </c>
      <c r="BK229" s="2">
        <f ca="1">IF(OR(BK$208&gt;=$AQ229,BK$207=0),0,IF(SUM(BK$209:BK228)&lt;1,10%,0))</f>
        <v>0</v>
      </c>
      <c r="BL229" s="2">
        <f>IF(OR(BL$208&gt;=$AQ229,BL$207=0),0,IF(SUM(BL$209:BL228)&lt;1,10%,0))</f>
        <v>0</v>
      </c>
      <c r="BM229" s="2">
        <f>IF(OR(BM$208&gt;=$AQ229,BM$207=0),0,IF(SUM(BM$209:BM228)&lt;1,10%,0))</f>
        <v>0</v>
      </c>
      <c r="BN229" s="2">
        <f>IF(OR(BN$208&gt;=$AQ229,BN$207=0),0,IF(SUM(BN$209:BN228)&lt;1,10%,0))</f>
        <v>0</v>
      </c>
      <c r="BO229" s="2">
        <f>IF(OR(BO$208&gt;=$AQ229,BO$207=0),0,IF(SUM(BO$209:BO228)&lt;1,10%,0))</f>
        <v>0</v>
      </c>
      <c r="BP229" s="2">
        <f>IF(OR(BP$208&gt;=$AQ229,BP$207=0),0,IF(SUM(BP$209:BP228)&lt;1,10%,0))</f>
        <v>0</v>
      </c>
      <c r="BQ229" s="2">
        <f>IF(OR(BQ$208&gt;=$AQ229,BQ$207=0),0,IF(SUM(BQ$209:BQ228)&lt;1,10%,0))</f>
        <v>0</v>
      </c>
      <c r="BR229" s="2">
        <f>IF(OR(BR$208&gt;=$AQ229,BR$207=0),0,IF(SUM(BR$209:BR228)&lt;1,10%,0))</f>
        <v>0</v>
      </c>
      <c r="BS229" s="2">
        <f>IF(OR(BS$208&gt;=$AQ229,BS$207=0),0,IF(SUM(BS$209:BS228)&lt;1,10%,0))</f>
        <v>0</v>
      </c>
      <c r="BT229" s="2">
        <f>IF(OR(BT$208&gt;=$AQ229,BT$207=0),0,IF(SUM(BT$209:BT228)&lt;1,10%,0))</f>
        <v>0</v>
      </c>
      <c r="BU229" s="2">
        <f ca="1">IF(OR(BU$208&gt;=$AQ229,BU$207=0),0,IF(SUM(BU$209:BU228)&lt;1,10%,0))</f>
        <v>0</v>
      </c>
      <c r="BV229" s="2">
        <f>IF(OR(BV$208&gt;=$AQ229,BV$207=0),0,IF(SUM(BV$209:BV228)&lt;1,10%,0))</f>
        <v>0</v>
      </c>
      <c r="BW229" s="2">
        <f>IF(OR(BW$208&gt;=$AQ229,BW$207=0),0,IF(SUM(BW$209:BW228)&lt;1,10%,0))</f>
        <v>0</v>
      </c>
      <c r="BX229" s="2">
        <f>IF(OR(BX$208&gt;=$AQ229,BX$207=0),0,IF(SUM(BX$209:BX228)&lt;1,10%,0))</f>
        <v>0</v>
      </c>
      <c r="BY229" s="2">
        <f>IF(OR(BY$208&gt;=$AQ229,BY$207=0),0,IF(SUM(BY$209:BY228)&lt;1,10%,0))</f>
        <v>0</v>
      </c>
      <c r="BZ229" s="2">
        <f>IF(OR(BZ$208&gt;=$AQ229,BZ$207=0),0,IF(SUM(BZ$209:BZ228)&lt;1,10%,0))</f>
        <v>0</v>
      </c>
    </row>
    <row r="230" spans="3:78" outlineLevel="1">
      <c r="C230" t="s">
        <v>559</v>
      </c>
      <c r="E230" s="133">
        <f t="shared" ca="1" si="130"/>
        <v>0</v>
      </c>
      <c r="F230" s="4">
        <f t="shared" si="131"/>
        <v>0</v>
      </c>
      <c r="G230" s="4">
        <f t="shared" si="132"/>
        <v>0</v>
      </c>
      <c r="H230" s="4">
        <f t="shared" si="133"/>
        <v>0</v>
      </c>
      <c r="I230" s="4">
        <f t="shared" si="134"/>
        <v>0</v>
      </c>
      <c r="J230" s="4">
        <f t="shared" si="135"/>
        <v>0</v>
      </c>
      <c r="K230" s="4">
        <f t="shared" si="136"/>
        <v>0</v>
      </c>
      <c r="L230" s="4">
        <f t="shared" si="137"/>
        <v>0</v>
      </c>
      <c r="M230" s="4">
        <f t="shared" si="138"/>
        <v>0</v>
      </c>
      <c r="N230" s="4">
        <f t="shared" si="139"/>
        <v>0</v>
      </c>
      <c r="O230" s="4">
        <f t="shared" ca="1" si="140"/>
        <v>0</v>
      </c>
      <c r="P230" s="4">
        <f t="shared" si="141"/>
        <v>0</v>
      </c>
      <c r="Q230" s="4">
        <f t="shared" si="142"/>
        <v>0</v>
      </c>
      <c r="R230" s="4">
        <f t="shared" si="143"/>
        <v>0</v>
      </c>
      <c r="S230" s="4">
        <f t="shared" si="144"/>
        <v>0</v>
      </c>
      <c r="T230" s="4">
        <f t="shared" si="145"/>
        <v>0</v>
      </c>
      <c r="U230" s="4">
        <f t="shared" si="146"/>
        <v>0</v>
      </c>
      <c r="V230" s="4">
        <f t="shared" si="147"/>
        <v>0</v>
      </c>
      <c r="W230" s="4">
        <f t="shared" si="148"/>
        <v>0</v>
      </c>
      <c r="X230" s="4">
        <f t="shared" si="149"/>
        <v>0</v>
      </c>
      <c r="Y230" s="4">
        <f t="shared" ca="1" si="150"/>
        <v>0</v>
      </c>
      <c r="Z230" s="4">
        <f t="shared" si="151"/>
        <v>0</v>
      </c>
      <c r="AA230" s="4">
        <f t="shared" si="152"/>
        <v>0</v>
      </c>
      <c r="AB230" s="4">
        <f t="shared" si="153"/>
        <v>0</v>
      </c>
      <c r="AC230" s="4">
        <f t="shared" si="154"/>
        <v>0</v>
      </c>
      <c r="AD230" s="4">
        <f t="shared" si="155"/>
        <v>0</v>
      </c>
      <c r="AE230" s="4">
        <f t="shared" si="156"/>
        <v>0</v>
      </c>
      <c r="AF230" s="4">
        <f t="shared" si="157"/>
        <v>0</v>
      </c>
      <c r="AG230" s="4">
        <f t="shared" si="158"/>
        <v>0</v>
      </c>
      <c r="AH230" s="4">
        <f t="shared" si="159"/>
        <v>0</v>
      </c>
      <c r="AI230" s="4">
        <f t="shared" ca="1" si="160"/>
        <v>0</v>
      </c>
      <c r="AJ230" s="4">
        <f t="shared" si="161"/>
        <v>0</v>
      </c>
      <c r="AK230" s="4">
        <f t="shared" si="162"/>
        <v>0</v>
      </c>
      <c r="AL230" s="4">
        <f t="shared" si="163"/>
        <v>0</v>
      </c>
      <c r="AM230" s="4">
        <f t="shared" si="164"/>
        <v>0</v>
      </c>
      <c r="AN230" s="4">
        <f t="shared" si="165"/>
        <v>0</v>
      </c>
      <c r="AQ230" s="1">
        <v>21</v>
      </c>
      <c r="AR230" s="2">
        <f>IF(OR(AR$208&gt;=$AQ230,AR$207=0),0,IF(SUM(AR$209:AR229)&lt;1,10%,0))</f>
        <v>0</v>
      </c>
      <c r="AS230" s="2">
        <f>IF(OR(AS$208&gt;=$AQ230,AS$207=0),0,IF(SUM(AS$209:AS229)&lt;1,10%,0))</f>
        <v>0</v>
      </c>
      <c r="AT230" s="2">
        <f>IF(OR(AT$208&gt;=$AQ230,AT$207=0),0,IF(SUM(AT$209:AT229)&lt;1,10%,0))</f>
        <v>0</v>
      </c>
      <c r="AU230" s="2">
        <f>IF(OR(AU$208&gt;=$AQ230,AU$207=0),0,IF(SUM(AU$209:AU229)&lt;1,10%,0))</f>
        <v>0</v>
      </c>
      <c r="AV230" s="2">
        <f>IF(OR(AV$208&gt;=$AQ230,AV$207=0),0,IF(SUM(AV$209:AV229)&lt;1,10%,0))</f>
        <v>0</v>
      </c>
      <c r="AW230" s="2">
        <f>IF(OR(AW$208&gt;=$AQ230,AW$207=0),0,IF(SUM(AW$209:AW229)&lt;1,10%,0))</f>
        <v>0</v>
      </c>
      <c r="AX230" s="2">
        <f>IF(OR(AX$208&gt;=$AQ230,AX$207=0),0,IF(SUM(AX$209:AX229)&lt;1,10%,0))</f>
        <v>0</v>
      </c>
      <c r="AY230" s="2">
        <f>IF(OR(AY$208&gt;=$AQ230,AY$207=0),0,IF(SUM(AY$209:AY229)&lt;1,10%,0))</f>
        <v>0</v>
      </c>
      <c r="AZ230" s="2">
        <f>IF(OR(AZ$208&gt;=$AQ230,AZ$207=0),0,IF(SUM(AZ$209:AZ229)&lt;1,10%,0))</f>
        <v>0</v>
      </c>
      <c r="BA230" s="2">
        <f ca="1">IF(OR(BA$208&gt;=$AQ230,BA$207=0),0,IF(SUM(BA$209:BA229)&lt;1,10%,0))</f>
        <v>0</v>
      </c>
      <c r="BB230" s="2">
        <f>IF(OR(BB$208&gt;=$AQ230,BB$207=0),0,IF(SUM(BB$209:BB229)&lt;1,10%,0))</f>
        <v>0</v>
      </c>
      <c r="BC230" s="2">
        <f>IF(OR(BC$208&gt;=$AQ230,BC$207=0),0,IF(SUM(BC$209:BC229)&lt;1,10%,0))</f>
        <v>0</v>
      </c>
      <c r="BD230" s="2">
        <f>IF(OR(BD$208&gt;=$AQ230,BD$207=0),0,IF(SUM(BD$209:BD229)&lt;1,10%,0))</f>
        <v>0</v>
      </c>
      <c r="BE230" s="2">
        <f>IF(OR(BE$208&gt;=$AQ230,BE$207=0),0,IF(SUM(BE$209:BE229)&lt;1,10%,0))</f>
        <v>0</v>
      </c>
      <c r="BF230" s="2">
        <f>IF(OR(BF$208&gt;=$AQ230,BF$207=0),0,IF(SUM(BF$209:BF229)&lt;1,10%,0))</f>
        <v>0</v>
      </c>
      <c r="BG230" s="2">
        <f>IF(OR(BG$208&gt;=$AQ230,BG$207=0),0,IF(SUM(BG$209:BG229)&lt;1,10%,0))</f>
        <v>0</v>
      </c>
      <c r="BH230" s="2">
        <f>IF(OR(BH$208&gt;=$AQ230,BH$207=0),0,IF(SUM(BH$209:BH229)&lt;1,10%,0))</f>
        <v>0</v>
      </c>
      <c r="BI230" s="2">
        <f>IF(OR(BI$208&gt;=$AQ230,BI$207=0),0,IF(SUM(BI$209:BI229)&lt;1,10%,0))</f>
        <v>0</v>
      </c>
      <c r="BJ230" s="2">
        <f>IF(OR(BJ$208&gt;=$AQ230,BJ$207=0),0,IF(SUM(BJ$209:BJ229)&lt;1,10%,0))</f>
        <v>0</v>
      </c>
      <c r="BK230" s="2">
        <f ca="1">IF(OR(BK$208&gt;=$AQ230,BK$207=0),0,IF(SUM(BK$209:BK229)&lt;1,10%,0))</f>
        <v>0</v>
      </c>
      <c r="BL230" s="2">
        <f>IF(OR(BL$208&gt;=$AQ230,BL$207=0),0,IF(SUM(BL$209:BL229)&lt;1,10%,0))</f>
        <v>0</v>
      </c>
      <c r="BM230" s="2">
        <f>IF(OR(BM$208&gt;=$AQ230,BM$207=0),0,IF(SUM(BM$209:BM229)&lt;1,10%,0))</f>
        <v>0</v>
      </c>
      <c r="BN230" s="2">
        <f>IF(OR(BN$208&gt;=$AQ230,BN$207=0),0,IF(SUM(BN$209:BN229)&lt;1,10%,0))</f>
        <v>0</v>
      </c>
      <c r="BO230" s="2">
        <f>IF(OR(BO$208&gt;=$AQ230,BO$207=0),0,IF(SUM(BO$209:BO229)&lt;1,10%,0))</f>
        <v>0</v>
      </c>
      <c r="BP230" s="2">
        <f>IF(OR(BP$208&gt;=$AQ230,BP$207=0),0,IF(SUM(BP$209:BP229)&lt;1,10%,0))</f>
        <v>0</v>
      </c>
      <c r="BQ230" s="2">
        <f>IF(OR(BQ$208&gt;=$AQ230,BQ$207=0),0,IF(SUM(BQ$209:BQ229)&lt;1,10%,0))</f>
        <v>0</v>
      </c>
      <c r="BR230" s="2">
        <f>IF(OR(BR$208&gt;=$AQ230,BR$207=0),0,IF(SUM(BR$209:BR229)&lt;1,10%,0))</f>
        <v>0</v>
      </c>
      <c r="BS230" s="2">
        <f>IF(OR(BS$208&gt;=$AQ230,BS$207=0),0,IF(SUM(BS$209:BS229)&lt;1,10%,0))</f>
        <v>0</v>
      </c>
      <c r="BT230" s="2">
        <f>IF(OR(BT$208&gt;=$AQ230,BT$207=0),0,IF(SUM(BT$209:BT229)&lt;1,10%,0))</f>
        <v>0</v>
      </c>
      <c r="BU230" s="2">
        <f ca="1">IF(OR(BU$208&gt;=$AQ230,BU$207=0),0,IF(SUM(BU$209:BU229)&lt;1,10%,0))</f>
        <v>0</v>
      </c>
      <c r="BV230" s="2">
        <f>IF(OR(BV$208&gt;=$AQ230,BV$207=0),0,IF(SUM(BV$209:BV229)&lt;1,10%,0))</f>
        <v>0</v>
      </c>
      <c r="BW230" s="2">
        <f>IF(OR(BW$208&gt;=$AQ230,BW$207=0),0,IF(SUM(BW$209:BW229)&lt;1,10%,0))</f>
        <v>0</v>
      </c>
      <c r="BX230" s="2">
        <f>IF(OR(BX$208&gt;=$AQ230,BX$207=0),0,IF(SUM(BX$209:BX229)&lt;1,10%,0))</f>
        <v>0</v>
      </c>
      <c r="BY230" s="2">
        <f>IF(OR(BY$208&gt;=$AQ230,BY$207=0),0,IF(SUM(BY$209:BY229)&lt;1,10%,0))</f>
        <v>0</v>
      </c>
      <c r="BZ230" s="2">
        <f>IF(OR(BZ$208&gt;=$AQ230,BZ$207=0),0,IF(SUM(BZ$209:BZ229)&lt;1,10%,0))</f>
        <v>0</v>
      </c>
    </row>
    <row r="231" spans="3:78" outlineLevel="1">
      <c r="C231" t="s">
        <v>560</v>
      </c>
      <c r="E231" s="133">
        <f t="shared" ca="1" si="130"/>
        <v>0</v>
      </c>
      <c r="F231" s="4">
        <f t="shared" si="131"/>
        <v>0</v>
      </c>
      <c r="G231" s="4">
        <f t="shared" si="132"/>
        <v>0</v>
      </c>
      <c r="H231" s="4">
        <f t="shared" si="133"/>
        <v>0</v>
      </c>
      <c r="I231" s="4">
        <f t="shared" si="134"/>
        <v>0</v>
      </c>
      <c r="J231" s="4">
        <f t="shared" si="135"/>
        <v>0</v>
      </c>
      <c r="K231" s="4">
        <f t="shared" si="136"/>
        <v>0</v>
      </c>
      <c r="L231" s="4">
        <f t="shared" si="137"/>
        <v>0</v>
      </c>
      <c r="M231" s="4">
        <f t="shared" si="138"/>
        <v>0</v>
      </c>
      <c r="N231" s="4">
        <f t="shared" si="139"/>
        <v>0</v>
      </c>
      <c r="O231" s="4">
        <f t="shared" ca="1" si="140"/>
        <v>0</v>
      </c>
      <c r="P231" s="4">
        <f t="shared" si="141"/>
        <v>0</v>
      </c>
      <c r="Q231" s="4">
        <f t="shared" si="142"/>
        <v>0</v>
      </c>
      <c r="R231" s="4">
        <f t="shared" si="143"/>
        <v>0</v>
      </c>
      <c r="S231" s="4">
        <f t="shared" si="144"/>
        <v>0</v>
      </c>
      <c r="T231" s="4">
        <f t="shared" si="145"/>
        <v>0</v>
      </c>
      <c r="U231" s="4">
        <f t="shared" si="146"/>
        <v>0</v>
      </c>
      <c r="V231" s="4">
        <f t="shared" si="147"/>
        <v>0</v>
      </c>
      <c r="W231" s="4">
        <f t="shared" si="148"/>
        <v>0</v>
      </c>
      <c r="X231" s="4">
        <f t="shared" si="149"/>
        <v>0</v>
      </c>
      <c r="Y231" s="4">
        <f t="shared" ca="1" si="150"/>
        <v>0</v>
      </c>
      <c r="Z231" s="4">
        <f t="shared" si="151"/>
        <v>0</v>
      </c>
      <c r="AA231" s="4">
        <f t="shared" si="152"/>
        <v>0</v>
      </c>
      <c r="AB231" s="4">
        <f t="shared" si="153"/>
        <v>0</v>
      </c>
      <c r="AC231" s="4">
        <f t="shared" si="154"/>
        <v>0</v>
      </c>
      <c r="AD231" s="4">
        <f t="shared" si="155"/>
        <v>0</v>
      </c>
      <c r="AE231" s="4">
        <f t="shared" si="156"/>
        <v>0</v>
      </c>
      <c r="AF231" s="4">
        <f t="shared" si="157"/>
        <v>0</v>
      </c>
      <c r="AG231" s="4">
        <f t="shared" si="158"/>
        <v>0</v>
      </c>
      <c r="AH231" s="4">
        <f t="shared" si="159"/>
        <v>0</v>
      </c>
      <c r="AI231" s="4">
        <f t="shared" ca="1" si="160"/>
        <v>0</v>
      </c>
      <c r="AJ231" s="4">
        <f t="shared" si="161"/>
        <v>0</v>
      </c>
      <c r="AK231" s="4">
        <f t="shared" si="162"/>
        <v>0</v>
      </c>
      <c r="AL231" s="4">
        <f t="shared" si="163"/>
        <v>0</v>
      </c>
      <c r="AM231" s="4">
        <f t="shared" si="164"/>
        <v>0</v>
      </c>
      <c r="AN231" s="4">
        <f t="shared" si="165"/>
        <v>0</v>
      </c>
      <c r="AQ231" s="1">
        <v>22</v>
      </c>
      <c r="AR231" s="2">
        <f>IF(OR(AR$208&gt;=$AQ231,AR$207=0),0,IF(SUM(AR$209:AR230)&lt;1,10%,0))</f>
        <v>0</v>
      </c>
      <c r="AS231" s="2">
        <f>IF(OR(AS$208&gt;=$AQ231,AS$207=0),0,IF(SUM(AS$209:AS230)&lt;1,10%,0))</f>
        <v>0</v>
      </c>
      <c r="AT231" s="2">
        <f>IF(OR(AT$208&gt;=$AQ231,AT$207=0),0,IF(SUM(AT$209:AT230)&lt;1,10%,0))</f>
        <v>0</v>
      </c>
      <c r="AU231" s="2">
        <f>IF(OR(AU$208&gt;=$AQ231,AU$207=0),0,IF(SUM(AU$209:AU230)&lt;1,10%,0))</f>
        <v>0</v>
      </c>
      <c r="AV231" s="2">
        <f>IF(OR(AV$208&gt;=$AQ231,AV$207=0),0,IF(SUM(AV$209:AV230)&lt;1,10%,0))</f>
        <v>0</v>
      </c>
      <c r="AW231" s="2">
        <f>IF(OR(AW$208&gt;=$AQ231,AW$207=0),0,IF(SUM(AW$209:AW230)&lt;1,10%,0))</f>
        <v>0</v>
      </c>
      <c r="AX231" s="2">
        <f>IF(OR(AX$208&gt;=$AQ231,AX$207=0),0,IF(SUM(AX$209:AX230)&lt;1,10%,0))</f>
        <v>0</v>
      </c>
      <c r="AY231" s="2">
        <f>IF(OR(AY$208&gt;=$AQ231,AY$207=0),0,IF(SUM(AY$209:AY230)&lt;1,10%,0))</f>
        <v>0</v>
      </c>
      <c r="AZ231" s="2">
        <f>IF(OR(AZ$208&gt;=$AQ231,AZ$207=0),0,IF(SUM(AZ$209:AZ230)&lt;1,10%,0))</f>
        <v>0</v>
      </c>
      <c r="BA231" s="2">
        <f ca="1">IF(OR(BA$208&gt;=$AQ231,BA$207=0),0,IF(SUM(BA$209:BA230)&lt;1,10%,0))</f>
        <v>0</v>
      </c>
      <c r="BB231" s="2">
        <f>IF(OR(BB$208&gt;=$AQ231,BB$207=0),0,IF(SUM(BB$209:BB230)&lt;1,10%,0))</f>
        <v>0</v>
      </c>
      <c r="BC231" s="2">
        <f>IF(OR(BC$208&gt;=$AQ231,BC$207=0),0,IF(SUM(BC$209:BC230)&lt;1,10%,0))</f>
        <v>0</v>
      </c>
      <c r="BD231" s="2">
        <f>IF(OR(BD$208&gt;=$AQ231,BD$207=0),0,IF(SUM(BD$209:BD230)&lt;1,10%,0))</f>
        <v>0</v>
      </c>
      <c r="BE231" s="2">
        <f>IF(OR(BE$208&gt;=$AQ231,BE$207=0),0,IF(SUM(BE$209:BE230)&lt;1,10%,0))</f>
        <v>0</v>
      </c>
      <c r="BF231" s="2">
        <f>IF(OR(BF$208&gt;=$AQ231,BF$207=0),0,IF(SUM(BF$209:BF230)&lt;1,10%,0))</f>
        <v>0</v>
      </c>
      <c r="BG231" s="2">
        <f>IF(OR(BG$208&gt;=$AQ231,BG$207=0),0,IF(SUM(BG$209:BG230)&lt;1,10%,0))</f>
        <v>0</v>
      </c>
      <c r="BH231" s="2">
        <f>IF(OR(BH$208&gt;=$AQ231,BH$207=0),0,IF(SUM(BH$209:BH230)&lt;1,10%,0))</f>
        <v>0</v>
      </c>
      <c r="BI231" s="2">
        <f>IF(OR(BI$208&gt;=$AQ231,BI$207=0),0,IF(SUM(BI$209:BI230)&lt;1,10%,0))</f>
        <v>0</v>
      </c>
      <c r="BJ231" s="2">
        <f>IF(OR(BJ$208&gt;=$AQ231,BJ$207=0),0,IF(SUM(BJ$209:BJ230)&lt;1,10%,0))</f>
        <v>0</v>
      </c>
      <c r="BK231" s="2">
        <f ca="1">IF(OR(BK$208&gt;=$AQ231,BK$207=0),0,IF(SUM(BK$209:BK230)&lt;1,10%,0))</f>
        <v>0</v>
      </c>
      <c r="BL231" s="2">
        <f>IF(OR(BL$208&gt;=$AQ231,BL$207=0),0,IF(SUM(BL$209:BL230)&lt;1,10%,0))</f>
        <v>0</v>
      </c>
      <c r="BM231" s="2">
        <f>IF(OR(BM$208&gt;=$AQ231,BM$207=0),0,IF(SUM(BM$209:BM230)&lt;1,10%,0))</f>
        <v>0</v>
      </c>
      <c r="BN231" s="2">
        <f>IF(OR(BN$208&gt;=$AQ231,BN$207=0),0,IF(SUM(BN$209:BN230)&lt;1,10%,0))</f>
        <v>0</v>
      </c>
      <c r="BO231" s="2">
        <f>IF(OR(BO$208&gt;=$AQ231,BO$207=0),0,IF(SUM(BO$209:BO230)&lt;1,10%,0))</f>
        <v>0</v>
      </c>
      <c r="BP231" s="2">
        <f>IF(OR(BP$208&gt;=$AQ231,BP$207=0),0,IF(SUM(BP$209:BP230)&lt;1,10%,0))</f>
        <v>0</v>
      </c>
      <c r="BQ231" s="2">
        <f>IF(OR(BQ$208&gt;=$AQ231,BQ$207=0),0,IF(SUM(BQ$209:BQ230)&lt;1,10%,0))</f>
        <v>0</v>
      </c>
      <c r="BR231" s="2">
        <f>IF(OR(BR$208&gt;=$AQ231,BR$207=0),0,IF(SUM(BR$209:BR230)&lt;1,10%,0))</f>
        <v>0</v>
      </c>
      <c r="BS231" s="2">
        <f>IF(OR(BS$208&gt;=$AQ231,BS$207=0),0,IF(SUM(BS$209:BS230)&lt;1,10%,0))</f>
        <v>0</v>
      </c>
      <c r="BT231" s="2">
        <f>IF(OR(BT$208&gt;=$AQ231,BT$207=0),0,IF(SUM(BT$209:BT230)&lt;1,10%,0))</f>
        <v>0</v>
      </c>
      <c r="BU231" s="2">
        <f ca="1">IF(OR(BU$208&gt;=$AQ231,BU$207=0),0,IF(SUM(BU$209:BU230)&lt;1,10%,0))</f>
        <v>0</v>
      </c>
      <c r="BV231" s="2">
        <f>IF(OR(BV$208&gt;=$AQ231,BV$207=0),0,IF(SUM(BV$209:BV230)&lt;1,10%,0))</f>
        <v>0</v>
      </c>
      <c r="BW231" s="2">
        <f>IF(OR(BW$208&gt;=$AQ231,BW$207=0),0,IF(SUM(BW$209:BW230)&lt;1,10%,0))</f>
        <v>0</v>
      </c>
      <c r="BX231" s="2">
        <f>IF(OR(BX$208&gt;=$AQ231,BX$207=0),0,IF(SUM(BX$209:BX230)&lt;1,10%,0))</f>
        <v>0</v>
      </c>
      <c r="BY231" s="2">
        <f>IF(OR(BY$208&gt;=$AQ231,BY$207=0),0,IF(SUM(BY$209:BY230)&lt;1,10%,0))</f>
        <v>0</v>
      </c>
      <c r="BZ231" s="2">
        <f>IF(OR(BZ$208&gt;=$AQ231,BZ$207=0),0,IF(SUM(BZ$209:BZ230)&lt;1,10%,0))</f>
        <v>0</v>
      </c>
    </row>
    <row r="232" spans="3:78" outlineLevel="1">
      <c r="C232" t="s">
        <v>561</v>
      </c>
      <c r="E232" s="133">
        <f t="shared" ca="1" si="130"/>
        <v>0</v>
      </c>
      <c r="F232" s="4">
        <f t="shared" si="131"/>
        <v>0</v>
      </c>
      <c r="G232" s="4">
        <f t="shared" si="132"/>
        <v>0</v>
      </c>
      <c r="H232" s="4">
        <f t="shared" si="133"/>
        <v>0</v>
      </c>
      <c r="I232" s="4">
        <f t="shared" si="134"/>
        <v>0</v>
      </c>
      <c r="J232" s="4">
        <f t="shared" si="135"/>
        <v>0</v>
      </c>
      <c r="K232" s="4">
        <f t="shared" si="136"/>
        <v>0</v>
      </c>
      <c r="L232" s="4">
        <f t="shared" si="137"/>
        <v>0</v>
      </c>
      <c r="M232" s="4">
        <f t="shared" si="138"/>
        <v>0</v>
      </c>
      <c r="N232" s="4">
        <f t="shared" si="139"/>
        <v>0</v>
      </c>
      <c r="O232" s="4">
        <f t="shared" ca="1" si="140"/>
        <v>0</v>
      </c>
      <c r="P232" s="4">
        <f t="shared" si="141"/>
        <v>0</v>
      </c>
      <c r="Q232" s="4">
        <f t="shared" si="142"/>
        <v>0</v>
      </c>
      <c r="R232" s="4">
        <f t="shared" si="143"/>
        <v>0</v>
      </c>
      <c r="S232" s="4">
        <f t="shared" si="144"/>
        <v>0</v>
      </c>
      <c r="T232" s="4">
        <f t="shared" si="145"/>
        <v>0</v>
      </c>
      <c r="U232" s="4">
        <f t="shared" si="146"/>
        <v>0</v>
      </c>
      <c r="V232" s="4">
        <f t="shared" si="147"/>
        <v>0</v>
      </c>
      <c r="W232" s="4">
        <f t="shared" si="148"/>
        <v>0</v>
      </c>
      <c r="X232" s="4">
        <f t="shared" si="149"/>
        <v>0</v>
      </c>
      <c r="Y232" s="4">
        <f t="shared" ca="1" si="150"/>
        <v>0</v>
      </c>
      <c r="Z232" s="4">
        <f t="shared" si="151"/>
        <v>0</v>
      </c>
      <c r="AA232" s="4">
        <f t="shared" si="152"/>
        <v>0</v>
      </c>
      <c r="AB232" s="4">
        <f t="shared" si="153"/>
        <v>0</v>
      </c>
      <c r="AC232" s="4">
        <f t="shared" si="154"/>
        <v>0</v>
      </c>
      <c r="AD232" s="4">
        <f t="shared" si="155"/>
        <v>0</v>
      </c>
      <c r="AE232" s="4">
        <f t="shared" si="156"/>
        <v>0</v>
      </c>
      <c r="AF232" s="4">
        <f t="shared" si="157"/>
        <v>0</v>
      </c>
      <c r="AG232" s="4">
        <f t="shared" si="158"/>
        <v>0</v>
      </c>
      <c r="AH232" s="4">
        <f t="shared" si="159"/>
        <v>0</v>
      </c>
      <c r="AI232" s="4">
        <f t="shared" ca="1" si="160"/>
        <v>0</v>
      </c>
      <c r="AJ232" s="4">
        <f t="shared" si="161"/>
        <v>0</v>
      </c>
      <c r="AK232" s="4">
        <f t="shared" si="162"/>
        <v>0</v>
      </c>
      <c r="AL232" s="4">
        <f t="shared" si="163"/>
        <v>0</v>
      </c>
      <c r="AM232" s="4">
        <f t="shared" si="164"/>
        <v>0</v>
      </c>
      <c r="AN232" s="4">
        <f t="shared" si="165"/>
        <v>0</v>
      </c>
      <c r="AQ232" s="1">
        <v>23</v>
      </c>
      <c r="AR232" s="2">
        <f>IF(OR(AR$208&gt;=$AQ232,AR$207=0),0,IF(SUM(AR$209:AR231)&lt;1,10%,0))</f>
        <v>0</v>
      </c>
      <c r="AS232" s="2">
        <f>IF(OR(AS$208&gt;=$AQ232,AS$207=0),0,IF(SUM(AS$209:AS231)&lt;1,10%,0))</f>
        <v>0</v>
      </c>
      <c r="AT232" s="2">
        <f>IF(OR(AT$208&gt;=$AQ232,AT$207=0),0,IF(SUM(AT$209:AT231)&lt;1,10%,0))</f>
        <v>0</v>
      </c>
      <c r="AU232" s="2">
        <f>IF(OR(AU$208&gt;=$AQ232,AU$207=0),0,IF(SUM(AU$209:AU231)&lt;1,10%,0))</f>
        <v>0</v>
      </c>
      <c r="AV232" s="2">
        <f>IF(OR(AV$208&gt;=$AQ232,AV$207=0),0,IF(SUM(AV$209:AV231)&lt;1,10%,0))</f>
        <v>0</v>
      </c>
      <c r="AW232" s="2">
        <f>IF(OR(AW$208&gt;=$AQ232,AW$207=0),0,IF(SUM(AW$209:AW231)&lt;1,10%,0))</f>
        <v>0</v>
      </c>
      <c r="AX232" s="2">
        <f>IF(OR(AX$208&gt;=$AQ232,AX$207=0),0,IF(SUM(AX$209:AX231)&lt;1,10%,0))</f>
        <v>0</v>
      </c>
      <c r="AY232" s="2">
        <f>IF(OR(AY$208&gt;=$AQ232,AY$207=0),0,IF(SUM(AY$209:AY231)&lt;1,10%,0))</f>
        <v>0</v>
      </c>
      <c r="AZ232" s="2">
        <f>IF(OR(AZ$208&gt;=$AQ232,AZ$207=0),0,IF(SUM(AZ$209:AZ231)&lt;1,10%,0))</f>
        <v>0</v>
      </c>
      <c r="BA232" s="2">
        <f ca="1">IF(OR(BA$208&gt;=$AQ232,BA$207=0),0,IF(SUM(BA$209:BA231)&lt;1,10%,0))</f>
        <v>0</v>
      </c>
      <c r="BB232" s="2">
        <f>IF(OR(BB$208&gt;=$AQ232,BB$207=0),0,IF(SUM(BB$209:BB231)&lt;1,10%,0))</f>
        <v>0</v>
      </c>
      <c r="BC232" s="2">
        <f>IF(OR(BC$208&gt;=$AQ232,BC$207=0),0,IF(SUM(BC$209:BC231)&lt;1,10%,0))</f>
        <v>0</v>
      </c>
      <c r="BD232" s="2">
        <f>IF(OR(BD$208&gt;=$AQ232,BD$207=0),0,IF(SUM(BD$209:BD231)&lt;1,10%,0))</f>
        <v>0</v>
      </c>
      <c r="BE232" s="2">
        <f>IF(OR(BE$208&gt;=$AQ232,BE$207=0),0,IF(SUM(BE$209:BE231)&lt;1,10%,0))</f>
        <v>0</v>
      </c>
      <c r="BF232" s="2">
        <f>IF(OR(BF$208&gt;=$AQ232,BF$207=0),0,IF(SUM(BF$209:BF231)&lt;1,10%,0))</f>
        <v>0</v>
      </c>
      <c r="BG232" s="2">
        <f>IF(OR(BG$208&gt;=$AQ232,BG$207=0),0,IF(SUM(BG$209:BG231)&lt;1,10%,0))</f>
        <v>0</v>
      </c>
      <c r="BH232" s="2">
        <f>IF(OR(BH$208&gt;=$AQ232,BH$207=0),0,IF(SUM(BH$209:BH231)&lt;1,10%,0))</f>
        <v>0</v>
      </c>
      <c r="BI232" s="2">
        <f>IF(OR(BI$208&gt;=$AQ232,BI$207=0),0,IF(SUM(BI$209:BI231)&lt;1,10%,0))</f>
        <v>0</v>
      </c>
      <c r="BJ232" s="2">
        <f>IF(OR(BJ$208&gt;=$AQ232,BJ$207=0),0,IF(SUM(BJ$209:BJ231)&lt;1,10%,0))</f>
        <v>0</v>
      </c>
      <c r="BK232" s="2">
        <f ca="1">IF(OR(BK$208&gt;=$AQ232,BK$207=0),0,IF(SUM(BK$209:BK231)&lt;1,10%,0))</f>
        <v>0</v>
      </c>
      <c r="BL232" s="2">
        <f>IF(OR(BL$208&gt;=$AQ232,BL$207=0),0,IF(SUM(BL$209:BL231)&lt;1,10%,0))</f>
        <v>0</v>
      </c>
      <c r="BM232" s="2">
        <f>IF(OR(BM$208&gt;=$AQ232,BM$207=0),0,IF(SUM(BM$209:BM231)&lt;1,10%,0))</f>
        <v>0</v>
      </c>
      <c r="BN232" s="2">
        <f>IF(OR(BN$208&gt;=$AQ232,BN$207=0),0,IF(SUM(BN$209:BN231)&lt;1,10%,0))</f>
        <v>0</v>
      </c>
      <c r="BO232" s="2">
        <f>IF(OR(BO$208&gt;=$AQ232,BO$207=0),0,IF(SUM(BO$209:BO231)&lt;1,10%,0))</f>
        <v>0</v>
      </c>
      <c r="BP232" s="2">
        <f>IF(OR(BP$208&gt;=$AQ232,BP$207=0),0,IF(SUM(BP$209:BP231)&lt;1,10%,0))</f>
        <v>0</v>
      </c>
      <c r="BQ232" s="2">
        <f>IF(OR(BQ$208&gt;=$AQ232,BQ$207=0),0,IF(SUM(BQ$209:BQ231)&lt;1,10%,0))</f>
        <v>0</v>
      </c>
      <c r="BR232" s="2">
        <f>IF(OR(BR$208&gt;=$AQ232,BR$207=0),0,IF(SUM(BR$209:BR231)&lt;1,10%,0))</f>
        <v>0</v>
      </c>
      <c r="BS232" s="2">
        <f>IF(OR(BS$208&gt;=$AQ232,BS$207=0),0,IF(SUM(BS$209:BS231)&lt;1,10%,0))</f>
        <v>0</v>
      </c>
      <c r="BT232" s="2">
        <f>IF(OR(BT$208&gt;=$AQ232,BT$207=0),0,IF(SUM(BT$209:BT231)&lt;1,10%,0))</f>
        <v>0</v>
      </c>
      <c r="BU232" s="2">
        <f ca="1">IF(OR(BU$208&gt;=$AQ232,BU$207=0),0,IF(SUM(BU$209:BU231)&lt;1,10%,0))</f>
        <v>0</v>
      </c>
      <c r="BV232" s="2">
        <f>IF(OR(BV$208&gt;=$AQ232,BV$207=0),0,IF(SUM(BV$209:BV231)&lt;1,10%,0))</f>
        <v>0</v>
      </c>
      <c r="BW232" s="2">
        <f>IF(OR(BW$208&gt;=$AQ232,BW$207=0),0,IF(SUM(BW$209:BW231)&lt;1,10%,0))</f>
        <v>0</v>
      </c>
      <c r="BX232" s="2">
        <f>IF(OR(BX$208&gt;=$AQ232,BX$207=0),0,IF(SUM(BX$209:BX231)&lt;1,10%,0))</f>
        <v>0</v>
      </c>
      <c r="BY232" s="2">
        <f>IF(OR(BY$208&gt;=$AQ232,BY$207=0),0,IF(SUM(BY$209:BY231)&lt;1,10%,0))</f>
        <v>0</v>
      </c>
      <c r="BZ232" s="2">
        <f>IF(OR(BZ$208&gt;=$AQ232,BZ$207=0),0,IF(SUM(BZ$209:BZ231)&lt;1,10%,0))</f>
        <v>0</v>
      </c>
    </row>
    <row r="233" spans="3:78" outlineLevel="1">
      <c r="C233" t="s">
        <v>562</v>
      </c>
      <c r="E233" s="133">
        <f t="shared" ca="1" si="130"/>
        <v>0</v>
      </c>
      <c r="F233" s="4">
        <f t="shared" si="131"/>
        <v>0</v>
      </c>
      <c r="G233" s="4">
        <f t="shared" si="132"/>
        <v>0</v>
      </c>
      <c r="H233" s="4">
        <f t="shared" si="133"/>
        <v>0</v>
      </c>
      <c r="I233" s="4">
        <f t="shared" si="134"/>
        <v>0</v>
      </c>
      <c r="J233" s="4">
        <f t="shared" si="135"/>
        <v>0</v>
      </c>
      <c r="K233" s="4">
        <f t="shared" si="136"/>
        <v>0</v>
      </c>
      <c r="L233" s="4">
        <f t="shared" si="137"/>
        <v>0</v>
      </c>
      <c r="M233" s="4">
        <f t="shared" si="138"/>
        <v>0</v>
      </c>
      <c r="N233" s="4">
        <f t="shared" si="139"/>
        <v>0</v>
      </c>
      <c r="O233" s="4">
        <f t="shared" ca="1" si="140"/>
        <v>0</v>
      </c>
      <c r="P233" s="4">
        <f t="shared" si="141"/>
        <v>0</v>
      </c>
      <c r="Q233" s="4">
        <f t="shared" si="142"/>
        <v>0</v>
      </c>
      <c r="R233" s="4">
        <f t="shared" si="143"/>
        <v>0</v>
      </c>
      <c r="S233" s="4">
        <f t="shared" si="144"/>
        <v>0</v>
      </c>
      <c r="T233" s="4">
        <f t="shared" si="145"/>
        <v>0</v>
      </c>
      <c r="U233" s="4">
        <f t="shared" si="146"/>
        <v>0</v>
      </c>
      <c r="V233" s="4">
        <f t="shared" si="147"/>
        <v>0</v>
      </c>
      <c r="W233" s="4">
        <f t="shared" si="148"/>
        <v>0</v>
      </c>
      <c r="X233" s="4">
        <f t="shared" si="149"/>
        <v>0</v>
      </c>
      <c r="Y233" s="4">
        <f t="shared" ca="1" si="150"/>
        <v>0</v>
      </c>
      <c r="Z233" s="4">
        <f t="shared" si="151"/>
        <v>0</v>
      </c>
      <c r="AA233" s="4">
        <f t="shared" si="152"/>
        <v>0</v>
      </c>
      <c r="AB233" s="4">
        <f t="shared" si="153"/>
        <v>0</v>
      </c>
      <c r="AC233" s="4">
        <f t="shared" si="154"/>
        <v>0</v>
      </c>
      <c r="AD233" s="4">
        <f t="shared" si="155"/>
        <v>0</v>
      </c>
      <c r="AE233" s="4">
        <f t="shared" si="156"/>
        <v>0</v>
      </c>
      <c r="AF233" s="4">
        <f t="shared" si="157"/>
        <v>0</v>
      </c>
      <c r="AG233" s="4">
        <f t="shared" si="158"/>
        <v>0</v>
      </c>
      <c r="AH233" s="4">
        <f t="shared" si="159"/>
        <v>0</v>
      </c>
      <c r="AI233" s="4">
        <f t="shared" ca="1" si="160"/>
        <v>0</v>
      </c>
      <c r="AJ233" s="4">
        <f t="shared" si="161"/>
        <v>0</v>
      </c>
      <c r="AK233" s="4">
        <f t="shared" si="162"/>
        <v>0</v>
      </c>
      <c r="AL233" s="4">
        <f t="shared" si="163"/>
        <v>0</v>
      </c>
      <c r="AM233" s="4">
        <f t="shared" si="164"/>
        <v>0</v>
      </c>
      <c r="AN233" s="4">
        <f t="shared" si="165"/>
        <v>0</v>
      </c>
      <c r="AQ233" s="1">
        <v>24</v>
      </c>
      <c r="AR233" s="2">
        <f>IF(OR(AR$208&gt;=$AQ233,AR$207=0),0,IF(SUM(AR$209:AR232)&lt;1,10%,0))</f>
        <v>0</v>
      </c>
      <c r="AS233" s="2">
        <f>IF(OR(AS$208&gt;=$AQ233,AS$207=0),0,IF(SUM(AS$209:AS232)&lt;1,10%,0))</f>
        <v>0</v>
      </c>
      <c r="AT233" s="2">
        <f>IF(OR(AT$208&gt;=$AQ233,AT$207=0),0,IF(SUM(AT$209:AT232)&lt;1,10%,0))</f>
        <v>0</v>
      </c>
      <c r="AU233" s="2">
        <f>IF(OR(AU$208&gt;=$AQ233,AU$207=0),0,IF(SUM(AU$209:AU232)&lt;1,10%,0))</f>
        <v>0</v>
      </c>
      <c r="AV233" s="2">
        <f>IF(OR(AV$208&gt;=$AQ233,AV$207=0),0,IF(SUM(AV$209:AV232)&lt;1,10%,0))</f>
        <v>0</v>
      </c>
      <c r="AW233" s="2">
        <f>IF(OR(AW$208&gt;=$AQ233,AW$207=0),0,IF(SUM(AW$209:AW232)&lt;1,10%,0))</f>
        <v>0</v>
      </c>
      <c r="AX233" s="2">
        <f>IF(OR(AX$208&gt;=$AQ233,AX$207=0),0,IF(SUM(AX$209:AX232)&lt;1,10%,0))</f>
        <v>0</v>
      </c>
      <c r="AY233" s="2">
        <f>IF(OR(AY$208&gt;=$AQ233,AY$207=0),0,IF(SUM(AY$209:AY232)&lt;1,10%,0))</f>
        <v>0</v>
      </c>
      <c r="AZ233" s="2">
        <f>IF(OR(AZ$208&gt;=$AQ233,AZ$207=0),0,IF(SUM(AZ$209:AZ232)&lt;1,10%,0))</f>
        <v>0</v>
      </c>
      <c r="BA233" s="2">
        <f ca="1">IF(OR(BA$208&gt;=$AQ233,BA$207=0),0,IF(SUM(BA$209:BA232)&lt;1,10%,0))</f>
        <v>0</v>
      </c>
      <c r="BB233" s="2">
        <f>IF(OR(BB$208&gt;=$AQ233,BB$207=0),0,IF(SUM(BB$209:BB232)&lt;1,10%,0))</f>
        <v>0</v>
      </c>
      <c r="BC233" s="2">
        <f>IF(OR(BC$208&gt;=$AQ233,BC$207=0),0,IF(SUM(BC$209:BC232)&lt;1,10%,0))</f>
        <v>0</v>
      </c>
      <c r="BD233" s="2">
        <f>IF(OR(BD$208&gt;=$AQ233,BD$207=0),0,IF(SUM(BD$209:BD232)&lt;1,10%,0))</f>
        <v>0</v>
      </c>
      <c r="BE233" s="2">
        <f>IF(OR(BE$208&gt;=$AQ233,BE$207=0),0,IF(SUM(BE$209:BE232)&lt;1,10%,0))</f>
        <v>0</v>
      </c>
      <c r="BF233" s="2">
        <f>IF(OR(BF$208&gt;=$AQ233,BF$207=0),0,IF(SUM(BF$209:BF232)&lt;1,10%,0))</f>
        <v>0</v>
      </c>
      <c r="BG233" s="2">
        <f>IF(OR(BG$208&gt;=$AQ233,BG$207=0),0,IF(SUM(BG$209:BG232)&lt;1,10%,0))</f>
        <v>0</v>
      </c>
      <c r="BH233" s="2">
        <f>IF(OR(BH$208&gt;=$AQ233,BH$207=0),0,IF(SUM(BH$209:BH232)&lt;1,10%,0))</f>
        <v>0</v>
      </c>
      <c r="BI233" s="2">
        <f>IF(OR(BI$208&gt;=$AQ233,BI$207=0),0,IF(SUM(BI$209:BI232)&lt;1,10%,0))</f>
        <v>0</v>
      </c>
      <c r="BJ233" s="2">
        <f>IF(OR(BJ$208&gt;=$AQ233,BJ$207=0),0,IF(SUM(BJ$209:BJ232)&lt;1,10%,0))</f>
        <v>0</v>
      </c>
      <c r="BK233" s="2">
        <f ca="1">IF(OR(BK$208&gt;=$AQ233,BK$207=0),0,IF(SUM(BK$209:BK232)&lt;1,10%,0))</f>
        <v>0</v>
      </c>
      <c r="BL233" s="2">
        <f>IF(OR(BL$208&gt;=$AQ233,BL$207=0),0,IF(SUM(BL$209:BL232)&lt;1,10%,0))</f>
        <v>0</v>
      </c>
      <c r="BM233" s="2">
        <f>IF(OR(BM$208&gt;=$AQ233,BM$207=0),0,IF(SUM(BM$209:BM232)&lt;1,10%,0))</f>
        <v>0</v>
      </c>
      <c r="BN233" s="2">
        <f>IF(OR(BN$208&gt;=$AQ233,BN$207=0),0,IF(SUM(BN$209:BN232)&lt;1,10%,0))</f>
        <v>0</v>
      </c>
      <c r="BO233" s="2">
        <f>IF(OR(BO$208&gt;=$AQ233,BO$207=0),0,IF(SUM(BO$209:BO232)&lt;1,10%,0))</f>
        <v>0</v>
      </c>
      <c r="BP233" s="2">
        <f>IF(OR(BP$208&gt;=$AQ233,BP$207=0),0,IF(SUM(BP$209:BP232)&lt;1,10%,0))</f>
        <v>0</v>
      </c>
      <c r="BQ233" s="2">
        <f>IF(OR(BQ$208&gt;=$AQ233,BQ$207=0),0,IF(SUM(BQ$209:BQ232)&lt;1,10%,0))</f>
        <v>0</v>
      </c>
      <c r="BR233" s="2">
        <f>IF(OR(BR$208&gt;=$AQ233,BR$207=0),0,IF(SUM(BR$209:BR232)&lt;1,10%,0))</f>
        <v>0</v>
      </c>
      <c r="BS233" s="2">
        <f>IF(OR(BS$208&gt;=$AQ233,BS$207=0),0,IF(SUM(BS$209:BS232)&lt;1,10%,0))</f>
        <v>0</v>
      </c>
      <c r="BT233" s="2">
        <f>IF(OR(BT$208&gt;=$AQ233,BT$207=0),0,IF(SUM(BT$209:BT232)&lt;1,10%,0))</f>
        <v>0</v>
      </c>
      <c r="BU233" s="2">
        <f ca="1">IF(OR(BU$208&gt;=$AQ233,BU$207=0),0,IF(SUM(BU$209:BU232)&lt;1,10%,0))</f>
        <v>0</v>
      </c>
      <c r="BV233" s="2">
        <f>IF(OR(BV$208&gt;=$AQ233,BV$207=0),0,IF(SUM(BV$209:BV232)&lt;1,10%,0))</f>
        <v>0</v>
      </c>
      <c r="BW233" s="2">
        <f>IF(OR(BW$208&gt;=$AQ233,BW$207=0),0,IF(SUM(BW$209:BW232)&lt;1,10%,0))</f>
        <v>0</v>
      </c>
      <c r="BX233" s="2">
        <f>IF(OR(BX$208&gt;=$AQ233,BX$207=0),0,IF(SUM(BX$209:BX232)&lt;1,10%,0))</f>
        <v>0</v>
      </c>
      <c r="BY233" s="2">
        <f>IF(OR(BY$208&gt;=$AQ233,BY$207=0),0,IF(SUM(BY$209:BY232)&lt;1,10%,0))</f>
        <v>0</v>
      </c>
      <c r="BZ233" s="2">
        <f>IF(OR(BZ$208&gt;=$AQ233,BZ$207=0),0,IF(SUM(BZ$209:BZ232)&lt;1,10%,0))</f>
        <v>0</v>
      </c>
    </row>
    <row r="234" spans="3:78" outlineLevel="1">
      <c r="C234" t="s">
        <v>563</v>
      </c>
      <c r="E234" s="133">
        <f t="shared" ca="1" si="130"/>
        <v>0</v>
      </c>
      <c r="F234" s="4">
        <f t="shared" si="131"/>
        <v>0</v>
      </c>
      <c r="G234" s="4">
        <f t="shared" si="132"/>
        <v>0</v>
      </c>
      <c r="H234" s="4">
        <f t="shared" si="133"/>
        <v>0</v>
      </c>
      <c r="I234" s="4">
        <f t="shared" si="134"/>
        <v>0</v>
      </c>
      <c r="J234" s="4">
        <f t="shared" si="135"/>
        <v>0</v>
      </c>
      <c r="K234" s="4">
        <f t="shared" si="136"/>
        <v>0</v>
      </c>
      <c r="L234" s="4">
        <f t="shared" si="137"/>
        <v>0</v>
      </c>
      <c r="M234" s="4">
        <f t="shared" si="138"/>
        <v>0</v>
      </c>
      <c r="N234" s="4">
        <f t="shared" si="139"/>
        <v>0</v>
      </c>
      <c r="O234" s="4">
        <f t="shared" ca="1" si="140"/>
        <v>0</v>
      </c>
      <c r="P234" s="4">
        <f t="shared" si="141"/>
        <v>0</v>
      </c>
      <c r="Q234" s="4">
        <f t="shared" si="142"/>
        <v>0</v>
      </c>
      <c r="R234" s="4">
        <f t="shared" si="143"/>
        <v>0</v>
      </c>
      <c r="S234" s="4">
        <f t="shared" si="144"/>
        <v>0</v>
      </c>
      <c r="T234" s="4">
        <f t="shared" si="145"/>
        <v>0</v>
      </c>
      <c r="U234" s="4">
        <f t="shared" si="146"/>
        <v>0</v>
      </c>
      <c r="V234" s="4">
        <f t="shared" si="147"/>
        <v>0</v>
      </c>
      <c r="W234" s="4">
        <f t="shared" si="148"/>
        <v>0</v>
      </c>
      <c r="X234" s="4">
        <f t="shared" si="149"/>
        <v>0</v>
      </c>
      <c r="Y234" s="4">
        <f t="shared" ca="1" si="150"/>
        <v>0</v>
      </c>
      <c r="Z234" s="4">
        <f t="shared" si="151"/>
        <v>0</v>
      </c>
      <c r="AA234" s="4">
        <f t="shared" si="152"/>
        <v>0</v>
      </c>
      <c r="AB234" s="4">
        <f t="shared" si="153"/>
        <v>0</v>
      </c>
      <c r="AC234" s="4">
        <f t="shared" si="154"/>
        <v>0</v>
      </c>
      <c r="AD234" s="4">
        <f t="shared" si="155"/>
        <v>0</v>
      </c>
      <c r="AE234" s="4">
        <f t="shared" si="156"/>
        <v>0</v>
      </c>
      <c r="AF234" s="4">
        <f t="shared" si="157"/>
        <v>0</v>
      </c>
      <c r="AG234" s="4">
        <f t="shared" si="158"/>
        <v>0</v>
      </c>
      <c r="AH234" s="4">
        <f t="shared" si="159"/>
        <v>0</v>
      </c>
      <c r="AI234" s="4">
        <f t="shared" ca="1" si="160"/>
        <v>0</v>
      </c>
      <c r="AJ234" s="4">
        <f t="shared" si="161"/>
        <v>0</v>
      </c>
      <c r="AK234" s="4">
        <f t="shared" si="162"/>
        <v>0</v>
      </c>
      <c r="AL234" s="4">
        <f t="shared" si="163"/>
        <v>0</v>
      </c>
      <c r="AM234" s="4">
        <f t="shared" si="164"/>
        <v>0</v>
      </c>
      <c r="AN234" s="4">
        <f t="shared" si="165"/>
        <v>0</v>
      </c>
      <c r="AQ234" s="1">
        <v>25</v>
      </c>
      <c r="AR234" s="2">
        <f>IF(OR(AR$208&gt;=$AQ234,AR$207=0),0,IF(SUM(AR$209:AR233)&lt;1,10%,0))</f>
        <v>0</v>
      </c>
      <c r="AS234" s="2">
        <f>IF(OR(AS$208&gt;=$AQ234,AS$207=0),0,IF(SUM(AS$209:AS233)&lt;1,10%,0))</f>
        <v>0</v>
      </c>
      <c r="AT234" s="2">
        <f>IF(OR(AT$208&gt;=$AQ234,AT$207=0),0,IF(SUM(AT$209:AT233)&lt;1,10%,0))</f>
        <v>0</v>
      </c>
      <c r="AU234" s="2">
        <f>IF(OR(AU$208&gt;=$AQ234,AU$207=0),0,IF(SUM(AU$209:AU233)&lt;1,10%,0))</f>
        <v>0</v>
      </c>
      <c r="AV234" s="2">
        <f>IF(OR(AV$208&gt;=$AQ234,AV$207=0),0,IF(SUM(AV$209:AV233)&lt;1,10%,0))</f>
        <v>0</v>
      </c>
      <c r="AW234" s="2">
        <f>IF(OR(AW$208&gt;=$AQ234,AW$207=0),0,IF(SUM(AW$209:AW233)&lt;1,10%,0))</f>
        <v>0</v>
      </c>
      <c r="AX234" s="2">
        <f>IF(OR(AX$208&gt;=$AQ234,AX$207=0),0,IF(SUM(AX$209:AX233)&lt;1,10%,0))</f>
        <v>0</v>
      </c>
      <c r="AY234" s="2">
        <f>IF(OR(AY$208&gt;=$AQ234,AY$207=0),0,IF(SUM(AY$209:AY233)&lt;1,10%,0))</f>
        <v>0</v>
      </c>
      <c r="AZ234" s="2">
        <f>IF(OR(AZ$208&gt;=$AQ234,AZ$207=0),0,IF(SUM(AZ$209:AZ233)&lt;1,10%,0))</f>
        <v>0</v>
      </c>
      <c r="BA234" s="2">
        <f ca="1">IF(OR(BA$208&gt;=$AQ234,BA$207=0),0,IF(SUM(BA$209:BA233)&lt;1,10%,0))</f>
        <v>0</v>
      </c>
      <c r="BB234" s="2">
        <f>IF(OR(BB$208&gt;=$AQ234,BB$207=0),0,IF(SUM(BB$209:BB233)&lt;1,10%,0))</f>
        <v>0</v>
      </c>
      <c r="BC234" s="2">
        <f>IF(OR(BC$208&gt;=$AQ234,BC$207=0),0,IF(SUM(BC$209:BC233)&lt;1,10%,0))</f>
        <v>0</v>
      </c>
      <c r="BD234" s="2">
        <f>IF(OR(BD$208&gt;=$AQ234,BD$207=0),0,IF(SUM(BD$209:BD233)&lt;1,10%,0))</f>
        <v>0</v>
      </c>
      <c r="BE234" s="2">
        <f>IF(OR(BE$208&gt;=$AQ234,BE$207=0),0,IF(SUM(BE$209:BE233)&lt;1,10%,0))</f>
        <v>0</v>
      </c>
      <c r="BF234" s="2">
        <f>IF(OR(BF$208&gt;=$AQ234,BF$207=0),0,IF(SUM(BF$209:BF233)&lt;1,10%,0))</f>
        <v>0</v>
      </c>
      <c r="BG234" s="2">
        <f>IF(OR(BG$208&gt;=$AQ234,BG$207=0),0,IF(SUM(BG$209:BG233)&lt;1,10%,0))</f>
        <v>0</v>
      </c>
      <c r="BH234" s="2">
        <f>IF(OR(BH$208&gt;=$AQ234,BH$207=0),0,IF(SUM(BH$209:BH233)&lt;1,10%,0))</f>
        <v>0</v>
      </c>
      <c r="BI234" s="2">
        <f>IF(OR(BI$208&gt;=$AQ234,BI$207=0),0,IF(SUM(BI$209:BI233)&lt;1,10%,0))</f>
        <v>0</v>
      </c>
      <c r="BJ234" s="2">
        <f>IF(OR(BJ$208&gt;=$AQ234,BJ$207=0),0,IF(SUM(BJ$209:BJ233)&lt;1,10%,0))</f>
        <v>0</v>
      </c>
      <c r="BK234" s="2">
        <f ca="1">IF(OR(BK$208&gt;=$AQ234,BK$207=0),0,IF(SUM(BK$209:BK233)&lt;1,10%,0))</f>
        <v>0</v>
      </c>
      <c r="BL234" s="2">
        <f>IF(OR(BL$208&gt;=$AQ234,BL$207=0),0,IF(SUM(BL$209:BL233)&lt;1,10%,0))</f>
        <v>0</v>
      </c>
      <c r="BM234" s="2">
        <f>IF(OR(BM$208&gt;=$AQ234,BM$207=0),0,IF(SUM(BM$209:BM233)&lt;1,10%,0))</f>
        <v>0</v>
      </c>
      <c r="BN234" s="2">
        <f>IF(OR(BN$208&gt;=$AQ234,BN$207=0),0,IF(SUM(BN$209:BN233)&lt;1,10%,0))</f>
        <v>0</v>
      </c>
      <c r="BO234" s="2">
        <f>IF(OR(BO$208&gt;=$AQ234,BO$207=0),0,IF(SUM(BO$209:BO233)&lt;1,10%,0))</f>
        <v>0</v>
      </c>
      <c r="BP234" s="2">
        <f>IF(OR(BP$208&gt;=$AQ234,BP$207=0),0,IF(SUM(BP$209:BP233)&lt;1,10%,0))</f>
        <v>0</v>
      </c>
      <c r="BQ234" s="2">
        <f>IF(OR(BQ$208&gt;=$AQ234,BQ$207=0),0,IF(SUM(BQ$209:BQ233)&lt;1,10%,0))</f>
        <v>0</v>
      </c>
      <c r="BR234" s="2">
        <f>IF(OR(BR$208&gt;=$AQ234,BR$207=0),0,IF(SUM(BR$209:BR233)&lt;1,10%,0))</f>
        <v>0</v>
      </c>
      <c r="BS234" s="2">
        <f>IF(OR(BS$208&gt;=$AQ234,BS$207=0),0,IF(SUM(BS$209:BS233)&lt;1,10%,0))</f>
        <v>0</v>
      </c>
      <c r="BT234" s="2">
        <f>IF(OR(BT$208&gt;=$AQ234,BT$207=0),0,IF(SUM(BT$209:BT233)&lt;1,10%,0))</f>
        <v>0</v>
      </c>
      <c r="BU234" s="2">
        <f ca="1">IF(OR(BU$208&gt;=$AQ234,BU$207=0),0,IF(SUM(BU$209:BU233)&lt;1,10%,0))</f>
        <v>0</v>
      </c>
      <c r="BV234" s="2">
        <f>IF(OR(BV$208&gt;=$AQ234,BV$207=0),0,IF(SUM(BV$209:BV233)&lt;1,10%,0))</f>
        <v>0</v>
      </c>
      <c r="BW234" s="2">
        <f>IF(OR(BW$208&gt;=$AQ234,BW$207=0),0,IF(SUM(BW$209:BW233)&lt;1,10%,0))</f>
        <v>0</v>
      </c>
      <c r="BX234" s="2">
        <f>IF(OR(BX$208&gt;=$AQ234,BX$207=0),0,IF(SUM(BX$209:BX233)&lt;1,10%,0))</f>
        <v>0</v>
      </c>
      <c r="BY234" s="2">
        <f>IF(OR(BY$208&gt;=$AQ234,BY$207=0),0,IF(SUM(BY$209:BY233)&lt;1,10%,0))</f>
        <v>0</v>
      </c>
      <c r="BZ234" s="2">
        <f>IF(OR(BZ$208&gt;=$AQ234,BZ$207=0),0,IF(SUM(BZ$209:BZ233)&lt;1,10%,0))</f>
        <v>0</v>
      </c>
    </row>
    <row r="235" spans="3:78" outlineLevel="1">
      <c r="C235" t="s">
        <v>564</v>
      </c>
      <c r="E235" s="133">
        <f t="shared" ca="1" si="130"/>
        <v>0</v>
      </c>
      <c r="F235" s="4">
        <f t="shared" si="131"/>
        <v>0</v>
      </c>
      <c r="G235" s="4">
        <f t="shared" si="132"/>
        <v>0</v>
      </c>
      <c r="H235" s="4">
        <f t="shared" si="133"/>
        <v>0</v>
      </c>
      <c r="I235" s="4">
        <f t="shared" si="134"/>
        <v>0</v>
      </c>
      <c r="J235" s="4">
        <f t="shared" si="135"/>
        <v>0</v>
      </c>
      <c r="K235" s="4">
        <f t="shared" si="136"/>
        <v>0</v>
      </c>
      <c r="L235" s="4">
        <f t="shared" si="137"/>
        <v>0</v>
      </c>
      <c r="M235" s="4">
        <f t="shared" si="138"/>
        <v>0</v>
      </c>
      <c r="N235" s="4">
        <f t="shared" si="139"/>
        <v>0</v>
      </c>
      <c r="O235" s="4">
        <f t="shared" ca="1" si="140"/>
        <v>0</v>
      </c>
      <c r="P235" s="4">
        <f t="shared" si="141"/>
        <v>0</v>
      </c>
      <c r="Q235" s="4">
        <f t="shared" si="142"/>
        <v>0</v>
      </c>
      <c r="R235" s="4">
        <f t="shared" si="143"/>
        <v>0</v>
      </c>
      <c r="S235" s="4">
        <f t="shared" si="144"/>
        <v>0</v>
      </c>
      <c r="T235" s="4">
        <f t="shared" si="145"/>
        <v>0</v>
      </c>
      <c r="U235" s="4">
        <f t="shared" si="146"/>
        <v>0</v>
      </c>
      <c r="V235" s="4">
        <f t="shared" si="147"/>
        <v>0</v>
      </c>
      <c r="W235" s="4">
        <f t="shared" si="148"/>
        <v>0</v>
      </c>
      <c r="X235" s="4">
        <f t="shared" si="149"/>
        <v>0</v>
      </c>
      <c r="Y235" s="4">
        <f t="shared" ca="1" si="150"/>
        <v>0</v>
      </c>
      <c r="Z235" s="4">
        <f t="shared" si="151"/>
        <v>0</v>
      </c>
      <c r="AA235" s="4">
        <f t="shared" si="152"/>
        <v>0</v>
      </c>
      <c r="AB235" s="4">
        <f t="shared" si="153"/>
        <v>0</v>
      </c>
      <c r="AC235" s="4">
        <f t="shared" si="154"/>
        <v>0</v>
      </c>
      <c r="AD235" s="4">
        <f t="shared" si="155"/>
        <v>0</v>
      </c>
      <c r="AE235" s="4">
        <f t="shared" si="156"/>
        <v>0</v>
      </c>
      <c r="AF235" s="4">
        <f t="shared" si="157"/>
        <v>0</v>
      </c>
      <c r="AG235" s="4">
        <f t="shared" si="158"/>
        <v>0</v>
      </c>
      <c r="AH235" s="4">
        <f t="shared" si="159"/>
        <v>0</v>
      </c>
      <c r="AI235" s="4">
        <f t="shared" ca="1" si="160"/>
        <v>0</v>
      </c>
      <c r="AJ235" s="4">
        <f t="shared" si="161"/>
        <v>0</v>
      </c>
      <c r="AK235" s="4">
        <f t="shared" si="162"/>
        <v>0</v>
      </c>
      <c r="AL235" s="4">
        <f t="shared" si="163"/>
        <v>0</v>
      </c>
      <c r="AM235" s="4">
        <f t="shared" si="164"/>
        <v>0</v>
      </c>
      <c r="AN235" s="4">
        <f t="shared" si="165"/>
        <v>0</v>
      </c>
      <c r="AQ235" s="1">
        <v>26</v>
      </c>
      <c r="AR235" s="2">
        <f>IF(OR(AR$208&gt;=$AQ235,AR$207=0),0,IF(SUM(AR$209:AR234)&lt;1,10%,0))</f>
        <v>0</v>
      </c>
      <c r="AS235" s="2">
        <f>IF(OR(AS$208&gt;=$AQ235,AS$207=0),0,IF(SUM(AS$209:AS234)&lt;1,10%,0))</f>
        <v>0</v>
      </c>
      <c r="AT235" s="2">
        <f>IF(OR(AT$208&gt;=$AQ235,AT$207=0),0,IF(SUM(AT$209:AT234)&lt;1,10%,0))</f>
        <v>0</v>
      </c>
      <c r="AU235" s="2">
        <f>IF(OR(AU$208&gt;=$AQ235,AU$207=0),0,IF(SUM(AU$209:AU234)&lt;1,10%,0))</f>
        <v>0</v>
      </c>
      <c r="AV235" s="2">
        <f>IF(OR(AV$208&gt;=$AQ235,AV$207=0),0,IF(SUM(AV$209:AV234)&lt;1,10%,0))</f>
        <v>0</v>
      </c>
      <c r="AW235" s="2">
        <f>IF(OR(AW$208&gt;=$AQ235,AW$207=0),0,IF(SUM(AW$209:AW234)&lt;1,10%,0))</f>
        <v>0</v>
      </c>
      <c r="AX235" s="2">
        <f>IF(OR(AX$208&gt;=$AQ235,AX$207=0),0,IF(SUM(AX$209:AX234)&lt;1,10%,0))</f>
        <v>0</v>
      </c>
      <c r="AY235" s="2">
        <f>IF(OR(AY$208&gt;=$AQ235,AY$207=0),0,IF(SUM(AY$209:AY234)&lt;1,10%,0))</f>
        <v>0</v>
      </c>
      <c r="AZ235" s="2">
        <f>IF(OR(AZ$208&gt;=$AQ235,AZ$207=0),0,IF(SUM(AZ$209:AZ234)&lt;1,10%,0))</f>
        <v>0</v>
      </c>
      <c r="BA235" s="2">
        <f ca="1">IF(OR(BA$208&gt;=$AQ235,BA$207=0),0,IF(SUM(BA$209:BA234)&lt;1,10%,0))</f>
        <v>0</v>
      </c>
      <c r="BB235" s="2">
        <f>IF(OR(BB$208&gt;=$AQ235,BB$207=0),0,IF(SUM(BB$209:BB234)&lt;1,10%,0))</f>
        <v>0</v>
      </c>
      <c r="BC235" s="2">
        <f>IF(OR(BC$208&gt;=$AQ235,BC$207=0),0,IF(SUM(BC$209:BC234)&lt;1,10%,0))</f>
        <v>0</v>
      </c>
      <c r="BD235" s="2">
        <f>IF(OR(BD$208&gt;=$AQ235,BD$207=0),0,IF(SUM(BD$209:BD234)&lt;1,10%,0))</f>
        <v>0</v>
      </c>
      <c r="BE235" s="2">
        <f>IF(OR(BE$208&gt;=$AQ235,BE$207=0),0,IF(SUM(BE$209:BE234)&lt;1,10%,0))</f>
        <v>0</v>
      </c>
      <c r="BF235" s="2">
        <f>IF(OR(BF$208&gt;=$AQ235,BF$207=0),0,IF(SUM(BF$209:BF234)&lt;1,10%,0))</f>
        <v>0</v>
      </c>
      <c r="BG235" s="2">
        <f>IF(OR(BG$208&gt;=$AQ235,BG$207=0),0,IF(SUM(BG$209:BG234)&lt;1,10%,0))</f>
        <v>0</v>
      </c>
      <c r="BH235" s="2">
        <f>IF(OR(BH$208&gt;=$AQ235,BH$207=0),0,IF(SUM(BH$209:BH234)&lt;1,10%,0))</f>
        <v>0</v>
      </c>
      <c r="BI235" s="2">
        <f>IF(OR(BI$208&gt;=$AQ235,BI$207=0),0,IF(SUM(BI$209:BI234)&lt;1,10%,0))</f>
        <v>0</v>
      </c>
      <c r="BJ235" s="2">
        <f>IF(OR(BJ$208&gt;=$AQ235,BJ$207=0),0,IF(SUM(BJ$209:BJ234)&lt;1,10%,0))</f>
        <v>0</v>
      </c>
      <c r="BK235" s="2">
        <f ca="1">IF(OR(BK$208&gt;=$AQ235,BK$207=0),0,IF(SUM(BK$209:BK234)&lt;1,10%,0))</f>
        <v>0</v>
      </c>
      <c r="BL235" s="2">
        <f>IF(OR(BL$208&gt;=$AQ235,BL$207=0),0,IF(SUM(BL$209:BL234)&lt;1,10%,0))</f>
        <v>0</v>
      </c>
      <c r="BM235" s="2">
        <f>IF(OR(BM$208&gt;=$AQ235,BM$207=0),0,IF(SUM(BM$209:BM234)&lt;1,10%,0))</f>
        <v>0</v>
      </c>
      <c r="BN235" s="2">
        <f>IF(OR(BN$208&gt;=$AQ235,BN$207=0),0,IF(SUM(BN$209:BN234)&lt;1,10%,0))</f>
        <v>0</v>
      </c>
      <c r="BO235" s="2">
        <f>IF(OR(BO$208&gt;=$AQ235,BO$207=0),0,IF(SUM(BO$209:BO234)&lt;1,10%,0))</f>
        <v>0</v>
      </c>
      <c r="BP235" s="2">
        <f>IF(OR(BP$208&gt;=$AQ235,BP$207=0),0,IF(SUM(BP$209:BP234)&lt;1,10%,0))</f>
        <v>0</v>
      </c>
      <c r="BQ235" s="2">
        <f>IF(OR(BQ$208&gt;=$AQ235,BQ$207=0),0,IF(SUM(BQ$209:BQ234)&lt;1,10%,0))</f>
        <v>0</v>
      </c>
      <c r="BR235" s="2">
        <f>IF(OR(BR$208&gt;=$AQ235,BR$207=0),0,IF(SUM(BR$209:BR234)&lt;1,10%,0))</f>
        <v>0</v>
      </c>
      <c r="BS235" s="2">
        <f>IF(OR(BS$208&gt;=$AQ235,BS$207=0),0,IF(SUM(BS$209:BS234)&lt;1,10%,0))</f>
        <v>0</v>
      </c>
      <c r="BT235" s="2">
        <f>IF(OR(BT$208&gt;=$AQ235,BT$207=0),0,IF(SUM(BT$209:BT234)&lt;1,10%,0))</f>
        <v>0</v>
      </c>
      <c r="BU235" s="2">
        <f ca="1">IF(OR(BU$208&gt;=$AQ235,BU$207=0),0,IF(SUM(BU$209:BU234)&lt;1,10%,0))</f>
        <v>0</v>
      </c>
      <c r="BV235" s="2">
        <f>IF(OR(BV$208&gt;=$AQ235,BV$207=0),0,IF(SUM(BV$209:BV234)&lt;1,10%,0))</f>
        <v>0</v>
      </c>
      <c r="BW235" s="2">
        <f>IF(OR(BW$208&gt;=$AQ235,BW$207=0),0,IF(SUM(BW$209:BW234)&lt;1,10%,0))</f>
        <v>0</v>
      </c>
      <c r="BX235" s="2">
        <f>IF(OR(BX$208&gt;=$AQ235,BX$207=0),0,IF(SUM(BX$209:BX234)&lt;1,10%,0))</f>
        <v>0</v>
      </c>
      <c r="BY235" s="2">
        <f>IF(OR(BY$208&gt;=$AQ235,BY$207=0),0,IF(SUM(BY$209:BY234)&lt;1,10%,0))</f>
        <v>0</v>
      </c>
      <c r="BZ235" s="2">
        <f>IF(OR(BZ$208&gt;=$AQ235,BZ$207=0),0,IF(SUM(BZ$209:BZ234)&lt;1,10%,0))</f>
        <v>0</v>
      </c>
    </row>
    <row r="236" spans="3:78" outlineLevel="1">
      <c r="C236" t="s">
        <v>565</v>
      </c>
      <c r="E236" s="133">
        <f t="shared" ca="1" si="130"/>
        <v>0</v>
      </c>
      <c r="F236" s="4">
        <f t="shared" si="131"/>
        <v>0</v>
      </c>
      <c r="G236" s="4">
        <f t="shared" si="132"/>
        <v>0</v>
      </c>
      <c r="H236" s="4">
        <f t="shared" si="133"/>
        <v>0</v>
      </c>
      <c r="I236" s="4">
        <f t="shared" si="134"/>
        <v>0</v>
      </c>
      <c r="J236" s="4">
        <f t="shared" si="135"/>
        <v>0</v>
      </c>
      <c r="K236" s="4">
        <f t="shared" si="136"/>
        <v>0</v>
      </c>
      <c r="L236" s="4">
        <f t="shared" si="137"/>
        <v>0</v>
      </c>
      <c r="M236" s="4">
        <f t="shared" si="138"/>
        <v>0</v>
      </c>
      <c r="N236" s="4">
        <f t="shared" si="139"/>
        <v>0</v>
      </c>
      <c r="O236" s="4">
        <f t="shared" ca="1" si="140"/>
        <v>0</v>
      </c>
      <c r="P236" s="4">
        <f t="shared" si="141"/>
        <v>0</v>
      </c>
      <c r="Q236" s="4">
        <f t="shared" si="142"/>
        <v>0</v>
      </c>
      <c r="R236" s="4">
        <f t="shared" si="143"/>
        <v>0</v>
      </c>
      <c r="S236" s="4">
        <f t="shared" si="144"/>
        <v>0</v>
      </c>
      <c r="T236" s="4">
        <f t="shared" si="145"/>
        <v>0</v>
      </c>
      <c r="U236" s="4">
        <f t="shared" si="146"/>
        <v>0</v>
      </c>
      <c r="V236" s="4">
        <f t="shared" si="147"/>
        <v>0</v>
      </c>
      <c r="W236" s="4">
        <f t="shared" si="148"/>
        <v>0</v>
      </c>
      <c r="X236" s="4">
        <f t="shared" si="149"/>
        <v>0</v>
      </c>
      <c r="Y236" s="4">
        <f t="shared" ca="1" si="150"/>
        <v>0</v>
      </c>
      <c r="Z236" s="4">
        <f t="shared" si="151"/>
        <v>0</v>
      </c>
      <c r="AA236" s="4">
        <f t="shared" si="152"/>
        <v>0</v>
      </c>
      <c r="AB236" s="4">
        <f t="shared" si="153"/>
        <v>0</v>
      </c>
      <c r="AC236" s="4">
        <f t="shared" si="154"/>
        <v>0</v>
      </c>
      <c r="AD236" s="4">
        <f t="shared" si="155"/>
        <v>0</v>
      </c>
      <c r="AE236" s="4">
        <f t="shared" si="156"/>
        <v>0</v>
      </c>
      <c r="AF236" s="4">
        <f t="shared" si="157"/>
        <v>0</v>
      </c>
      <c r="AG236" s="4">
        <f t="shared" si="158"/>
        <v>0</v>
      </c>
      <c r="AH236" s="4">
        <f t="shared" si="159"/>
        <v>0</v>
      </c>
      <c r="AI236" s="4">
        <f t="shared" ca="1" si="160"/>
        <v>0</v>
      </c>
      <c r="AJ236" s="4">
        <f t="shared" si="161"/>
        <v>0</v>
      </c>
      <c r="AK236" s="4">
        <f t="shared" si="162"/>
        <v>0</v>
      </c>
      <c r="AL236" s="4">
        <f t="shared" si="163"/>
        <v>0</v>
      </c>
      <c r="AM236" s="4">
        <f t="shared" si="164"/>
        <v>0</v>
      </c>
      <c r="AN236" s="4">
        <f t="shared" si="165"/>
        <v>0</v>
      </c>
      <c r="AQ236" s="1">
        <v>27</v>
      </c>
      <c r="AR236" s="2">
        <f>IF(OR(AR$208&gt;=$AQ236,AR$207=0),0,IF(SUM(AR$209:AR235)&lt;1,10%,0))</f>
        <v>0</v>
      </c>
      <c r="AS236" s="2">
        <f>IF(OR(AS$208&gt;=$AQ236,AS$207=0),0,IF(SUM(AS$209:AS235)&lt;1,10%,0))</f>
        <v>0</v>
      </c>
      <c r="AT236" s="2">
        <f>IF(OR(AT$208&gt;=$AQ236,AT$207=0),0,IF(SUM(AT$209:AT235)&lt;1,10%,0))</f>
        <v>0</v>
      </c>
      <c r="AU236" s="2">
        <f>IF(OR(AU$208&gt;=$AQ236,AU$207=0),0,IF(SUM(AU$209:AU235)&lt;1,10%,0))</f>
        <v>0</v>
      </c>
      <c r="AV236" s="2">
        <f>IF(OR(AV$208&gt;=$AQ236,AV$207=0),0,IF(SUM(AV$209:AV235)&lt;1,10%,0))</f>
        <v>0</v>
      </c>
      <c r="AW236" s="2">
        <f>IF(OR(AW$208&gt;=$AQ236,AW$207=0),0,IF(SUM(AW$209:AW235)&lt;1,10%,0))</f>
        <v>0</v>
      </c>
      <c r="AX236" s="2">
        <f>IF(OR(AX$208&gt;=$AQ236,AX$207=0),0,IF(SUM(AX$209:AX235)&lt;1,10%,0))</f>
        <v>0</v>
      </c>
      <c r="AY236" s="2">
        <f>IF(OR(AY$208&gt;=$AQ236,AY$207=0),0,IF(SUM(AY$209:AY235)&lt;1,10%,0))</f>
        <v>0</v>
      </c>
      <c r="AZ236" s="2">
        <f>IF(OR(AZ$208&gt;=$AQ236,AZ$207=0),0,IF(SUM(AZ$209:AZ235)&lt;1,10%,0))</f>
        <v>0</v>
      </c>
      <c r="BA236" s="2">
        <f ca="1">IF(OR(BA$208&gt;=$AQ236,BA$207=0),0,IF(SUM(BA$209:BA235)&lt;1,10%,0))</f>
        <v>0</v>
      </c>
      <c r="BB236" s="2">
        <f>IF(OR(BB$208&gt;=$AQ236,BB$207=0),0,IF(SUM(BB$209:BB235)&lt;1,10%,0))</f>
        <v>0</v>
      </c>
      <c r="BC236" s="2">
        <f>IF(OR(BC$208&gt;=$AQ236,BC$207=0),0,IF(SUM(BC$209:BC235)&lt;1,10%,0))</f>
        <v>0</v>
      </c>
      <c r="BD236" s="2">
        <f>IF(OR(BD$208&gt;=$AQ236,BD$207=0),0,IF(SUM(BD$209:BD235)&lt;1,10%,0))</f>
        <v>0</v>
      </c>
      <c r="BE236" s="2">
        <f>IF(OR(BE$208&gt;=$AQ236,BE$207=0),0,IF(SUM(BE$209:BE235)&lt;1,10%,0))</f>
        <v>0</v>
      </c>
      <c r="BF236" s="2">
        <f>IF(OR(BF$208&gt;=$AQ236,BF$207=0),0,IF(SUM(BF$209:BF235)&lt;1,10%,0))</f>
        <v>0</v>
      </c>
      <c r="BG236" s="2">
        <f>IF(OR(BG$208&gt;=$AQ236,BG$207=0),0,IF(SUM(BG$209:BG235)&lt;1,10%,0))</f>
        <v>0</v>
      </c>
      <c r="BH236" s="2">
        <f>IF(OR(BH$208&gt;=$AQ236,BH$207=0),0,IF(SUM(BH$209:BH235)&lt;1,10%,0))</f>
        <v>0</v>
      </c>
      <c r="BI236" s="2">
        <f>IF(OR(BI$208&gt;=$AQ236,BI$207=0),0,IF(SUM(BI$209:BI235)&lt;1,10%,0))</f>
        <v>0</v>
      </c>
      <c r="BJ236" s="2">
        <f>IF(OR(BJ$208&gt;=$AQ236,BJ$207=0),0,IF(SUM(BJ$209:BJ235)&lt;1,10%,0))</f>
        <v>0</v>
      </c>
      <c r="BK236" s="2">
        <f ca="1">IF(OR(BK$208&gt;=$AQ236,BK$207=0),0,IF(SUM(BK$209:BK235)&lt;1,10%,0))</f>
        <v>0</v>
      </c>
      <c r="BL236" s="2">
        <f>IF(OR(BL$208&gt;=$AQ236,BL$207=0),0,IF(SUM(BL$209:BL235)&lt;1,10%,0))</f>
        <v>0</v>
      </c>
      <c r="BM236" s="2">
        <f>IF(OR(BM$208&gt;=$AQ236,BM$207=0),0,IF(SUM(BM$209:BM235)&lt;1,10%,0))</f>
        <v>0</v>
      </c>
      <c r="BN236" s="2">
        <f>IF(OR(BN$208&gt;=$AQ236,BN$207=0),0,IF(SUM(BN$209:BN235)&lt;1,10%,0))</f>
        <v>0</v>
      </c>
      <c r="BO236" s="2">
        <f>IF(OR(BO$208&gt;=$AQ236,BO$207=0),0,IF(SUM(BO$209:BO235)&lt;1,10%,0))</f>
        <v>0</v>
      </c>
      <c r="BP236" s="2">
        <f>IF(OR(BP$208&gt;=$AQ236,BP$207=0),0,IF(SUM(BP$209:BP235)&lt;1,10%,0))</f>
        <v>0</v>
      </c>
      <c r="BQ236" s="2">
        <f>IF(OR(BQ$208&gt;=$AQ236,BQ$207=0),0,IF(SUM(BQ$209:BQ235)&lt;1,10%,0))</f>
        <v>0</v>
      </c>
      <c r="BR236" s="2">
        <f>IF(OR(BR$208&gt;=$AQ236,BR$207=0),0,IF(SUM(BR$209:BR235)&lt;1,10%,0))</f>
        <v>0</v>
      </c>
      <c r="BS236" s="2">
        <f>IF(OR(BS$208&gt;=$AQ236,BS$207=0),0,IF(SUM(BS$209:BS235)&lt;1,10%,0))</f>
        <v>0</v>
      </c>
      <c r="BT236" s="2">
        <f>IF(OR(BT$208&gt;=$AQ236,BT$207=0),0,IF(SUM(BT$209:BT235)&lt;1,10%,0))</f>
        <v>0</v>
      </c>
      <c r="BU236" s="2">
        <f ca="1">IF(OR(BU$208&gt;=$AQ236,BU$207=0),0,IF(SUM(BU$209:BU235)&lt;1,10%,0))</f>
        <v>0</v>
      </c>
      <c r="BV236" s="2">
        <f>IF(OR(BV$208&gt;=$AQ236,BV$207=0),0,IF(SUM(BV$209:BV235)&lt;1,10%,0))</f>
        <v>0</v>
      </c>
      <c r="BW236" s="2">
        <f>IF(OR(BW$208&gt;=$AQ236,BW$207=0),0,IF(SUM(BW$209:BW235)&lt;1,10%,0))</f>
        <v>0</v>
      </c>
      <c r="BX236" s="2">
        <f>IF(OR(BX$208&gt;=$AQ236,BX$207=0),0,IF(SUM(BX$209:BX235)&lt;1,10%,0))</f>
        <v>0</v>
      </c>
      <c r="BY236" s="2">
        <f>IF(OR(BY$208&gt;=$AQ236,BY$207=0),0,IF(SUM(BY$209:BY235)&lt;1,10%,0))</f>
        <v>0</v>
      </c>
      <c r="BZ236" s="2">
        <f>IF(OR(BZ$208&gt;=$AQ236,BZ$207=0),0,IF(SUM(BZ$209:BZ235)&lt;1,10%,0))</f>
        <v>0</v>
      </c>
    </row>
    <row r="237" spans="3:78" outlineLevel="1">
      <c r="C237" t="s">
        <v>566</v>
      </c>
      <c r="E237" s="133">
        <f t="shared" ca="1" si="130"/>
        <v>0</v>
      </c>
      <c r="F237" s="4">
        <f t="shared" si="131"/>
        <v>0</v>
      </c>
      <c r="G237" s="4">
        <f t="shared" si="132"/>
        <v>0</v>
      </c>
      <c r="H237" s="4">
        <f t="shared" si="133"/>
        <v>0</v>
      </c>
      <c r="I237" s="4">
        <f t="shared" si="134"/>
        <v>0</v>
      </c>
      <c r="J237" s="4">
        <f t="shared" si="135"/>
        <v>0</v>
      </c>
      <c r="K237" s="4">
        <f t="shared" si="136"/>
        <v>0</v>
      </c>
      <c r="L237" s="4">
        <f t="shared" si="137"/>
        <v>0</v>
      </c>
      <c r="M237" s="4">
        <f t="shared" si="138"/>
        <v>0</v>
      </c>
      <c r="N237" s="4">
        <f t="shared" si="139"/>
        <v>0</v>
      </c>
      <c r="O237" s="4">
        <f t="shared" ca="1" si="140"/>
        <v>0</v>
      </c>
      <c r="P237" s="4">
        <f t="shared" si="141"/>
        <v>0</v>
      </c>
      <c r="Q237" s="4">
        <f t="shared" si="142"/>
        <v>0</v>
      </c>
      <c r="R237" s="4">
        <f t="shared" si="143"/>
        <v>0</v>
      </c>
      <c r="S237" s="4">
        <f t="shared" si="144"/>
        <v>0</v>
      </c>
      <c r="T237" s="4">
        <f t="shared" si="145"/>
        <v>0</v>
      </c>
      <c r="U237" s="4">
        <f t="shared" si="146"/>
        <v>0</v>
      </c>
      <c r="V237" s="4">
        <f t="shared" si="147"/>
        <v>0</v>
      </c>
      <c r="W237" s="4">
        <f t="shared" si="148"/>
        <v>0</v>
      </c>
      <c r="X237" s="4">
        <f t="shared" si="149"/>
        <v>0</v>
      </c>
      <c r="Y237" s="4">
        <f t="shared" ca="1" si="150"/>
        <v>0</v>
      </c>
      <c r="Z237" s="4">
        <f t="shared" si="151"/>
        <v>0</v>
      </c>
      <c r="AA237" s="4">
        <f t="shared" si="152"/>
        <v>0</v>
      </c>
      <c r="AB237" s="4">
        <f t="shared" si="153"/>
        <v>0</v>
      </c>
      <c r="AC237" s="4">
        <f t="shared" si="154"/>
        <v>0</v>
      </c>
      <c r="AD237" s="4">
        <f t="shared" si="155"/>
        <v>0</v>
      </c>
      <c r="AE237" s="4">
        <f t="shared" si="156"/>
        <v>0</v>
      </c>
      <c r="AF237" s="4">
        <f t="shared" si="157"/>
        <v>0</v>
      </c>
      <c r="AG237" s="4">
        <f t="shared" si="158"/>
        <v>0</v>
      </c>
      <c r="AH237" s="4">
        <f t="shared" si="159"/>
        <v>0</v>
      </c>
      <c r="AI237" s="4">
        <f t="shared" ca="1" si="160"/>
        <v>0</v>
      </c>
      <c r="AJ237" s="4">
        <f t="shared" si="161"/>
        <v>0</v>
      </c>
      <c r="AK237" s="4">
        <f t="shared" si="162"/>
        <v>0</v>
      </c>
      <c r="AL237" s="4">
        <f t="shared" si="163"/>
        <v>0</v>
      </c>
      <c r="AM237" s="4">
        <f t="shared" si="164"/>
        <v>0</v>
      </c>
      <c r="AN237" s="4">
        <f t="shared" si="165"/>
        <v>0</v>
      </c>
      <c r="AQ237" s="1">
        <v>28</v>
      </c>
      <c r="AR237" s="2">
        <f>IF(OR(AR$208&gt;=$AQ237,AR$207=0),0,IF(SUM(AR$209:AR236)&lt;1,10%,0))</f>
        <v>0</v>
      </c>
      <c r="AS237" s="2">
        <f>IF(OR(AS$208&gt;=$AQ237,AS$207=0),0,IF(SUM(AS$209:AS236)&lt;1,10%,0))</f>
        <v>0</v>
      </c>
      <c r="AT237" s="2">
        <f>IF(OR(AT$208&gt;=$AQ237,AT$207=0),0,IF(SUM(AT$209:AT236)&lt;1,10%,0))</f>
        <v>0</v>
      </c>
      <c r="AU237" s="2">
        <f>IF(OR(AU$208&gt;=$AQ237,AU$207=0),0,IF(SUM(AU$209:AU236)&lt;1,10%,0))</f>
        <v>0</v>
      </c>
      <c r="AV237" s="2">
        <f>IF(OR(AV$208&gt;=$AQ237,AV$207=0),0,IF(SUM(AV$209:AV236)&lt;1,10%,0))</f>
        <v>0</v>
      </c>
      <c r="AW237" s="2">
        <f>IF(OR(AW$208&gt;=$AQ237,AW$207=0),0,IF(SUM(AW$209:AW236)&lt;1,10%,0))</f>
        <v>0</v>
      </c>
      <c r="AX237" s="2">
        <f>IF(OR(AX$208&gt;=$AQ237,AX$207=0),0,IF(SUM(AX$209:AX236)&lt;1,10%,0))</f>
        <v>0</v>
      </c>
      <c r="AY237" s="2">
        <f>IF(OR(AY$208&gt;=$AQ237,AY$207=0),0,IF(SUM(AY$209:AY236)&lt;1,10%,0))</f>
        <v>0</v>
      </c>
      <c r="AZ237" s="2">
        <f>IF(OR(AZ$208&gt;=$AQ237,AZ$207=0),0,IF(SUM(AZ$209:AZ236)&lt;1,10%,0))</f>
        <v>0</v>
      </c>
      <c r="BA237" s="2">
        <f ca="1">IF(OR(BA$208&gt;=$AQ237,BA$207=0),0,IF(SUM(BA$209:BA236)&lt;1,10%,0))</f>
        <v>0</v>
      </c>
      <c r="BB237" s="2">
        <f>IF(OR(BB$208&gt;=$AQ237,BB$207=0),0,IF(SUM(BB$209:BB236)&lt;1,10%,0))</f>
        <v>0</v>
      </c>
      <c r="BC237" s="2">
        <f>IF(OR(BC$208&gt;=$AQ237,BC$207=0),0,IF(SUM(BC$209:BC236)&lt;1,10%,0))</f>
        <v>0</v>
      </c>
      <c r="BD237" s="2">
        <f>IF(OR(BD$208&gt;=$AQ237,BD$207=0),0,IF(SUM(BD$209:BD236)&lt;1,10%,0))</f>
        <v>0</v>
      </c>
      <c r="BE237" s="2">
        <f>IF(OR(BE$208&gt;=$AQ237,BE$207=0),0,IF(SUM(BE$209:BE236)&lt;1,10%,0))</f>
        <v>0</v>
      </c>
      <c r="BF237" s="2">
        <f>IF(OR(BF$208&gt;=$AQ237,BF$207=0),0,IF(SUM(BF$209:BF236)&lt;1,10%,0))</f>
        <v>0</v>
      </c>
      <c r="BG237" s="2">
        <f>IF(OR(BG$208&gt;=$AQ237,BG$207=0),0,IF(SUM(BG$209:BG236)&lt;1,10%,0))</f>
        <v>0</v>
      </c>
      <c r="BH237" s="2">
        <f>IF(OR(BH$208&gt;=$AQ237,BH$207=0),0,IF(SUM(BH$209:BH236)&lt;1,10%,0))</f>
        <v>0</v>
      </c>
      <c r="BI237" s="2">
        <f>IF(OR(BI$208&gt;=$AQ237,BI$207=0),0,IF(SUM(BI$209:BI236)&lt;1,10%,0))</f>
        <v>0</v>
      </c>
      <c r="BJ237" s="2">
        <f>IF(OR(BJ$208&gt;=$AQ237,BJ$207=0),0,IF(SUM(BJ$209:BJ236)&lt;1,10%,0))</f>
        <v>0</v>
      </c>
      <c r="BK237" s="2">
        <f ca="1">IF(OR(BK$208&gt;=$AQ237,BK$207=0),0,IF(SUM(BK$209:BK236)&lt;1,10%,0))</f>
        <v>0</v>
      </c>
      <c r="BL237" s="2">
        <f>IF(OR(BL$208&gt;=$AQ237,BL$207=0),0,IF(SUM(BL$209:BL236)&lt;1,10%,0))</f>
        <v>0</v>
      </c>
      <c r="BM237" s="2">
        <f>IF(OR(BM$208&gt;=$AQ237,BM$207=0),0,IF(SUM(BM$209:BM236)&lt;1,10%,0))</f>
        <v>0</v>
      </c>
      <c r="BN237" s="2">
        <f>IF(OR(BN$208&gt;=$AQ237,BN$207=0),0,IF(SUM(BN$209:BN236)&lt;1,10%,0))</f>
        <v>0</v>
      </c>
      <c r="BO237" s="2">
        <f>IF(OR(BO$208&gt;=$AQ237,BO$207=0),0,IF(SUM(BO$209:BO236)&lt;1,10%,0))</f>
        <v>0</v>
      </c>
      <c r="BP237" s="2">
        <f>IF(OR(BP$208&gt;=$AQ237,BP$207=0),0,IF(SUM(BP$209:BP236)&lt;1,10%,0))</f>
        <v>0</v>
      </c>
      <c r="BQ237" s="2">
        <f>IF(OR(BQ$208&gt;=$AQ237,BQ$207=0),0,IF(SUM(BQ$209:BQ236)&lt;1,10%,0))</f>
        <v>0</v>
      </c>
      <c r="BR237" s="2">
        <f>IF(OR(BR$208&gt;=$AQ237,BR$207=0),0,IF(SUM(BR$209:BR236)&lt;1,10%,0))</f>
        <v>0</v>
      </c>
      <c r="BS237" s="2">
        <f>IF(OR(BS$208&gt;=$AQ237,BS$207=0),0,IF(SUM(BS$209:BS236)&lt;1,10%,0))</f>
        <v>0</v>
      </c>
      <c r="BT237" s="2">
        <f>IF(OR(BT$208&gt;=$AQ237,BT$207=0),0,IF(SUM(BT$209:BT236)&lt;1,10%,0))</f>
        <v>0</v>
      </c>
      <c r="BU237" s="2">
        <f ca="1">IF(OR(BU$208&gt;=$AQ237,BU$207=0),0,IF(SUM(BU$209:BU236)&lt;1,10%,0))</f>
        <v>0</v>
      </c>
      <c r="BV237" s="2">
        <f>IF(OR(BV$208&gt;=$AQ237,BV$207=0),0,IF(SUM(BV$209:BV236)&lt;1,10%,0))</f>
        <v>0</v>
      </c>
      <c r="BW237" s="2">
        <f>IF(OR(BW$208&gt;=$AQ237,BW$207=0),0,IF(SUM(BW$209:BW236)&lt;1,10%,0))</f>
        <v>0</v>
      </c>
      <c r="BX237" s="2">
        <f>IF(OR(BX$208&gt;=$AQ237,BX$207=0),0,IF(SUM(BX$209:BX236)&lt;1,10%,0))</f>
        <v>0</v>
      </c>
      <c r="BY237" s="2">
        <f>IF(OR(BY$208&gt;=$AQ237,BY$207=0),0,IF(SUM(BY$209:BY236)&lt;1,10%,0))</f>
        <v>0</v>
      </c>
      <c r="BZ237" s="2">
        <f>IF(OR(BZ$208&gt;=$AQ237,BZ$207=0),0,IF(SUM(BZ$209:BZ236)&lt;1,10%,0))</f>
        <v>0</v>
      </c>
    </row>
    <row r="238" spans="3:78" outlineLevel="1">
      <c r="C238" t="s">
        <v>567</v>
      </c>
      <c r="E238" s="133">
        <f t="shared" ca="1" si="130"/>
        <v>0</v>
      </c>
      <c r="F238" s="4">
        <f t="shared" si="131"/>
        <v>0</v>
      </c>
      <c r="G238" s="4">
        <f t="shared" si="132"/>
        <v>0</v>
      </c>
      <c r="H238" s="4">
        <f t="shared" si="133"/>
        <v>0</v>
      </c>
      <c r="I238" s="4">
        <f t="shared" si="134"/>
        <v>0</v>
      </c>
      <c r="J238" s="4">
        <f t="shared" si="135"/>
        <v>0</v>
      </c>
      <c r="K238" s="4">
        <f t="shared" si="136"/>
        <v>0</v>
      </c>
      <c r="L238" s="4">
        <f t="shared" si="137"/>
        <v>0</v>
      </c>
      <c r="M238" s="4">
        <f t="shared" si="138"/>
        <v>0</v>
      </c>
      <c r="N238" s="4">
        <f t="shared" si="139"/>
        <v>0</v>
      </c>
      <c r="O238" s="4">
        <f t="shared" ca="1" si="140"/>
        <v>0</v>
      </c>
      <c r="P238" s="4">
        <f t="shared" si="141"/>
        <v>0</v>
      </c>
      <c r="Q238" s="4">
        <f t="shared" si="142"/>
        <v>0</v>
      </c>
      <c r="R238" s="4">
        <f t="shared" si="143"/>
        <v>0</v>
      </c>
      <c r="S238" s="4">
        <f t="shared" si="144"/>
        <v>0</v>
      </c>
      <c r="T238" s="4">
        <f t="shared" si="145"/>
        <v>0</v>
      </c>
      <c r="U238" s="4">
        <f t="shared" si="146"/>
        <v>0</v>
      </c>
      <c r="V238" s="4">
        <f t="shared" si="147"/>
        <v>0</v>
      </c>
      <c r="W238" s="4">
        <f t="shared" si="148"/>
        <v>0</v>
      </c>
      <c r="X238" s="4">
        <f t="shared" si="149"/>
        <v>0</v>
      </c>
      <c r="Y238" s="4">
        <f t="shared" ca="1" si="150"/>
        <v>0</v>
      </c>
      <c r="Z238" s="4">
        <f t="shared" si="151"/>
        <v>0</v>
      </c>
      <c r="AA238" s="4">
        <f t="shared" si="152"/>
        <v>0</v>
      </c>
      <c r="AB238" s="4">
        <f t="shared" si="153"/>
        <v>0</v>
      </c>
      <c r="AC238" s="4">
        <f t="shared" si="154"/>
        <v>0</v>
      </c>
      <c r="AD238" s="4">
        <f t="shared" si="155"/>
        <v>0</v>
      </c>
      <c r="AE238" s="4">
        <f t="shared" si="156"/>
        <v>0</v>
      </c>
      <c r="AF238" s="4">
        <f t="shared" si="157"/>
        <v>0</v>
      </c>
      <c r="AG238" s="4">
        <f t="shared" si="158"/>
        <v>0</v>
      </c>
      <c r="AH238" s="4">
        <f t="shared" si="159"/>
        <v>0</v>
      </c>
      <c r="AI238" s="4">
        <f t="shared" ca="1" si="160"/>
        <v>0</v>
      </c>
      <c r="AJ238" s="4">
        <f t="shared" si="161"/>
        <v>0</v>
      </c>
      <c r="AK238" s="4">
        <f t="shared" si="162"/>
        <v>0</v>
      </c>
      <c r="AL238" s="4">
        <f t="shared" si="163"/>
        <v>0</v>
      </c>
      <c r="AM238" s="4">
        <f t="shared" si="164"/>
        <v>0</v>
      </c>
      <c r="AN238" s="4">
        <f t="shared" si="165"/>
        <v>0</v>
      </c>
      <c r="AQ238" s="1">
        <v>29</v>
      </c>
      <c r="AR238" s="2">
        <f>IF(OR(AR$208&gt;=$AQ238,AR$207=0),0,IF(SUM(AR$209:AR237)&lt;1,10%,0))</f>
        <v>0</v>
      </c>
      <c r="AS238" s="2">
        <f>IF(OR(AS$208&gt;=$AQ238,AS$207=0),0,IF(SUM(AS$209:AS237)&lt;1,10%,0))</f>
        <v>0</v>
      </c>
      <c r="AT238" s="2">
        <f>IF(OR(AT$208&gt;=$AQ238,AT$207=0),0,IF(SUM(AT$209:AT237)&lt;1,10%,0))</f>
        <v>0</v>
      </c>
      <c r="AU238" s="2">
        <f>IF(OR(AU$208&gt;=$AQ238,AU$207=0),0,IF(SUM(AU$209:AU237)&lt;1,10%,0))</f>
        <v>0</v>
      </c>
      <c r="AV238" s="2">
        <f>IF(OR(AV$208&gt;=$AQ238,AV$207=0),0,IF(SUM(AV$209:AV237)&lt;1,10%,0))</f>
        <v>0</v>
      </c>
      <c r="AW238" s="2">
        <f>IF(OR(AW$208&gt;=$AQ238,AW$207=0),0,IF(SUM(AW$209:AW237)&lt;1,10%,0))</f>
        <v>0</v>
      </c>
      <c r="AX238" s="2">
        <f>IF(OR(AX$208&gt;=$AQ238,AX$207=0),0,IF(SUM(AX$209:AX237)&lt;1,10%,0))</f>
        <v>0</v>
      </c>
      <c r="AY238" s="2">
        <f>IF(OR(AY$208&gt;=$AQ238,AY$207=0),0,IF(SUM(AY$209:AY237)&lt;1,10%,0))</f>
        <v>0</v>
      </c>
      <c r="AZ238" s="2">
        <f>IF(OR(AZ$208&gt;=$AQ238,AZ$207=0),0,IF(SUM(AZ$209:AZ237)&lt;1,10%,0))</f>
        <v>0</v>
      </c>
      <c r="BA238" s="2">
        <f ca="1">IF(OR(BA$208&gt;=$AQ238,BA$207=0),0,IF(SUM(BA$209:BA237)&lt;1,10%,0))</f>
        <v>0</v>
      </c>
      <c r="BB238" s="2">
        <f>IF(OR(BB$208&gt;=$AQ238,BB$207=0),0,IF(SUM(BB$209:BB237)&lt;1,10%,0))</f>
        <v>0</v>
      </c>
      <c r="BC238" s="2">
        <f>IF(OR(BC$208&gt;=$AQ238,BC$207=0),0,IF(SUM(BC$209:BC237)&lt;1,10%,0))</f>
        <v>0</v>
      </c>
      <c r="BD238" s="2">
        <f>IF(OR(BD$208&gt;=$AQ238,BD$207=0),0,IF(SUM(BD$209:BD237)&lt;1,10%,0))</f>
        <v>0</v>
      </c>
      <c r="BE238" s="2">
        <f>IF(OR(BE$208&gt;=$AQ238,BE$207=0),0,IF(SUM(BE$209:BE237)&lt;1,10%,0))</f>
        <v>0</v>
      </c>
      <c r="BF238" s="2">
        <f>IF(OR(BF$208&gt;=$AQ238,BF$207=0),0,IF(SUM(BF$209:BF237)&lt;1,10%,0))</f>
        <v>0</v>
      </c>
      <c r="BG238" s="2">
        <f>IF(OR(BG$208&gt;=$AQ238,BG$207=0),0,IF(SUM(BG$209:BG237)&lt;1,10%,0))</f>
        <v>0</v>
      </c>
      <c r="BH238" s="2">
        <f>IF(OR(BH$208&gt;=$AQ238,BH$207=0),0,IF(SUM(BH$209:BH237)&lt;1,10%,0))</f>
        <v>0</v>
      </c>
      <c r="BI238" s="2">
        <f>IF(OR(BI$208&gt;=$AQ238,BI$207=0),0,IF(SUM(BI$209:BI237)&lt;1,10%,0))</f>
        <v>0</v>
      </c>
      <c r="BJ238" s="2">
        <f>IF(OR(BJ$208&gt;=$AQ238,BJ$207=0),0,IF(SUM(BJ$209:BJ237)&lt;1,10%,0))</f>
        <v>0</v>
      </c>
      <c r="BK238" s="2">
        <f ca="1">IF(OR(BK$208&gt;=$AQ238,BK$207=0),0,IF(SUM(BK$209:BK237)&lt;1,10%,0))</f>
        <v>0</v>
      </c>
      <c r="BL238" s="2">
        <f>IF(OR(BL$208&gt;=$AQ238,BL$207=0),0,IF(SUM(BL$209:BL237)&lt;1,10%,0))</f>
        <v>0</v>
      </c>
      <c r="BM238" s="2">
        <f>IF(OR(BM$208&gt;=$AQ238,BM$207=0),0,IF(SUM(BM$209:BM237)&lt;1,10%,0))</f>
        <v>0</v>
      </c>
      <c r="BN238" s="2">
        <f>IF(OR(BN$208&gt;=$AQ238,BN$207=0),0,IF(SUM(BN$209:BN237)&lt;1,10%,0))</f>
        <v>0</v>
      </c>
      <c r="BO238" s="2">
        <f>IF(OR(BO$208&gt;=$AQ238,BO$207=0),0,IF(SUM(BO$209:BO237)&lt;1,10%,0))</f>
        <v>0</v>
      </c>
      <c r="BP238" s="2">
        <f>IF(OR(BP$208&gt;=$AQ238,BP$207=0),0,IF(SUM(BP$209:BP237)&lt;1,10%,0))</f>
        <v>0</v>
      </c>
      <c r="BQ238" s="2">
        <f>IF(OR(BQ$208&gt;=$AQ238,BQ$207=0),0,IF(SUM(BQ$209:BQ237)&lt;1,10%,0))</f>
        <v>0</v>
      </c>
      <c r="BR238" s="2">
        <f>IF(OR(BR$208&gt;=$AQ238,BR$207=0),0,IF(SUM(BR$209:BR237)&lt;1,10%,0))</f>
        <v>0</v>
      </c>
      <c r="BS238" s="2">
        <f>IF(OR(BS$208&gt;=$AQ238,BS$207=0),0,IF(SUM(BS$209:BS237)&lt;1,10%,0))</f>
        <v>0</v>
      </c>
      <c r="BT238" s="2">
        <f>IF(OR(BT$208&gt;=$AQ238,BT$207=0),0,IF(SUM(BT$209:BT237)&lt;1,10%,0))</f>
        <v>0</v>
      </c>
      <c r="BU238" s="2">
        <f ca="1">IF(OR(BU$208&gt;=$AQ238,BU$207=0),0,IF(SUM(BU$209:BU237)&lt;1,10%,0))</f>
        <v>0</v>
      </c>
      <c r="BV238" s="2">
        <f>IF(OR(BV$208&gt;=$AQ238,BV$207=0),0,IF(SUM(BV$209:BV237)&lt;1,10%,0))</f>
        <v>0</v>
      </c>
      <c r="BW238" s="2">
        <f>IF(OR(BW$208&gt;=$AQ238,BW$207=0),0,IF(SUM(BW$209:BW237)&lt;1,10%,0))</f>
        <v>0</v>
      </c>
      <c r="BX238" s="2">
        <f>IF(OR(BX$208&gt;=$AQ238,BX$207=0),0,IF(SUM(BX$209:BX237)&lt;1,10%,0))</f>
        <v>0</v>
      </c>
      <c r="BY238" s="2">
        <f>IF(OR(BY$208&gt;=$AQ238,BY$207=0),0,IF(SUM(BY$209:BY237)&lt;1,10%,0))</f>
        <v>0</v>
      </c>
      <c r="BZ238" s="2">
        <f>IF(OR(BZ$208&gt;=$AQ238,BZ$207=0),0,IF(SUM(BZ$209:BZ237)&lt;1,10%,0))</f>
        <v>0</v>
      </c>
    </row>
    <row r="239" spans="3:78" outlineLevel="1">
      <c r="C239" t="s">
        <v>568</v>
      </c>
      <c r="E239" s="133">
        <f t="shared" ca="1" si="130"/>
        <v>0</v>
      </c>
      <c r="F239" s="4">
        <f t="shared" si="131"/>
        <v>0</v>
      </c>
      <c r="G239" s="4">
        <f t="shared" si="132"/>
        <v>0</v>
      </c>
      <c r="H239" s="4">
        <f t="shared" si="133"/>
        <v>0</v>
      </c>
      <c r="I239" s="4">
        <f t="shared" si="134"/>
        <v>0</v>
      </c>
      <c r="J239" s="4">
        <f t="shared" si="135"/>
        <v>0</v>
      </c>
      <c r="K239" s="4">
        <f t="shared" si="136"/>
        <v>0</v>
      </c>
      <c r="L239" s="4">
        <f t="shared" si="137"/>
        <v>0</v>
      </c>
      <c r="M239" s="4">
        <f t="shared" si="138"/>
        <v>0</v>
      </c>
      <c r="N239" s="4">
        <f t="shared" si="139"/>
        <v>0</v>
      </c>
      <c r="O239" s="4">
        <f t="shared" ca="1" si="140"/>
        <v>0</v>
      </c>
      <c r="P239" s="4">
        <f t="shared" si="141"/>
        <v>0</v>
      </c>
      <c r="Q239" s="4">
        <f t="shared" si="142"/>
        <v>0</v>
      </c>
      <c r="R239" s="4">
        <f t="shared" si="143"/>
        <v>0</v>
      </c>
      <c r="S239" s="4">
        <f t="shared" si="144"/>
        <v>0</v>
      </c>
      <c r="T239" s="4">
        <f t="shared" si="145"/>
        <v>0</v>
      </c>
      <c r="U239" s="4">
        <f t="shared" si="146"/>
        <v>0</v>
      </c>
      <c r="V239" s="4">
        <f t="shared" si="147"/>
        <v>0</v>
      </c>
      <c r="W239" s="4">
        <f t="shared" si="148"/>
        <v>0</v>
      </c>
      <c r="X239" s="4">
        <f t="shared" si="149"/>
        <v>0</v>
      </c>
      <c r="Y239" s="4">
        <f t="shared" ca="1" si="150"/>
        <v>0</v>
      </c>
      <c r="Z239" s="4">
        <f t="shared" si="151"/>
        <v>0</v>
      </c>
      <c r="AA239" s="4">
        <f t="shared" si="152"/>
        <v>0</v>
      </c>
      <c r="AB239" s="4">
        <f t="shared" si="153"/>
        <v>0</v>
      </c>
      <c r="AC239" s="4">
        <f t="shared" si="154"/>
        <v>0</v>
      </c>
      <c r="AD239" s="4">
        <f t="shared" si="155"/>
        <v>0</v>
      </c>
      <c r="AE239" s="4">
        <f t="shared" si="156"/>
        <v>0</v>
      </c>
      <c r="AF239" s="4">
        <f t="shared" si="157"/>
        <v>0</v>
      </c>
      <c r="AG239" s="4">
        <f t="shared" si="158"/>
        <v>0</v>
      </c>
      <c r="AH239" s="4">
        <f t="shared" si="159"/>
        <v>0</v>
      </c>
      <c r="AI239" s="4">
        <f t="shared" ca="1" si="160"/>
        <v>0</v>
      </c>
      <c r="AJ239" s="4">
        <f t="shared" si="161"/>
        <v>0</v>
      </c>
      <c r="AK239" s="4">
        <f t="shared" si="162"/>
        <v>0</v>
      </c>
      <c r="AL239" s="4">
        <f t="shared" si="163"/>
        <v>0</v>
      </c>
      <c r="AM239" s="4">
        <f t="shared" si="164"/>
        <v>0</v>
      </c>
      <c r="AN239" s="4">
        <f t="shared" si="165"/>
        <v>0</v>
      </c>
      <c r="AQ239" s="1">
        <v>30</v>
      </c>
      <c r="AR239" s="2">
        <f>IF(OR(AR$208&gt;=$AQ239,AR$207=0),0,IF(SUM(AR$209:AR238)&lt;1,10%,0))</f>
        <v>0</v>
      </c>
      <c r="AS239" s="2">
        <f>IF(OR(AS$208&gt;=$AQ239,AS$207=0),0,IF(SUM(AS$209:AS238)&lt;1,10%,0))</f>
        <v>0</v>
      </c>
      <c r="AT239" s="2">
        <f>IF(OR(AT$208&gt;=$AQ239,AT$207=0),0,IF(SUM(AT$209:AT238)&lt;1,10%,0))</f>
        <v>0</v>
      </c>
      <c r="AU239" s="2">
        <f>IF(OR(AU$208&gt;=$AQ239,AU$207=0),0,IF(SUM(AU$209:AU238)&lt;1,10%,0))</f>
        <v>0</v>
      </c>
      <c r="AV239" s="2">
        <f>IF(OR(AV$208&gt;=$AQ239,AV$207=0),0,IF(SUM(AV$209:AV238)&lt;1,10%,0))</f>
        <v>0</v>
      </c>
      <c r="AW239" s="2">
        <f>IF(OR(AW$208&gt;=$AQ239,AW$207=0),0,IF(SUM(AW$209:AW238)&lt;1,10%,0))</f>
        <v>0</v>
      </c>
      <c r="AX239" s="2">
        <f>IF(OR(AX$208&gt;=$AQ239,AX$207=0),0,IF(SUM(AX$209:AX238)&lt;1,10%,0))</f>
        <v>0</v>
      </c>
      <c r="AY239" s="2">
        <f>IF(OR(AY$208&gt;=$AQ239,AY$207=0),0,IF(SUM(AY$209:AY238)&lt;1,10%,0))</f>
        <v>0</v>
      </c>
      <c r="AZ239" s="2">
        <f>IF(OR(AZ$208&gt;=$AQ239,AZ$207=0),0,IF(SUM(AZ$209:AZ238)&lt;1,10%,0))</f>
        <v>0</v>
      </c>
      <c r="BA239" s="2">
        <f ca="1">IF(OR(BA$208&gt;=$AQ239,BA$207=0),0,IF(SUM(BA$209:BA238)&lt;1,10%,0))</f>
        <v>0</v>
      </c>
      <c r="BB239" s="2">
        <f>IF(OR(BB$208&gt;=$AQ239,BB$207=0),0,IF(SUM(BB$209:BB238)&lt;1,10%,0))</f>
        <v>0</v>
      </c>
      <c r="BC239" s="2">
        <f>IF(OR(BC$208&gt;=$AQ239,BC$207=0),0,IF(SUM(BC$209:BC238)&lt;1,10%,0))</f>
        <v>0</v>
      </c>
      <c r="BD239" s="2">
        <f>IF(OR(BD$208&gt;=$AQ239,BD$207=0),0,IF(SUM(BD$209:BD238)&lt;1,10%,0))</f>
        <v>0</v>
      </c>
      <c r="BE239" s="2">
        <f>IF(OR(BE$208&gt;=$AQ239,BE$207=0),0,IF(SUM(BE$209:BE238)&lt;1,10%,0))</f>
        <v>0</v>
      </c>
      <c r="BF239" s="2">
        <f>IF(OR(BF$208&gt;=$AQ239,BF$207=0),0,IF(SUM(BF$209:BF238)&lt;1,10%,0))</f>
        <v>0</v>
      </c>
      <c r="BG239" s="2">
        <f>IF(OR(BG$208&gt;=$AQ239,BG$207=0),0,IF(SUM(BG$209:BG238)&lt;1,10%,0))</f>
        <v>0</v>
      </c>
      <c r="BH239" s="2">
        <f>IF(OR(BH$208&gt;=$AQ239,BH$207=0),0,IF(SUM(BH$209:BH238)&lt;1,10%,0))</f>
        <v>0</v>
      </c>
      <c r="BI239" s="2">
        <f>IF(OR(BI$208&gt;=$AQ239,BI$207=0),0,IF(SUM(BI$209:BI238)&lt;1,10%,0))</f>
        <v>0</v>
      </c>
      <c r="BJ239" s="2">
        <f>IF(OR(BJ$208&gt;=$AQ239,BJ$207=0),0,IF(SUM(BJ$209:BJ238)&lt;1,10%,0))</f>
        <v>0</v>
      </c>
      <c r="BK239" s="2">
        <f ca="1">IF(OR(BK$208&gt;=$AQ239,BK$207=0),0,IF(SUM(BK$209:BK238)&lt;1,10%,0))</f>
        <v>0</v>
      </c>
      <c r="BL239" s="2">
        <f>IF(OR(BL$208&gt;=$AQ239,BL$207=0),0,IF(SUM(BL$209:BL238)&lt;1,10%,0))</f>
        <v>0</v>
      </c>
      <c r="BM239" s="2">
        <f>IF(OR(BM$208&gt;=$AQ239,BM$207=0),0,IF(SUM(BM$209:BM238)&lt;1,10%,0))</f>
        <v>0</v>
      </c>
      <c r="BN239" s="2">
        <f>IF(OR(BN$208&gt;=$AQ239,BN$207=0),0,IF(SUM(BN$209:BN238)&lt;1,10%,0))</f>
        <v>0</v>
      </c>
      <c r="BO239" s="2">
        <f>IF(OR(BO$208&gt;=$AQ239,BO$207=0),0,IF(SUM(BO$209:BO238)&lt;1,10%,0))</f>
        <v>0</v>
      </c>
      <c r="BP239" s="2">
        <f>IF(OR(BP$208&gt;=$AQ239,BP$207=0),0,IF(SUM(BP$209:BP238)&lt;1,10%,0))</f>
        <v>0</v>
      </c>
      <c r="BQ239" s="2">
        <f>IF(OR(BQ$208&gt;=$AQ239,BQ$207=0),0,IF(SUM(BQ$209:BQ238)&lt;1,10%,0))</f>
        <v>0</v>
      </c>
      <c r="BR239" s="2">
        <f>IF(OR(BR$208&gt;=$AQ239,BR$207=0),0,IF(SUM(BR$209:BR238)&lt;1,10%,0))</f>
        <v>0</v>
      </c>
      <c r="BS239" s="2">
        <f>IF(OR(BS$208&gt;=$AQ239,BS$207=0),0,IF(SUM(BS$209:BS238)&lt;1,10%,0))</f>
        <v>0</v>
      </c>
      <c r="BT239" s="2">
        <f>IF(OR(BT$208&gt;=$AQ239,BT$207=0),0,IF(SUM(BT$209:BT238)&lt;1,10%,0))</f>
        <v>0</v>
      </c>
      <c r="BU239" s="2">
        <f ca="1">IF(OR(BU$208&gt;=$AQ239,BU$207=0),0,IF(SUM(BU$209:BU238)&lt;1,10%,0))</f>
        <v>0</v>
      </c>
      <c r="BV239" s="2">
        <f>IF(OR(BV$208&gt;=$AQ239,BV$207=0),0,IF(SUM(BV$209:BV238)&lt;1,10%,0))</f>
        <v>0</v>
      </c>
      <c r="BW239" s="2">
        <f>IF(OR(BW$208&gt;=$AQ239,BW$207=0),0,IF(SUM(BW$209:BW238)&lt;1,10%,0))</f>
        <v>0</v>
      </c>
      <c r="BX239" s="2">
        <f>IF(OR(BX$208&gt;=$AQ239,BX$207=0),0,IF(SUM(BX$209:BX238)&lt;1,10%,0))</f>
        <v>0</v>
      </c>
      <c r="BY239" s="2">
        <f>IF(OR(BY$208&gt;=$AQ239,BY$207=0),0,IF(SUM(BY$209:BY238)&lt;1,10%,0))</f>
        <v>0</v>
      </c>
      <c r="BZ239" s="2">
        <f>IF(OR(BZ$208&gt;=$AQ239,BZ$207=0),0,IF(SUM(BZ$209:BZ238)&lt;1,10%,0))</f>
        <v>0</v>
      </c>
    </row>
    <row r="240" spans="3:78" outlineLevel="1">
      <c r="C240" t="s">
        <v>569</v>
      </c>
      <c r="E240" s="133">
        <f t="shared" ca="1" si="130"/>
        <v>0</v>
      </c>
      <c r="F240" s="4">
        <f t="shared" si="131"/>
        <v>0</v>
      </c>
      <c r="G240" s="4">
        <f t="shared" si="132"/>
        <v>0</v>
      </c>
      <c r="H240" s="4">
        <f t="shared" si="133"/>
        <v>0</v>
      </c>
      <c r="I240" s="4">
        <f t="shared" si="134"/>
        <v>0</v>
      </c>
      <c r="J240" s="4">
        <f t="shared" si="135"/>
        <v>0</v>
      </c>
      <c r="K240" s="4">
        <f t="shared" si="136"/>
        <v>0</v>
      </c>
      <c r="L240" s="4">
        <f t="shared" si="137"/>
        <v>0</v>
      </c>
      <c r="M240" s="4">
        <f t="shared" si="138"/>
        <v>0</v>
      </c>
      <c r="N240" s="4">
        <f t="shared" si="139"/>
        <v>0</v>
      </c>
      <c r="O240" s="4">
        <f t="shared" ca="1" si="140"/>
        <v>0</v>
      </c>
      <c r="P240" s="4">
        <f t="shared" si="141"/>
        <v>0</v>
      </c>
      <c r="Q240" s="4">
        <f t="shared" si="142"/>
        <v>0</v>
      </c>
      <c r="R240" s="4">
        <f t="shared" si="143"/>
        <v>0</v>
      </c>
      <c r="S240" s="4">
        <f t="shared" si="144"/>
        <v>0</v>
      </c>
      <c r="T240" s="4">
        <f t="shared" si="145"/>
        <v>0</v>
      </c>
      <c r="U240" s="4">
        <f t="shared" si="146"/>
        <v>0</v>
      </c>
      <c r="V240" s="4">
        <f t="shared" si="147"/>
        <v>0</v>
      </c>
      <c r="W240" s="4">
        <f t="shared" si="148"/>
        <v>0</v>
      </c>
      <c r="X240" s="4">
        <f t="shared" si="149"/>
        <v>0</v>
      </c>
      <c r="Y240" s="4">
        <f t="shared" ca="1" si="150"/>
        <v>0</v>
      </c>
      <c r="Z240" s="4">
        <f t="shared" si="151"/>
        <v>0</v>
      </c>
      <c r="AA240" s="4">
        <f t="shared" si="152"/>
        <v>0</v>
      </c>
      <c r="AB240" s="4">
        <f t="shared" si="153"/>
        <v>0</v>
      </c>
      <c r="AC240" s="4">
        <f t="shared" si="154"/>
        <v>0</v>
      </c>
      <c r="AD240" s="4">
        <f t="shared" si="155"/>
        <v>0</v>
      </c>
      <c r="AE240" s="4">
        <f t="shared" si="156"/>
        <v>0</v>
      </c>
      <c r="AF240" s="4">
        <f t="shared" si="157"/>
        <v>0</v>
      </c>
      <c r="AG240" s="4">
        <f t="shared" si="158"/>
        <v>0</v>
      </c>
      <c r="AH240" s="4">
        <f t="shared" si="159"/>
        <v>0</v>
      </c>
      <c r="AI240" s="4">
        <f t="shared" ca="1" si="160"/>
        <v>0</v>
      </c>
      <c r="AJ240" s="4">
        <f t="shared" si="161"/>
        <v>0</v>
      </c>
      <c r="AK240" s="4">
        <f t="shared" si="162"/>
        <v>0</v>
      </c>
      <c r="AL240" s="4">
        <f t="shared" si="163"/>
        <v>0</v>
      </c>
      <c r="AM240" s="4">
        <f t="shared" si="164"/>
        <v>0</v>
      </c>
      <c r="AN240" s="4">
        <f t="shared" si="165"/>
        <v>0</v>
      </c>
      <c r="AQ240" s="1">
        <v>31</v>
      </c>
      <c r="AR240" s="2">
        <f>IF(OR(AR$208&gt;=$AQ240,AR$207=0),0,IF(SUM(AR$209:AR239)&lt;1,10%,0))</f>
        <v>0</v>
      </c>
      <c r="AS240" s="2">
        <f>IF(OR(AS$208&gt;=$AQ240,AS$207=0),0,IF(SUM(AS$209:AS239)&lt;1,10%,0))</f>
        <v>0</v>
      </c>
      <c r="AT240" s="2">
        <f>IF(OR(AT$208&gt;=$AQ240,AT$207=0),0,IF(SUM(AT$209:AT239)&lt;1,10%,0))</f>
        <v>0</v>
      </c>
      <c r="AU240" s="2">
        <f>IF(OR(AU$208&gt;=$AQ240,AU$207=0),0,IF(SUM(AU$209:AU239)&lt;1,10%,0))</f>
        <v>0</v>
      </c>
      <c r="AV240" s="2">
        <f>IF(OR(AV$208&gt;=$AQ240,AV$207=0),0,IF(SUM(AV$209:AV239)&lt;1,10%,0))</f>
        <v>0</v>
      </c>
      <c r="AW240" s="2">
        <f>IF(OR(AW$208&gt;=$AQ240,AW$207=0),0,IF(SUM(AW$209:AW239)&lt;1,10%,0))</f>
        <v>0</v>
      </c>
      <c r="AX240" s="2">
        <f>IF(OR(AX$208&gt;=$AQ240,AX$207=0),0,IF(SUM(AX$209:AX239)&lt;1,10%,0))</f>
        <v>0</v>
      </c>
      <c r="AY240" s="2">
        <f>IF(OR(AY$208&gt;=$AQ240,AY$207=0),0,IF(SUM(AY$209:AY239)&lt;1,10%,0))</f>
        <v>0</v>
      </c>
      <c r="AZ240" s="2">
        <f>IF(OR(AZ$208&gt;=$AQ240,AZ$207=0),0,IF(SUM(AZ$209:AZ239)&lt;1,10%,0))</f>
        <v>0</v>
      </c>
      <c r="BA240" s="2">
        <f ca="1">IF(OR(BA$208&gt;=$AQ240,BA$207=0),0,IF(SUM(BA$209:BA239)&lt;1,10%,0))</f>
        <v>0</v>
      </c>
      <c r="BB240" s="2">
        <f>IF(OR(BB$208&gt;=$AQ240,BB$207=0),0,IF(SUM(BB$209:BB239)&lt;1,10%,0))</f>
        <v>0</v>
      </c>
      <c r="BC240" s="2">
        <f>IF(OR(BC$208&gt;=$AQ240,BC$207=0),0,IF(SUM(BC$209:BC239)&lt;1,10%,0))</f>
        <v>0</v>
      </c>
      <c r="BD240" s="2">
        <f>IF(OR(BD$208&gt;=$AQ240,BD$207=0),0,IF(SUM(BD$209:BD239)&lt;1,10%,0))</f>
        <v>0</v>
      </c>
      <c r="BE240" s="2">
        <f>IF(OR(BE$208&gt;=$AQ240,BE$207=0),0,IF(SUM(BE$209:BE239)&lt;1,10%,0))</f>
        <v>0</v>
      </c>
      <c r="BF240" s="2">
        <f>IF(OR(BF$208&gt;=$AQ240,BF$207=0),0,IF(SUM(BF$209:BF239)&lt;1,10%,0))</f>
        <v>0</v>
      </c>
      <c r="BG240" s="2">
        <f>IF(OR(BG$208&gt;=$AQ240,BG$207=0),0,IF(SUM(BG$209:BG239)&lt;1,10%,0))</f>
        <v>0</v>
      </c>
      <c r="BH240" s="2">
        <f>IF(OR(BH$208&gt;=$AQ240,BH$207=0),0,IF(SUM(BH$209:BH239)&lt;1,10%,0))</f>
        <v>0</v>
      </c>
      <c r="BI240" s="2">
        <f>IF(OR(BI$208&gt;=$AQ240,BI$207=0),0,IF(SUM(BI$209:BI239)&lt;1,10%,0))</f>
        <v>0</v>
      </c>
      <c r="BJ240" s="2">
        <f>IF(OR(BJ$208&gt;=$AQ240,BJ$207=0),0,IF(SUM(BJ$209:BJ239)&lt;1,10%,0))</f>
        <v>0</v>
      </c>
      <c r="BK240" s="2">
        <f ca="1">IF(OR(BK$208&gt;=$AQ240,BK$207=0),0,IF(SUM(BK$209:BK239)&lt;1,10%,0))</f>
        <v>0</v>
      </c>
      <c r="BL240" s="2">
        <f>IF(OR(BL$208&gt;=$AQ240,BL$207=0),0,IF(SUM(BL$209:BL239)&lt;1,10%,0))</f>
        <v>0</v>
      </c>
      <c r="BM240" s="2">
        <f>IF(OR(BM$208&gt;=$AQ240,BM$207=0),0,IF(SUM(BM$209:BM239)&lt;1,10%,0))</f>
        <v>0</v>
      </c>
      <c r="BN240" s="2">
        <f>IF(OR(BN$208&gt;=$AQ240,BN$207=0),0,IF(SUM(BN$209:BN239)&lt;1,10%,0))</f>
        <v>0</v>
      </c>
      <c r="BO240" s="2">
        <f>IF(OR(BO$208&gt;=$AQ240,BO$207=0),0,IF(SUM(BO$209:BO239)&lt;1,10%,0))</f>
        <v>0</v>
      </c>
      <c r="BP240" s="2">
        <f>IF(OR(BP$208&gt;=$AQ240,BP$207=0),0,IF(SUM(BP$209:BP239)&lt;1,10%,0))</f>
        <v>0</v>
      </c>
      <c r="BQ240" s="2">
        <f>IF(OR(BQ$208&gt;=$AQ240,BQ$207=0),0,IF(SUM(BQ$209:BQ239)&lt;1,10%,0))</f>
        <v>0</v>
      </c>
      <c r="BR240" s="2">
        <f>IF(OR(BR$208&gt;=$AQ240,BR$207=0),0,IF(SUM(BR$209:BR239)&lt;1,10%,0))</f>
        <v>0</v>
      </c>
      <c r="BS240" s="2">
        <f>IF(OR(BS$208&gt;=$AQ240,BS$207=0),0,IF(SUM(BS$209:BS239)&lt;1,10%,0))</f>
        <v>0</v>
      </c>
      <c r="BT240" s="2">
        <f>IF(OR(BT$208&gt;=$AQ240,BT$207=0),0,IF(SUM(BT$209:BT239)&lt;1,10%,0))</f>
        <v>0</v>
      </c>
      <c r="BU240" s="2">
        <f ca="1">IF(OR(BU$208&gt;=$AQ240,BU$207=0),0,IF(SUM(BU$209:BU239)&lt;1,10%,0))</f>
        <v>0</v>
      </c>
      <c r="BV240" s="2">
        <f>IF(OR(BV$208&gt;=$AQ240,BV$207=0),0,IF(SUM(BV$209:BV239)&lt;1,10%,0))</f>
        <v>0</v>
      </c>
      <c r="BW240" s="2">
        <f>IF(OR(BW$208&gt;=$AQ240,BW$207=0),0,IF(SUM(BW$209:BW239)&lt;1,10%,0))</f>
        <v>0</v>
      </c>
      <c r="BX240" s="2">
        <f>IF(OR(BX$208&gt;=$AQ240,BX$207=0),0,IF(SUM(BX$209:BX239)&lt;1,10%,0))</f>
        <v>0</v>
      </c>
      <c r="BY240" s="2">
        <f>IF(OR(BY$208&gt;=$AQ240,BY$207=0),0,IF(SUM(BY$209:BY239)&lt;1,10%,0))</f>
        <v>0</v>
      </c>
      <c r="BZ240" s="2">
        <f>IF(OR(BZ$208&gt;=$AQ240,BZ$207=0),0,IF(SUM(BZ$209:BZ239)&lt;1,10%,0))</f>
        <v>0</v>
      </c>
    </row>
    <row r="241" spans="3:78" outlineLevel="1">
      <c r="C241" t="s">
        <v>570</v>
      </c>
      <c r="E241" s="133">
        <f t="shared" ca="1" si="130"/>
        <v>0</v>
      </c>
      <c r="F241" s="4">
        <f t="shared" si="131"/>
        <v>0</v>
      </c>
      <c r="G241" s="4">
        <f t="shared" si="132"/>
        <v>0</v>
      </c>
      <c r="H241" s="4">
        <f t="shared" si="133"/>
        <v>0</v>
      </c>
      <c r="I241" s="4">
        <f t="shared" si="134"/>
        <v>0</v>
      </c>
      <c r="J241" s="4">
        <f t="shared" si="135"/>
        <v>0</v>
      </c>
      <c r="K241" s="4">
        <f t="shared" si="136"/>
        <v>0</v>
      </c>
      <c r="L241" s="4">
        <f t="shared" si="137"/>
        <v>0</v>
      </c>
      <c r="M241" s="4">
        <f t="shared" si="138"/>
        <v>0</v>
      </c>
      <c r="N241" s="4">
        <f t="shared" si="139"/>
        <v>0</v>
      </c>
      <c r="O241" s="4">
        <f t="shared" ca="1" si="140"/>
        <v>0</v>
      </c>
      <c r="P241" s="4">
        <f t="shared" si="141"/>
        <v>0</v>
      </c>
      <c r="Q241" s="4">
        <f t="shared" si="142"/>
        <v>0</v>
      </c>
      <c r="R241" s="4">
        <f t="shared" si="143"/>
        <v>0</v>
      </c>
      <c r="S241" s="4">
        <f t="shared" si="144"/>
        <v>0</v>
      </c>
      <c r="T241" s="4">
        <f t="shared" si="145"/>
        <v>0</v>
      </c>
      <c r="U241" s="4">
        <f t="shared" si="146"/>
        <v>0</v>
      </c>
      <c r="V241" s="4">
        <f t="shared" si="147"/>
        <v>0</v>
      </c>
      <c r="W241" s="4">
        <f t="shared" si="148"/>
        <v>0</v>
      </c>
      <c r="X241" s="4">
        <f t="shared" si="149"/>
        <v>0</v>
      </c>
      <c r="Y241" s="4">
        <f t="shared" ca="1" si="150"/>
        <v>0</v>
      </c>
      <c r="Z241" s="4">
        <f t="shared" si="151"/>
        <v>0</v>
      </c>
      <c r="AA241" s="4">
        <f t="shared" si="152"/>
        <v>0</v>
      </c>
      <c r="AB241" s="4">
        <f t="shared" si="153"/>
        <v>0</v>
      </c>
      <c r="AC241" s="4">
        <f t="shared" si="154"/>
        <v>0</v>
      </c>
      <c r="AD241" s="4">
        <f t="shared" si="155"/>
        <v>0</v>
      </c>
      <c r="AE241" s="4">
        <f t="shared" si="156"/>
        <v>0</v>
      </c>
      <c r="AF241" s="4">
        <f t="shared" si="157"/>
        <v>0</v>
      </c>
      <c r="AG241" s="4">
        <f t="shared" si="158"/>
        <v>0</v>
      </c>
      <c r="AH241" s="4">
        <f t="shared" si="159"/>
        <v>0</v>
      </c>
      <c r="AI241" s="4">
        <f t="shared" ca="1" si="160"/>
        <v>0</v>
      </c>
      <c r="AJ241" s="4">
        <f t="shared" si="161"/>
        <v>0</v>
      </c>
      <c r="AK241" s="4">
        <f t="shared" si="162"/>
        <v>0</v>
      </c>
      <c r="AL241" s="4">
        <f t="shared" si="163"/>
        <v>0</v>
      </c>
      <c r="AM241" s="4">
        <f t="shared" si="164"/>
        <v>0</v>
      </c>
      <c r="AN241" s="4">
        <f t="shared" si="165"/>
        <v>0</v>
      </c>
      <c r="AQ241" s="1">
        <v>32</v>
      </c>
      <c r="AR241" s="2">
        <f>IF(OR(AR$208&gt;=$AQ241,AR$207=0),0,IF(SUM(AR$209:AR240)&lt;1,10%,0))</f>
        <v>0</v>
      </c>
      <c r="AS241" s="2">
        <f>IF(OR(AS$208&gt;=$AQ241,AS$207=0),0,IF(SUM(AS$209:AS240)&lt;1,10%,0))</f>
        <v>0</v>
      </c>
      <c r="AT241" s="2">
        <f>IF(OR(AT$208&gt;=$AQ241,AT$207=0),0,IF(SUM(AT$209:AT240)&lt;1,10%,0))</f>
        <v>0</v>
      </c>
      <c r="AU241" s="2">
        <f>IF(OR(AU$208&gt;=$AQ241,AU$207=0),0,IF(SUM(AU$209:AU240)&lt;1,10%,0))</f>
        <v>0</v>
      </c>
      <c r="AV241" s="2">
        <f>IF(OR(AV$208&gt;=$AQ241,AV$207=0),0,IF(SUM(AV$209:AV240)&lt;1,10%,0))</f>
        <v>0</v>
      </c>
      <c r="AW241" s="2">
        <f>IF(OR(AW$208&gt;=$AQ241,AW$207=0),0,IF(SUM(AW$209:AW240)&lt;1,10%,0))</f>
        <v>0</v>
      </c>
      <c r="AX241" s="2">
        <f>IF(OR(AX$208&gt;=$AQ241,AX$207=0),0,IF(SUM(AX$209:AX240)&lt;1,10%,0))</f>
        <v>0</v>
      </c>
      <c r="AY241" s="2">
        <f>IF(OR(AY$208&gt;=$AQ241,AY$207=0),0,IF(SUM(AY$209:AY240)&lt;1,10%,0))</f>
        <v>0</v>
      </c>
      <c r="AZ241" s="2">
        <f>IF(OR(AZ$208&gt;=$AQ241,AZ$207=0),0,IF(SUM(AZ$209:AZ240)&lt;1,10%,0))</f>
        <v>0</v>
      </c>
      <c r="BA241" s="2">
        <f ca="1">IF(OR(BA$208&gt;=$AQ241,BA$207=0),0,IF(SUM(BA$209:BA240)&lt;1,10%,0))</f>
        <v>0</v>
      </c>
      <c r="BB241" s="2">
        <f>IF(OR(BB$208&gt;=$AQ241,BB$207=0),0,IF(SUM(BB$209:BB240)&lt;1,10%,0))</f>
        <v>0</v>
      </c>
      <c r="BC241" s="2">
        <f>IF(OR(BC$208&gt;=$AQ241,BC$207=0),0,IF(SUM(BC$209:BC240)&lt;1,10%,0))</f>
        <v>0</v>
      </c>
      <c r="BD241" s="2">
        <f>IF(OR(BD$208&gt;=$AQ241,BD$207=0),0,IF(SUM(BD$209:BD240)&lt;1,10%,0))</f>
        <v>0</v>
      </c>
      <c r="BE241" s="2">
        <f>IF(OR(BE$208&gt;=$AQ241,BE$207=0),0,IF(SUM(BE$209:BE240)&lt;1,10%,0))</f>
        <v>0</v>
      </c>
      <c r="BF241" s="2">
        <f>IF(OR(BF$208&gt;=$AQ241,BF$207=0),0,IF(SUM(BF$209:BF240)&lt;1,10%,0))</f>
        <v>0</v>
      </c>
      <c r="BG241" s="2">
        <f>IF(OR(BG$208&gt;=$AQ241,BG$207=0),0,IF(SUM(BG$209:BG240)&lt;1,10%,0))</f>
        <v>0</v>
      </c>
      <c r="BH241" s="2">
        <f>IF(OR(BH$208&gt;=$AQ241,BH$207=0),0,IF(SUM(BH$209:BH240)&lt;1,10%,0))</f>
        <v>0</v>
      </c>
      <c r="BI241" s="2">
        <f>IF(OR(BI$208&gt;=$AQ241,BI$207=0),0,IF(SUM(BI$209:BI240)&lt;1,10%,0))</f>
        <v>0</v>
      </c>
      <c r="BJ241" s="2">
        <f>IF(OR(BJ$208&gt;=$AQ241,BJ$207=0),0,IF(SUM(BJ$209:BJ240)&lt;1,10%,0))</f>
        <v>0</v>
      </c>
      <c r="BK241" s="2">
        <f ca="1">IF(OR(BK$208&gt;=$AQ241,BK$207=0),0,IF(SUM(BK$209:BK240)&lt;1,10%,0))</f>
        <v>0</v>
      </c>
      <c r="BL241" s="2">
        <f>IF(OR(BL$208&gt;=$AQ241,BL$207=0),0,IF(SUM(BL$209:BL240)&lt;1,10%,0))</f>
        <v>0</v>
      </c>
      <c r="BM241" s="2">
        <f>IF(OR(BM$208&gt;=$AQ241,BM$207=0),0,IF(SUM(BM$209:BM240)&lt;1,10%,0))</f>
        <v>0</v>
      </c>
      <c r="BN241" s="2">
        <f>IF(OR(BN$208&gt;=$AQ241,BN$207=0),0,IF(SUM(BN$209:BN240)&lt;1,10%,0))</f>
        <v>0</v>
      </c>
      <c r="BO241" s="2">
        <f>IF(OR(BO$208&gt;=$AQ241,BO$207=0),0,IF(SUM(BO$209:BO240)&lt;1,10%,0))</f>
        <v>0</v>
      </c>
      <c r="BP241" s="2">
        <f>IF(OR(BP$208&gt;=$AQ241,BP$207=0),0,IF(SUM(BP$209:BP240)&lt;1,10%,0))</f>
        <v>0</v>
      </c>
      <c r="BQ241" s="2">
        <f>IF(OR(BQ$208&gt;=$AQ241,BQ$207=0),0,IF(SUM(BQ$209:BQ240)&lt;1,10%,0))</f>
        <v>0</v>
      </c>
      <c r="BR241" s="2">
        <f>IF(OR(BR$208&gt;=$AQ241,BR$207=0),0,IF(SUM(BR$209:BR240)&lt;1,10%,0))</f>
        <v>0</v>
      </c>
      <c r="BS241" s="2">
        <f>IF(OR(BS$208&gt;=$AQ241,BS$207=0),0,IF(SUM(BS$209:BS240)&lt;1,10%,0))</f>
        <v>0</v>
      </c>
      <c r="BT241" s="2">
        <f>IF(OR(BT$208&gt;=$AQ241,BT$207=0),0,IF(SUM(BT$209:BT240)&lt;1,10%,0))</f>
        <v>0</v>
      </c>
      <c r="BU241" s="2">
        <f ca="1">IF(OR(BU$208&gt;=$AQ241,BU$207=0),0,IF(SUM(BU$209:BU240)&lt;1,10%,0))</f>
        <v>0</v>
      </c>
      <c r="BV241" s="2">
        <f>IF(OR(BV$208&gt;=$AQ241,BV$207=0),0,IF(SUM(BV$209:BV240)&lt;1,10%,0))</f>
        <v>0</v>
      </c>
      <c r="BW241" s="2">
        <f>IF(OR(BW$208&gt;=$AQ241,BW$207=0),0,IF(SUM(BW$209:BW240)&lt;1,10%,0))</f>
        <v>0</v>
      </c>
      <c r="BX241" s="2">
        <f>IF(OR(BX$208&gt;=$AQ241,BX$207=0),0,IF(SUM(BX$209:BX240)&lt;1,10%,0))</f>
        <v>0</v>
      </c>
      <c r="BY241" s="2">
        <f>IF(OR(BY$208&gt;=$AQ241,BY$207=0),0,IF(SUM(BY$209:BY240)&lt;1,10%,0))</f>
        <v>0</v>
      </c>
      <c r="BZ241" s="2">
        <f>IF(OR(BZ$208&gt;=$AQ241,BZ$207=0),0,IF(SUM(BZ$209:BZ240)&lt;1,10%,0))</f>
        <v>0</v>
      </c>
    </row>
    <row r="242" spans="3:78" outlineLevel="1">
      <c r="C242" t="s">
        <v>571</v>
      </c>
      <c r="E242" s="133">
        <f t="shared" ca="1" si="130"/>
        <v>0</v>
      </c>
      <c r="F242" s="4">
        <f t="shared" si="131"/>
        <v>0</v>
      </c>
      <c r="G242" s="4">
        <f t="shared" si="132"/>
        <v>0</v>
      </c>
      <c r="H242" s="4">
        <f t="shared" si="133"/>
        <v>0</v>
      </c>
      <c r="I242" s="4">
        <f t="shared" si="134"/>
        <v>0</v>
      </c>
      <c r="J242" s="4">
        <f t="shared" si="135"/>
        <v>0</v>
      </c>
      <c r="K242" s="4">
        <f t="shared" si="136"/>
        <v>0</v>
      </c>
      <c r="L242" s="4">
        <f t="shared" si="137"/>
        <v>0</v>
      </c>
      <c r="M242" s="4">
        <f t="shared" si="138"/>
        <v>0</v>
      </c>
      <c r="N242" s="4">
        <f t="shared" si="139"/>
        <v>0</v>
      </c>
      <c r="O242" s="4">
        <f t="shared" ca="1" si="140"/>
        <v>0</v>
      </c>
      <c r="P242" s="4">
        <f t="shared" si="141"/>
        <v>0</v>
      </c>
      <c r="Q242" s="4">
        <f t="shared" si="142"/>
        <v>0</v>
      </c>
      <c r="R242" s="4">
        <f t="shared" si="143"/>
        <v>0</v>
      </c>
      <c r="S242" s="4">
        <f t="shared" si="144"/>
        <v>0</v>
      </c>
      <c r="T242" s="4">
        <f t="shared" si="145"/>
        <v>0</v>
      </c>
      <c r="U242" s="4">
        <f t="shared" si="146"/>
        <v>0</v>
      </c>
      <c r="V242" s="4">
        <f t="shared" si="147"/>
        <v>0</v>
      </c>
      <c r="W242" s="4">
        <f t="shared" si="148"/>
        <v>0</v>
      </c>
      <c r="X242" s="4">
        <f t="shared" si="149"/>
        <v>0</v>
      </c>
      <c r="Y242" s="4">
        <f t="shared" ca="1" si="150"/>
        <v>0</v>
      </c>
      <c r="Z242" s="4">
        <f t="shared" si="151"/>
        <v>0</v>
      </c>
      <c r="AA242" s="4">
        <f t="shared" si="152"/>
        <v>0</v>
      </c>
      <c r="AB242" s="4">
        <f t="shared" si="153"/>
        <v>0</v>
      </c>
      <c r="AC242" s="4">
        <f t="shared" si="154"/>
        <v>0</v>
      </c>
      <c r="AD242" s="4">
        <f t="shared" si="155"/>
        <v>0</v>
      </c>
      <c r="AE242" s="4">
        <f t="shared" si="156"/>
        <v>0</v>
      </c>
      <c r="AF242" s="4">
        <f t="shared" si="157"/>
        <v>0</v>
      </c>
      <c r="AG242" s="4">
        <f t="shared" si="158"/>
        <v>0</v>
      </c>
      <c r="AH242" s="4">
        <f t="shared" si="159"/>
        <v>0</v>
      </c>
      <c r="AI242" s="4">
        <f t="shared" ca="1" si="160"/>
        <v>0</v>
      </c>
      <c r="AJ242" s="4">
        <f t="shared" si="161"/>
        <v>0</v>
      </c>
      <c r="AK242" s="4">
        <f t="shared" si="162"/>
        <v>0</v>
      </c>
      <c r="AL242" s="4">
        <f t="shared" si="163"/>
        <v>0</v>
      </c>
      <c r="AM242" s="4">
        <f t="shared" si="164"/>
        <v>0</v>
      </c>
      <c r="AN242" s="4">
        <f t="shared" si="165"/>
        <v>0</v>
      </c>
      <c r="AQ242" s="1">
        <v>33</v>
      </c>
      <c r="AR242" s="2">
        <f>IF(OR(AR$208&gt;=$AQ242,AR$207=0),0,IF(SUM(AR$209:AR241)&lt;1,10%,0))</f>
        <v>0</v>
      </c>
      <c r="AS242" s="2">
        <f>IF(OR(AS$208&gt;=$AQ242,AS$207=0),0,IF(SUM(AS$209:AS241)&lt;1,10%,0))</f>
        <v>0</v>
      </c>
      <c r="AT242" s="2">
        <f>IF(OR(AT$208&gt;=$AQ242,AT$207=0),0,IF(SUM(AT$209:AT241)&lt;1,10%,0))</f>
        <v>0</v>
      </c>
      <c r="AU242" s="2">
        <f>IF(OR(AU$208&gt;=$AQ242,AU$207=0),0,IF(SUM(AU$209:AU241)&lt;1,10%,0))</f>
        <v>0</v>
      </c>
      <c r="AV242" s="2">
        <f>IF(OR(AV$208&gt;=$AQ242,AV$207=0),0,IF(SUM(AV$209:AV241)&lt;1,10%,0))</f>
        <v>0</v>
      </c>
      <c r="AW242" s="2">
        <f>IF(OR(AW$208&gt;=$AQ242,AW$207=0),0,IF(SUM(AW$209:AW241)&lt;1,10%,0))</f>
        <v>0</v>
      </c>
      <c r="AX242" s="2">
        <f>IF(OR(AX$208&gt;=$AQ242,AX$207=0),0,IF(SUM(AX$209:AX241)&lt;1,10%,0))</f>
        <v>0</v>
      </c>
      <c r="AY242" s="2">
        <f>IF(OR(AY$208&gt;=$AQ242,AY$207=0),0,IF(SUM(AY$209:AY241)&lt;1,10%,0))</f>
        <v>0</v>
      </c>
      <c r="AZ242" s="2">
        <f>IF(OR(AZ$208&gt;=$AQ242,AZ$207=0),0,IF(SUM(AZ$209:AZ241)&lt;1,10%,0))</f>
        <v>0</v>
      </c>
      <c r="BA242" s="2">
        <f ca="1">IF(OR(BA$208&gt;=$AQ242,BA$207=0),0,IF(SUM(BA$209:BA241)&lt;1,10%,0))</f>
        <v>0</v>
      </c>
      <c r="BB242" s="2">
        <f>IF(OR(BB$208&gt;=$AQ242,BB$207=0),0,IF(SUM(BB$209:BB241)&lt;1,10%,0))</f>
        <v>0</v>
      </c>
      <c r="BC242" s="2">
        <f>IF(OR(BC$208&gt;=$AQ242,BC$207=0),0,IF(SUM(BC$209:BC241)&lt;1,10%,0))</f>
        <v>0</v>
      </c>
      <c r="BD242" s="2">
        <f>IF(OR(BD$208&gt;=$AQ242,BD$207=0),0,IF(SUM(BD$209:BD241)&lt;1,10%,0))</f>
        <v>0</v>
      </c>
      <c r="BE242" s="2">
        <f>IF(OR(BE$208&gt;=$AQ242,BE$207=0),0,IF(SUM(BE$209:BE241)&lt;1,10%,0))</f>
        <v>0</v>
      </c>
      <c r="BF242" s="2">
        <f>IF(OR(BF$208&gt;=$AQ242,BF$207=0),0,IF(SUM(BF$209:BF241)&lt;1,10%,0))</f>
        <v>0</v>
      </c>
      <c r="BG242" s="2">
        <f>IF(OR(BG$208&gt;=$AQ242,BG$207=0),0,IF(SUM(BG$209:BG241)&lt;1,10%,0))</f>
        <v>0</v>
      </c>
      <c r="BH242" s="2">
        <f>IF(OR(BH$208&gt;=$AQ242,BH$207=0),0,IF(SUM(BH$209:BH241)&lt;1,10%,0))</f>
        <v>0</v>
      </c>
      <c r="BI242" s="2">
        <f>IF(OR(BI$208&gt;=$AQ242,BI$207=0),0,IF(SUM(BI$209:BI241)&lt;1,10%,0))</f>
        <v>0</v>
      </c>
      <c r="BJ242" s="2">
        <f>IF(OR(BJ$208&gt;=$AQ242,BJ$207=0),0,IF(SUM(BJ$209:BJ241)&lt;1,10%,0))</f>
        <v>0</v>
      </c>
      <c r="BK242" s="2">
        <f ca="1">IF(OR(BK$208&gt;=$AQ242,BK$207=0),0,IF(SUM(BK$209:BK241)&lt;1,10%,0))</f>
        <v>0</v>
      </c>
      <c r="BL242" s="2">
        <f>IF(OR(BL$208&gt;=$AQ242,BL$207=0),0,IF(SUM(BL$209:BL241)&lt;1,10%,0))</f>
        <v>0</v>
      </c>
      <c r="BM242" s="2">
        <f>IF(OR(BM$208&gt;=$AQ242,BM$207=0),0,IF(SUM(BM$209:BM241)&lt;1,10%,0))</f>
        <v>0</v>
      </c>
      <c r="BN242" s="2">
        <f>IF(OR(BN$208&gt;=$AQ242,BN$207=0),0,IF(SUM(BN$209:BN241)&lt;1,10%,0))</f>
        <v>0</v>
      </c>
      <c r="BO242" s="2">
        <f>IF(OR(BO$208&gt;=$AQ242,BO$207=0),0,IF(SUM(BO$209:BO241)&lt;1,10%,0))</f>
        <v>0</v>
      </c>
      <c r="BP242" s="2">
        <f>IF(OR(BP$208&gt;=$AQ242,BP$207=0),0,IF(SUM(BP$209:BP241)&lt;1,10%,0))</f>
        <v>0</v>
      </c>
      <c r="BQ242" s="2">
        <f>IF(OR(BQ$208&gt;=$AQ242,BQ$207=0),0,IF(SUM(BQ$209:BQ241)&lt;1,10%,0))</f>
        <v>0</v>
      </c>
      <c r="BR242" s="2">
        <f>IF(OR(BR$208&gt;=$AQ242,BR$207=0),0,IF(SUM(BR$209:BR241)&lt;1,10%,0))</f>
        <v>0</v>
      </c>
      <c r="BS242" s="2">
        <f>IF(OR(BS$208&gt;=$AQ242,BS$207=0),0,IF(SUM(BS$209:BS241)&lt;1,10%,0))</f>
        <v>0</v>
      </c>
      <c r="BT242" s="2">
        <f>IF(OR(BT$208&gt;=$AQ242,BT$207=0),0,IF(SUM(BT$209:BT241)&lt;1,10%,0))</f>
        <v>0</v>
      </c>
      <c r="BU242" s="2">
        <f ca="1">IF(OR(BU$208&gt;=$AQ242,BU$207=0),0,IF(SUM(BU$209:BU241)&lt;1,10%,0))</f>
        <v>0</v>
      </c>
      <c r="BV242" s="2">
        <f>IF(OR(BV$208&gt;=$AQ242,BV$207=0),0,IF(SUM(BV$209:BV241)&lt;1,10%,0))</f>
        <v>0</v>
      </c>
      <c r="BW242" s="2">
        <f>IF(OR(BW$208&gt;=$AQ242,BW$207=0),0,IF(SUM(BW$209:BW241)&lt;1,10%,0))</f>
        <v>0</v>
      </c>
      <c r="BX242" s="2">
        <f>IF(OR(BX$208&gt;=$AQ242,BX$207=0),0,IF(SUM(BX$209:BX241)&lt;1,10%,0))</f>
        <v>0</v>
      </c>
      <c r="BY242" s="2">
        <f>IF(OR(BY$208&gt;=$AQ242,BY$207=0),0,IF(SUM(BY$209:BY241)&lt;1,10%,0))</f>
        <v>0</v>
      </c>
      <c r="BZ242" s="2">
        <f>IF(OR(BZ$208&gt;=$AQ242,BZ$207=0),0,IF(SUM(BZ$209:BZ241)&lt;1,10%,0))</f>
        <v>0</v>
      </c>
    </row>
    <row r="243" spans="3:78" outlineLevel="1">
      <c r="C243" t="s">
        <v>572</v>
      </c>
      <c r="E243" s="133">
        <f t="shared" ca="1" si="130"/>
        <v>0</v>
      </c>
      <c r="F243" s="4">
        <f t="shared" si="131"/>
        <v>0</v>
      </c>
      <c r="G243" s="4">
        <f t="shared" si="132"/>
        <v>0</v>
      </c>
      <c r="H243" s="4">
        <f t="shared" si="133"/>
        <v>0</v>
      </c>
      <c r="I243" s="4">
        <f t="shared" si="134"/>
        <v>0</v>
      </c>
      <c r="J243" s="4">
        <f t="shared" si="135"/>
        <v>0</v>
      </c>
      <c r="K243" s="4">
        <f t="shared" si="136"/>
        <v>0</v>
      </c>
      <c r="L243" s="4">
        <f t="shared" si="137"/>
        <v>0</v>
      </c>
      <c r="M243" s="4">
        <f t="shared" si="138"/>
        <v>0</v>
      </c>
      <c r="N243" s="4">
        <f t="shared" si="139"/>
        <v>0</v>
      </c>
      <c r="O243" s="4">
        <f t="shared" ca="1" si="140"/>
        <v>0</v>
      </c>
      <c r="P243" s="4">
        <f t="shared" si="141"/>
        <v>0</v>
      </c>
      <c r="Q243" s="4">
        <f t="shared" si="142"/>
        <v>0</v>
      </c>
      <c r="R243" s="4">
        <f t="shared" si="143"/>
        <v>0</v>
      </c>
      <c r="S243" s="4">
        <f t="shared" si="144"/>
        <v>0</v>
      </c>
      <c r="T243" s="4">
        <f t="shared" si="145"/>
        <v>0</v>
      </c>
      <c r="U243" s="4">
        <f t="shared" si="146"/>
        <v>0</v>
      </c>
      <c r="V243" s="4">
        <f t="shared" si="147"/>
        <v>0</v>
      </c>
      <c r="W243" s="4">
        <f t="shared" si="148"/>
        <v>0</v>
      </c>
      <c r="X243" s="4">
        <f t="shared" si="149"/>
        <v>0</v>
      </c>
      <c r="Y243" s="4">
        <f t="shared" ca="1" si="150"/>
        <v>0</v>
      </c>
      <c r="Z243" s="4">
        <f t="shared" si="151"/>
        <v>0</v>
      </c>
      <c r="AA243" s="4">
        <f t="shared" si="152"/>
        <v>0</v>
      </c>
      <c r="AB243" s="4">
        <f t="shared" si="153"/>
        <v>0</v>
      </c>
      <c r="AC243" s="4">
        <f t="shared" si="154"/>
        <v>0</v>
      </c>
      <c r="AD243" s="4">
        <f t="shared" si="155"/>
        <v>0</v>
      </c>
      <c r="AE243" s="4">
        <f t="shared" si="156"/>
        <v>0</v>
      </c>
      <c r="AF243" s="4">
        <f t="shared" si="157"/>
        <v>0</v>
      </c>
      <c r="AG243" s="4">
        <f t="shared" si="158"/>
        <v>0</v>
      </c>
      <c r="AH243" s="4">
        <f t="shared" si="159"/>
        <v>0</v>
      </c>
      <c r="AI243" s="4">
        <f t="shared" ca="1" si="160"/>
        <v>0</v>
      </c>
      <c r="AJ243" s="4">
        <f t="shared" si="161"/>
        <v>0</v>
      </c>
      <c r="AK243" s="4">
        <f t="shared" si="162"/>
        <v>0</v>
      </c>
      <c r="AL243" s="4">
        <f t="shared" si="163"/>
        <v>0</v>
      </c>
      <c r="AM243" s="4">
        <f t="shared" si="164"/>
        <v>0</v>
      </c>
      <c r="AN243" s="4">
        <f t="shared" si="165"/>
        <v>0</v>
      </c>
      <c r="AQ243" s="1">
        <v>34</v>
      </c>
      <c r="AR243" s="2">
        <f>IF(OR(AR$208&gt;=$AQ243,AR$207=0),0,IF(SUM(AR$209:AR242)&lt;1,10%,0))</f>
        <v>0</v>
      </c>
      <c r="AS243" s="2">
        <f>IF(OR(AS$208&gt;=$AQ243,AS$207=0),0,IF(SUM(AS$209:AS242)&lt;1,10%,0))</f>
        <v>0</v>
      </c>
      <c r="AT243" s="2">
        <f>IF(OR(AT$208&gt;=$AQ243,AT$207=0),0,IF(SUM(AT$209:AT242)&lt;1,10%,0))</f>
        <v>0</v>
      </c>
      <c r="AU243" s="2">
        <f>IF(OR(AU$208&gt;=$AQ243,AU$207=0),0,IF(SUM(AU$209:AU242)&lt;1,10%,0))</f>
        <v>0</v>
      </c>
      <c r="AV243" s="2">
        <f>IF(OR(AV$208&gt;=$AQ243,AV$207=0),0,IF(SUM(AV$209:AV242)&lt;1,10%,0))</f>
        <v>0</v>
      </c>
      <c r="AW243" s="2">
        <f>IF(OR(AW$208&gt;=$AQ243,AW$207=0),0,IF(SUM(AW$209:AW242)&lt;1,10%,0))</f>
        <v>0</v>
      </c>
      <c r="AX243" s="2">
        <f>IF(OR(AX$208&gt;=$AQ243,AX$207=0),0,IF(SUM(AX$209:AX242)&lt;1,10%,0))</f>
        <v>0</v>
      </c>
      <c r="AY243" s="2">
        <f>IF(OR(AY$208&gt;=$AQ243,AY$207=0),0,IF(SUM(AY$209:AY242)&lt;1,10%,0))</f>
        <v>0</v>
      </c>
      <c r="AZ243" s="2">
        <f>IF(OR(AZ$208&gt;=$AQ243,AZ$207=0),0,IF(SUM(AZ$209:AZ242)&lt;1,10%,0))</f>
        <v>0</v>
      </c>
      <c r="BA243" s="2">
        <f ca="1">IF(OR(BA$208&gt;=$AQ243,BA$207=0),0,IF(SUM(BA$209:BA242)&lt;1,10%,0))</f>
        <v>0</v>
      </c>
      <c r="BB243" s="2">
        <f>IF(OR(BB$208&gt;=$AQ243,BB$207=0),0,IF(SUM(BB$209:BB242)&lt;1,10%,0))</f>
        <v>0</v>
      </c>
      <c r="BC243" s="2">
        <f>IF(OR(BC$208&gt;=$AQ243,BC$207=0),0,IF(SUM(BC$209:BC242)&lt;1,10%,0))</f>
        <v>0</v>
      </c>
      <c r="BD243" s="2">
        <f>IF(OR(BD$208&gt;=$AQ243,BD$207=0),0,IF(SUM(BD$209:BD242)&lt;1,10%,0))</f>
        <v>0</v>
      </c>
      <c r="BE243" s="2">
        <f>IF(OR(BE$208&gt;=$AQ243,BE$207=0),0,IF(SUM(BE$209:BE242)&lt;1,10%,0))</f>
        <v>0</v>
      </c>
      <c r="BF243" s="2">
        <f>IF(OR(BF$208&gt;=$AQ243,BF$207=0),0,IF(SUM(BF$209:BF242)&lt;1,10%,0))</f>
        <v>0</v>
      </c>
      <c r="BG243" s="2">
        <f>IF(OR(BG$208&gt;=$AQ243,BG$207=0),0,IF(SUM(BG$209:BG242)&lt;1,10%,0))</f>
        <v>0</v>
      </c>
      <c r="BH243" s="2">
        <f>IF(OR(BH$208&gt;=$AQ243,BH$207=0),0,IF(SUM(BH$209:BH242)&lt;1,10%,0))</f>
        <v>0</v>
      </c>
      <c r="BI243" s="2">
        <f>IF(OR(BI$208&gt;=$AQ243,BI$207=0),0,IF(SUM(BI$209:BI242)&lt;1,10%,0))</f>
        <v>0</v>
      </c>
      <c r="BJ243" s="2">
        <f>IF(OR(BJ$208&gt;=$AQ243,BJ$207=0),0,IF(SUM(BJ$209:BJ242)&lt;1,10%,0))</f>
        <v>0</v>
      </c>
      <c r="BK243" s="2">
        <f ca="1">IF(OR(BK$208&gt;=$AQ243,BK$207=0),0,IF(SUM(BK$209:BK242)&lt;1,10%,0))</f>
        <v>0</v>
      </c>
      <c r="BL243" s="2">
        <f>IF(OR(BL$208&gt;=$AQ243,BL$207=0),0,IF(SUM(BL$209:BL242)&lt;1,10%,0))</f>
        <v>0</v>
      </c>
      <c r="BM243" s="2">
        <f>IF(OR(BM$208&gt;=$AQ243,BM$207=0),0,IF(SUM(BM$209:BM242)&lt;1,10%,0))</f>
        <v>0</v>
      </c>
      <c r="BN243" s="2">
        <f>IF(OR(BN$208&gt;=$AQ243,BN$207=0),0,IF(SUM(BN$209:BN242)&lt;1,10%,0))</f>
        <v>0</v>
      </c>
      <c r="BO243" s="2">
        <f>IF(OR(BO$208&gt;=$AQ243,BO$207=0),0,IF(SUM(BO$209:BO242)&lt;1,10%,0))</f>
        <v>0</v>
      </c>
      <c r="BP243" s="2">
        <f>IF(OR(BP$208&gt;=$AQ243,BP$207=0),0,IF(SUM(BP$209:BP242)&lt;1,10%,0))</f>
        <v>0</v>
      </c>
      <c r="BQ243" s="2">
        <f>IF(OR(BQ$208&gt;=$AQ243,BQ$207=0),0,IF(SUM(BQ$209:BQ242)&lt;1,10%,0))</f>
        <v>0</v>
      </c>
      <c r="BR243" s="2">
        <f>IF(OR(BR$208&gt;=$AQ243,BR$207=0),0,IF(SUM(BR$209:BR242)&lt;1,10%,0))</f>
        <v>0</v>
      </c>
      <c r="BS243" s="2">
        <f>IF(OR(BS$208&gt;=$AQ243,BS$207=0),0,IF(SUM(BS$209:BS242)&lt;1,10%,0))</f>
        <v>0</v>
      </c>
      <c r="BT243" s="2">
        <f>IF(OR(BT$208&gt;=$AQ243,BT$207=0),0,IF(SUM(BT$209:BT242)&lt;1,10%,0))</f>
        <v>0</v>
      </c>
      <c r="BU243" s="2">
        <f ca="1">IF(OR(BU$208&gt;=$AQ243,BU$207=0),0,IF(SUM(BU$209:BU242)&lt;1,10%,0))</f>
        <v>0</v>
      </c>
      <c r="BV243" s="2">
        <f>IF(OR(BV$208&gt;=$AQ243,BV$207=0),0,IF(SUM(BV$209:BV242)&lt;1,10%,0))</f>
        <v>0</v>
      </c>
      <c r="BW243" s="2">
        <f>IF(OR(BW$208&gt;=$AQ243,BW$207=0),0,IF(SUM(BW$209:BW242)&lt;1,10%,0))</f>
        <v>0</v>
      </c>
      <c r="BX243" s="2">
        <f>IF(OR(BX$208&gt;=$AQ243,BX$207=0),0,IF(SUM(BX$209:BX242)&lt;1,10%,0))</f>
        <v>0</v>
      </c>
      <c r="BY243" s="2">
        <f>IF(OR(BY$208&gt;=$AQ243,BY$207=0),0,IF(SUM(BY$209:BY242)&lt;1,10%,0))</f>
        <v>0</v>
      </c>
      <c r="BZ243" s="2">
        <f>IF(OR(BZ$208&gt;=$AQ243,BZ$207=0),0,IF(SUM(BZ$209:BZ242)&lt;1,10%,0))</f>
        <v>0</v>
      </c>
    </row>
    <row r="244" spans="3:78" outlineLevel="1">
      <c r="C244" t="s">
        <v>573</v>
      </c>
      <c r="E244" s="133">
        <f t="shared" ca="1" si="130"/>
        <v>0</v>
      </c>
      <c r="F244" s="4">
        <f t="shared" si="131"/>
        <v>0</v>
      </c>
      <c r="G244" s="4">
        <f t="shared" si="132"/>
        <v>0</v>
      </c>
      <c r="H244" s="4">
        <f t="shared" si="133"/>
        <v>0</v>
      </c>
      <c r="I244" s="4">
        <f t="shared" si="134"/>
        <v>0</v>
      </c>
      <c r="J244" s="4">
        <f t="shared" si="135"/>
        <v>0</v>
      </c>
      <c r="K244" s="4">
        <f t="shared" si="136"/>
        <v>0</v>
      </c>
      <c r="L244" s="4">
        <f t="shared" si="137"/>
        <v>0</v>
      </c>
      <c r="M244" s="4">
        <f t="shared" si="138"/>
        <v>0</v>
      </c>
      <c r="N244" s="4">
        <f t="shared" si="139"/>
        <v>0</v>
      </c>
      <c r="O244" s="4">
        <f t="shared" ca="1" si="140"/>
        <v>0</v>
      </c>
      <c r="P244" s="4">
        <f t="shared" si="141"/>
        <v>0</v>
      </c>
      <c r="Q244" s="4">
        <f t="shared" si="142"/>
        <v>0</v>
      </c>
      <c r="R244" s="4">
        <f t="shared" si="143"/>
        <v>0</v>
      </c>
      <c r="S244" s="4">
        <f t="shared" si="144"/>
        <v>0</v>
      </c>
      <c r="T244" s="4">
        <f t="shared" si="145"/>
        <v>0</v>
      </c>
      <c r="U244" s="4">
        <f t="shared" si="146"/>
        <v>0</v>
      </c>
      <c r="V244" s="4">
        <f t="shared" si="147"/>
        <v>0</v>
      </c>
      <c r="W244" s="4">
        <f t="shared" si="148"/>
        <v>0</v>
      </c>
      <c r="X244" s="4">
        <f t="shared" si="149"/>
        <v>0</v>
      </c>
      <c r="Y244" s="4">
        <f t="shared" ca="1" si="150"/>
        <v>0</v>
      </c>
      <c r="Z244" s="4">
        <f t="shared" si="151"/>
        <v>0</v>
      </c>
      <c r="AA244" s="4">
        <f t="shared" si="152"/>
        <v>0</v>
      </c>
      <c r="AB244" s="4">
        <f t="shared" si="153"/>
        <v>0</v>
      </c>
      <c r="AC244" s="4">
        <f t="shared" si="154"/>
        <v>0</v>
      </c>
      <c r="AD244" s="4">
        <f t="shared" si="155"/>
        <v>0</v>
      </c>
      <c r="AE244" s="4">
        <f t="shared" si="156"/>
        <v>0</v>
      </c>
      <c r="AF244" s="4">
        <f t="shared" si="157"/>
        <v>0</v>
      </c>
      <c r="AG244" s="4">
        <f t="shared" si="158"/>
        <v>0</v>
      </c>
      <c r="AH244" s="4">
        <f t="shared" si="159"/>
        <v>0</v>
      </c>
      <c r="AI244" s="4">
        <f t="shared" ca="1" si="160"/>
        <v>0</v>
      </c>
      <c r="AJ244" s="4">
        <f t="shared" si="161"/>
        <v>0</v>
      </c>
      <c r="AK244" s="4">
        <f t="shared" si="162"/>
        <v>0</v>
      </c>
      <c r="AL244" s="4">
        <f t="shared" si="163"/>
        <v>0</v>
      </c>
      <c r="AM244" s="4">
        <f t="shared" si="164"/>
        <v>0</v>
      </c>
      <c r="AN244" s="4">
        <f t="shared" si="165"/>
        <v>0</v>
      </c>
      <c r="AQ244" s="1">
        <v>35</v>
      </c>
      <c r="AR244" s="2">
        <f>IF(OR(AR$208&gt;=$AQ244,AR$207=0),0,IF(SUM(AR$209:AR243)&lt;1,10%,0))</f>
        <v>0</v>
      </c>
      <c r="AS244" s="2">
        <f>IF(OR(AS$208&gt;=$AQ244,AS$207=0),0,IF(SUM(AS$209:AS243)&lt;1,10%,0))</f>
        <v>0</v>
      </c>
      <c r="AT244" s="2">
        <f>IF(OR(AT$208&gt;=$AQ244,AT$207=0),0,IF(SUM(AT$209:AT243)&lt;1,10%,0))</f>
        <v>0</v>
      </c>
      <c r="AU244" s="2">
        <f>IF(OR(AU$208&gt;=$AQ244,AU$207=0),0,IF(SUM(AU$209:AU243)&lt;1,10%,0))</f>
        <v>0</v>
      </c>
      <c r="AV244" s="2">
        <f>IF(OR(AV$208&gt;=$AQ244,AV$207=0),0,IF(SUM(AV$209:AV243)&lt;1,10%,0))</f>
        <v>0</v>
      </c>
      <c r="AW244" s="2">
        <f>IF(OR(AW$208&gt;=$AQ244,AW$207=0),0,IF(SUM(AW$209:AW243)&lt;1,10%,0))</f>
        <v>0</v>
      </c>
      <c r="AX244" s="2">
        <f>IF(OR(AX$208&gt;=$AQ244,AX$207=0),0,IF(SUM(AX$209:AX243)&lt;1,10%,0))</f>
        <v>0</v>
      </c>
      <c r="AY244" s="2">
        <f>IF(OR(AY$208&gt;=$AQ244,AY$207=0),0,IF(SUM(AY$209:AY243)&lt;1,10%,0))</f>
        <v>0</v>
      </c>
      <c r="AZ244" s="2">
        <f>IF(OR(AZ$208&gt;=$AQ244,AZ$207=0),0,IF(SUM(AZ$209:AZ243)&lt;1,10%,0))</f>
        <v>0</v>
      </c>
      <c r="BA244" s="2">
        <f ca="1">IF(OR(BA$208&gt;=$AQ244,BA$207=0),0,IF(SUM(BA$209:BA243)&lt;1,10%,0))</f>
        <v>0</v>
      </c>
      <c r="BB244" s="2">
        <f>IF(OR(BB$208&gt;=$AQ244,BB$207=0),0,IF(SUM(BB$209:BB243)&lt;1,10%,0))</f>
        <v>0</v>
      </c>
      <c r="BC244" s="2">
        <f>IF(OR(BC$208&gt;=$AQ244,BC$207=0),0,IF(SUM(BC$209:BC243)&lt;1,10%,0))</f>
        <v>0</v>
      </c>
      <c r="BD244" s="2">
        <f>IF(OR(BD$208&gt;=$AQ244,BD$207=0),0,IF(SUM(BD$209:BD243)&lt;1,10%,0))</f>
        <v>0</v>
      </c>
      <c r="BE244" s="2">
        <f>IF(OR(BE$208&gt;=$AQ244,BE$207=0),0,IF(SUM(BE$209:BE243)&lt;1,10%,0))</f>
        <v>0</v>
      </c>
      <c r="BF244" s="2">
        <f>IF(OR(BF$208&gt;=$AQ244,BF$207=0),0,IF(SUM(BF$209:BF243)&lt;1,10%,0))</f>
        <v>0</v>
      </c>
      <c r="BG244" s="2">
        <f>IF(OR(BG$208&gt;=$AQ244,BG$207=0),0,IF(SUM(BG$209:BG243)&lt;1,10%,0))</f>
        <v>0</v>
      </c>
      <c r="BH244" s="2">
        <f>IF(OR(BH$208&gt;=$AQ244,BH$207=0),0,IF(SUM(BH$209:BH243)&lt;1,10%,0))</f>
        <v>0</v>
      </c>
      <c r="BI244" s="2">
        <f>IF(OR(BI$208&gt;=$AQ244,BI$207=0),0,IF(SUM(BI$209:BI243)&lt;1,10%,0))</f>
        <v>0</v>
      </c>
      <c r="BJ244" s="2">
        <f>IF(OR(BJ$208&gt;=$AQ244,BJ$207=0),0,IF(SUM(BJ$209:BJ243)&lt;1,10%,0))</f>
        <v>0</v>
      </c>
      <c r="BK244" s="2">
        <f ca="1">IF(OR(BK$208&gt;=$AQ244,BK$207=0),0,IF(SUM(BK$209:BK243)&lt;1,10%,0))</f>
        <v>0</v>
      </c>
      <c r="BL244" s="2">
        <f>IF(OR(BL$208&gt;=$AQ244,BL$207=0),0,IF(SUM(BL$209:BL243)&lt;1,10%,0))</f>
        <v>0</v>
      </c>
      <c r="BM244" s="2">
        <f>IF(OR(BM$208&gt;=$AQ244,BM$207=0),0,IF(SUM(BM$209:BM243)&lt;1,10%,0))</f>
        <v>0</v>
      </c>
      <c r="BN244" s="2">
        <f>IF(OR(BN$208&gt;=$AQ244,BN$207=0),0,IF(SUM(BN$209:BN243)&lt;1,10%,0))</f>
        <v>0</v>
      </c>
      <c r="BO244" s="2">
        <f>IF(OR(BO$208&gt;=$AQ244,BO$207=0),0,IF(SUM(BO$209:BO243)&lt;1,10%,0))</f>
        <v>0</v>
      </c>
      <c r="BP244" s="2">
        <f>IF(OR(BP$208&gt;=$AQ244,BP$207=0),0,IF(SUM(BP$209:BP243)&lt;1,10%,0))</f>
        <v>0</v>
      </c>
      <c r="BQ244" s="2">
        <f>IF(OR(BQ$208&gt;=$AQ244,BQ$207=0),0,IF(SUM(BQ$209:BQ243)&lt;1,10%,0))</f>
        <v>0</v>
      </c>
      <c r="BR244" s="2">
        <f>IF(OR(BR$208&gt;=$AQ244,BR$207=0),0,IF(SUM(BR$209:BR243)&lt;1,10%,0))</f>
        <v>0</v>
      </c>
      <c r="BS244" s="2">
        <f>IF(OR(BS$208&gt;=$AQ244,BS$207=0),0,IF(SUM(BS$209:BS243)&lt;1,10%,0))</f>
        <v>0</v>
      </c>
      <c r="BT244" s="2">
        <f>IF(OR(BT$208&gt;=$AQ244,BT$207=0),0,IF(SUM(BT$209:BT243)&lt;1,10%,0))</f>
        <v>0</v>
      </c>
      <c r="BU244" s="2">
        <f ca="1">IF(OR(BU$208&gt;=$AQ244,BU$207=0),0,IF(SUM(BU$209:BU243)&lt;1,IF(SUM(BU$210:BU243)&lt;100%,100%-SUM(BU$210:BU243),10%),0))</f>
        <v>0</v>
      </c>
      <c r="BV244" s="2">
        <f>IF(OR(BV$208&gt;=$AQ244,BV$207=0),0,IF(SUM(BV$209:BV243)&lt;1,10%,0))</f>
        <v>0</v>
      </c>
      <c r="BW244" s="2">
        <f>IF(OR(BW$208&gt;=$AQ244,BW$207=0),0,IF(SUM(BW$209:BW243)&lt;1,10%,0))</f>
        <v>0</v>
      </c>
      <c r="BX244" s="2">
        <f>IF(OR(BX$208&gt;=$AQ244,BX$207=0),0,IF(SUM(BX$209:BX243)&lt;1,10%,0))</f>
        <v>0</v>
      </c>
      <c r="BY244" s="2">
        <f>IF(OR(BY$208&gt;=$AQ244,BY$207=0),0,IF(SUM(BY$209:BY243)&lt;1,10%,0))</f>
        <v>0</v>
      </c>
      <c r="BZ244" s="2">
        <f>IF(OR(BZ$208&gt;=$AQ244,BZ$207=0),0,IF(SUM(BZ$209:BZ243)&lt;1,10%,0))</f>
        <v>0</v>
      </c>
    </row>
    <row r="245" spans="3:78" outlineLevel="1">
      <c r="C245" t="s">
        <v>574</v>
      </c>
      <c r="E245" s="133">
        <f t="shared" ca="1" si="130"/>
        <v>0</v>
      </c>
      <c r="F245" s="4">
        <f t="shared" si="131"/>
        <v>0</v>
      </c>
      <c r="G245" s="4">
        <f t="shared" si="132"/>
        <v>0</v>
      </c>
      <c r="H245" s="4">
        <f t="shared" si="133"/>
        <v>0</v>
      </c>
      <c r="I245" s="4">
        <f t="shared" si="134"/>
        <v>0</v>
      </c>
      <c r="J245" s="4">
        <f t="shared" si="135"/>
        <v>0</v>
      </c>
      <c r="K245" s="4">
        <f t="shared" si="136"/>
        <v>0</v>
      </c>
      <c r="L245" s="4">
        <f t="shared" si="137"/>
        <v>0</v>
      </c>
      <c r="M245" s="4">
        <f t="shared" si="138"/>
        <v>0</v>
      </c>
      <c r="N245" s="4">
        <f t="shared" si="139"/>
        <v>0</v>
      </c>
      <c r="O245" s="4">
        <f t="shared" ca="1" si="140"/>
        <v>0</v>
      </c>
      <c r="P245" s="4">
        <f t="shared" si="141"/>
        <v>0</v>
      </c>
      <c r="Q245" s="4">
        <f t="shared" si="142"/>
        <v>0</v>
      </c>
      <c r="R245" s="4">
        <f t="shared" si="143"/>
        <v>0</v>
      </c>
      <c r="S245" s="4">
        <f t="shared" si="144"/>
        <v>0</v>
      </c>
      <c r="T245" s="4">
        <f t="shared" si="145"/>
        <v>0</v>
      </c>
      <c r="U245" s="4">
        <f t="shared" si="146"/>
        <v>0</v>
      </c>
      <c r="V245" s="4">
        <f t="shared" si="147"/>
        <v>0</v>
      </c>
      <c r="W245" s="4">
        <f t="shared" si="148"/>
        <v>0</v>
      </c>
      <c r="X245" s="4">
        <f t="shared" si="149"/>
        <v>0</v>
      </c>
      <c r="Y245" s="4">
        <f t="shared" ca="1" si="150"/>
        <v>0</v>
      </c>
      <c r="Z245" s="4">
        <f t="shared" si="151"/>
        <v>0</v>
      </c>
      <c r="AA245" s="4">
        <f t="shared" si="152"/>
        <v>0</v>
      </c>
      <c r="AB245" s="4">
        <f t="shared" si="153"/>
        <v>0</v>
      </c>
      <c r="AC245" s="4">
        <f t="shared" si="154"/>
        <v>0</v>
      </c>
      <c r="AD245" s="4">
        <f t="shared" si="155"/>
        <v>0</v>
      </c>
      <c r="AE245" s="4">
        <f t="shared" si="156"/>
        <v>0</v>
      </c>
      <c r="AF245" s="4">
        <f t="shared" si="157"/>
        <v>0</v>
      </c>
      <c r="AG245" s="4">
        <f t="shared" si="158"/>
        <v>0</v>
      </c>
      <c r="AH245" s="4">
        <f t="shared" si="159"/>
        <v>0</v>
      </c>
      <c r="AI245" s="4">
        <f t="shared" ca="1" si="160"/>
        <v>0</v>
      </c>
      <c r="AJ245" s="4">
        <f t="shared" si="161"/>
        <v>0</v>
      </c>
      <c r="AK245" s="4">
        <f t="shared" si="162"/>
        <v>0</v>
      </c>
      <c r="AL245" s="4">
        <f t="shared" si="163"/>
        <v>0</v>
      </c>
      <c r="AM245" s="4">
        <f t="shared" si="164"/>
        <v>0</v>
      </c>
      <c r="AN245" s="4">
        <f t="shared" si="165"/>
        <v>0</v>
      </c>
      <c r="AQ245" t="s">
        <v>635</v>
      </c>
      <c r="AR245" s="169">
        <f>SUM(AR210:AR244)</f>
        <v>0</v>
      </c>
      <c r="AS245" s="169">
        <f t="shared" ref="AS245:BZ245" si="166">SUM(AS210:AS244)</f>
        <v>0</v>
      </c>
      <c r="AT245" s="169">
        <f t="shared" si="166"/>
        <v>0</v>
      </c>
      <c r="AU245" s="169">
        <f t="shared" si="166"/>
        <v>0</v>
      </c>
      <c r="AV245" s="169">
        <f t="shared" si="166"/>
        <v>0</v>
      </c>
      <c r="AW245" s="169">
        <f t="shared" si="166"/>
        <v>0</v>
      </c>
      <c r="AX245" s="169">
        <f t="shared" si="166"/>
        <v>0</v>
      </c>
      <c r="AY245" s="169">
        <f t="shared" si="166"/>
        <v>0</v>
      </c>
      <c r="AZ245" s="169">
        <f t="shared" si="166"/>
        <v>0</v>
      </c>
      <c r="BA245" s="169">
        <f t="shared" ca="1" si="166"/>
        <v>0</v>
      </c>
      <c r="BB245" s="169">
        <f t="shared" si="166"/>
        <v>0</v>
      </c>
      <c r="BC245" s="169">
        <f t="shared" si="166"/>
        <v>0</v>
      </c>
      <c r="BD245" s="169">
        <f t="shared" si="166"/>
        <v>0</v>
      </c>
      <c r="BE245" s="169">
        <f t="shared" si="166"/>
        <v>0</v>
      </c>
      <c r="BF245" s="169">
        <f t="shared" si="166"/>
        <v>0</v>
      </c>
      <c r="BG245" s="169">
        <f t="shared" si="166"/>
        <v>0</v>
      </c>
      <c r="BH245" s="169">
        <f t="shared" si="166"/>
        <v>0</v>
      </c>
      <c r="BI245" s="169">
        <f t="shared" si="166"/>
        <v>0</v>
      </c>
      <c r="BJ245" s="169">
        <f t="shared" si="166"/>
        <v>0</v>
      </c>
      <c r="BK245" s="169">
        <f t="shared" ca="1" si="166"/>
        <v>0</v>
      </c>
      <c r="BL245" s="169">
        <f t="shared" si="166"/>
        <v>0</v>
      </c>
      <c r="BM245" s="169">
        <f t="shared" si="166"/>
        <v>0</v>
      </c>
      <c r="BN245" s="169">
        <f t="shared" si="166"/>
        <v>0</v>
      </c>
      <c r="BO245" s="169">
        <f t="shared" si="166"/>
        <v>0</v>
      </c>
      <c r="BP245" s="169">
        <f t="shared" si="166"/>
        <v>0</v>
      </c>
      <c r="BQ245" s="169">
        <f t="shared" si="166"/>
        <v>0</v>
      </c>
      <c r="BR245" s="169">
        <f t="shared" si="166"/>
        <v>0</v>
      </c>
      <c r="BS245" s="169">
        <f t="shared" si="166"/>
        <v>0</v>
      </c>
      <c r="BT245" s="169">
        <f t="shared" si="166"/>
        <v>0</v>
      </c>
      <c r="BU245" s="169">
        <f t="shared" ca="1" si="166"/>
        <v>0</v>
      </c>
      <c r="BV245" s="169">
        <f t="shared" si="166"/>
        <v>0</v>
      </c>
      <c r="BW245" s="169">
        <f t="shared" si="166"/>
        <v>0</v>
      </c>
      <c r="BX245" s="169">
        <f t="shared" si="166"/>
        <v>0</v>
      </c>
      <c r="BY245" s="169">
        <f t="shared" si="166"/>
        <v>0</v>
      </c>
      <c r="BZ245" s="169">
        <f t="shared" si="166"/>
        <v>0</v>
      </c>
    </row>
    <row r="246" spans="3:78" outlineLevel="1">
      <c r="BU246" s="181">
        <f ca="1">IF(SUM(BU$210:BU243)&lt;100%,100%-SUM(BU$210:BU243),10%)</f>
        <v>1</v>
      </c>
    </row>
    <row r="247" spans="3:78">
      <c r="AI247" s="4">
        <f ca="1">SUM(AI241:AI244)</f>
        <v>0</v>
      </c>
    </row>
    <row r="248" spans="3:78">
      <c r="E248" s="140">
        <f t="shared" ref="E248:AM248" si="167">G26</f>
        <v>1</v>
      </c>
      <c r="F248" s="140">
        <f t="shared" si="167"/>
        <v>2</v>
      </c>
      <c r="G248" s="140">
        <f t="shared" si="167"/>
        <v>3</v>
      </c>
      <c r="H248" s="140">
        <f t="shared" si="167"/>
        <v>4</v>
      </c>
      <c r="I248" s="140">
        <f t="shared" si="167"/>
        <v>5</v>
      </c>
      <c r="J248" s="140">
        <f t="shared" si="167"/>
        <v>6</v>
      </c>
      <c r="K248" s="140">
        <f t="shared" si="167"/>
        <v>7</v>
      </c>
      <c r="L248" s="140">
        <f t="shared" si="167"/>
        <v>8</v>
      </c>
      <c r="M248" s="140">
        <f t="shared" si="167"/>
        <v>9</v>
      </c>
      <c r="N248" s="140">
        <f t="shared" si="167"/>
        <v>10</v>
      </c>
      <c r="O248" s="140">
        <f t="shared" si="167"/>
        <v>11</v>
      </c>
      <c r="P248" s="140">
        <f t="shared" si="167"/>
        <v>12</v>
      </c>
      <c r="Q248" s="140">
        <f t="shared" si="167"/>
        <v>13</v>
      </c>
      <c r="R248" s="140">
        <f t="shared" si="167"/>
        <v>14</v>
      </c>
      <c r="S248" s="140">
        <f t="shared" si="167"/>
        <v>15</v>
      </c>
      <c r="T248" s="140">
        <f t="shared" si="167"/>
        <v>16</v>
      </c>
      <c r="U248" s="140">
        <f t="shared" si="167"/>
        <v>17</v>
      </c>
      <c r="V248" s="140">
        <f t="shared" si="167"/>
        <v>18</v>
      </c>
      <c r="W248" s="140">
        <f t="shared" si="167"/>
        <v>19</v>
      </c>
      <c r="X248" s="140">
        <f t="shared" si="167"/>
        <v>20</v>
      </c>
      <c r="Y248" s="140">
        <f t="shared" si="167"/>
        <v>21</v>
      </c>
      <c r="Z248" s="140">
        <f t="shared" si="167"/>
        <v>22</v>
      </c>
      <c r="AA248" s="140">
        <f t="shared" si="167"/>
        <v>23</v>
      </c>
      <c r="AB248" s="140">
        <f t="shared" si="167"/>
        <v>24</v>
      </c>
      <c r="AC248" s="140">
        <f t="shared" si="167"/>
        <v>25</v>
      </c>
      <c r="AD248" s="140">
        <f t="shared" si="167"/>
        <v>26</v>
      </c>
      <c r="AE248" s="140">
        <f t="shared" si="167"/>
        <v>27</v>
      </c>
      <c r="AF248" s="140">
        <f t="shared" si="167"/>
        <v>28</v>
      </c>
      <c r="AG248" s="140">
        <f t="shared" si="167"/>
        <v>29</v>
      </c>
      <c r="AH248" s="140">
        <f t="shared" si="167"/>
        <v>30</v>
      </c>
      <c r="AI248" s="140">
        <f t="shared" si="167"/>
        <v>31</v>
      </c>
      <c r="AJ248" s="140">
        <f t="shared" si="167"/>
        <v>32</v>
      </c>
      <c r="AK248" s="140">
        <f t="shared" si="167"/>
        <v>33</v>
      </c>
      <c r="AL248" s="140">
        <f t="shared" si="167"/>
        <v>34</v>
      </c>
      <c r="AM248" s="140">
        <f t="shared" si="167"/>
        <v>35</v>
      </c>
      <c r="AN248" s="140" t="s">
        <v>82</v>
      </c>
    </row>
    <row r="249" spans="3:78">
      <c r="D249" s="294" t="s">
        <v>636</v>
      </c>
      <c r="E249" s="4">
        <f t="shared" ref="E249:AM249" si="168">G31</f>
        <v>0</v>
      </c>
      <c r="F249" s="4">
        <f t="shared" si="168"/>
        <v>190433.75589070967</v>
      </c>
      <c r="G249" s="4">
        <f t="shared" si="168"/>
        <v>380867.51178141934</v>
      </c>
      <c r="H249" s="4">
        <f t="shared" si="168"/>
        <v>380867.51178141934</v>
      </c>
      <c r="I249" s="4">
        <f t="shared" si="168"/>
        <v>380867.51178141934</v>
      </c>
      <c r="J249" s="4">
        <f t="shared" si="168"/>
        <v>380867.51178141934</v>
      </c>
      <c r="K249" s="4">
        <f t="shared" si="168"/>
        <v>380867.51178141934</v>
      </c>
      <c r="L249" s="4">
        <f t="shared" si="168"/>
        <v>380867.51178141934</v>
      </c>
      <c r="M249" s="4">
        <f t="shared" si="168"/>
        <v>380867.51178141934</v>
      </c>
      <c r="N249" s="4">
        <f t="shared" si="168"/>
        <v>380867.51178141934</v>
      </c>
      <c r="O249" s="4">
        <f t="shared" si="168"/>
        <v>380867.51178141934</v>
      </c>
      <c r="P249" s="4">
        <f t="shared" si="168"/>
        <v>312198.81663023657</v>
      </c>
      <c r="Q249" s="4">
        <f t="shared" si="168"/>
        <v>243530.12147905384</v>
      </c>
      <c r="R249" s="4">
        <f t="shared" si="168"/>
        <v>243530.12147905384</v>
      </c>
      <c r="S249" s="4">
        <f t="shared" si="168"/>
        <v>243530.12147905384</v>
      </c>
      <c r="T249" s="4">
        <f t="shared" si="168"/>
        <v>243530.12147905384</v>
      </c>
      <c r="U249" s="4">
        <f t="shared" si="168"/>
        <v>243530.12147905384</v>
      </c>
      <c r="V249" s="4">
        <f t="shared" si="168"/>
        <v>243530.12147905384</v>
      </c>
      <c r="W249" s="4">
        <f t="shared" si="168"/>
        <v>243530.12147905384</v>
      </c>
      <c r="X249" s="4">
        <f t="shared" si="168"/>
        <v>243530.12147905384</v>
      </c>
      <c r="Y249" s="4">
        <f t="shared" si="168"/>
        <v>243530.12147905384</v>
      </c>
      <c r="Z249" s="4">
        <f t="shared" si="168"/>
        <v>243530.12147905384</v>
      </c>
      <c r="AA249" s="4">
        <f t="shared" si="168"/>
        <v>243530.12147905384</v>
      </c>
      <c r="AB249" s="4">
        <f t="shared" si="168"/>
        <v>243530.12147905384</v>
      </c>
      <c r="AC249" s="4">
        <f t="shared" si="168"/>
        <v>243530.12147905384</v>
      </c>
      <c r="AD249" s="4">
        <f t="shared" si="168"/>
        <v>243530.12147905384</v>
      </c>
      <c r="AE249" s="4">
        <f t="shared" si="168"/>
        <v>121765.06073952692</v>
      </c>
      <c r="AF249" s="4">
        <f t="shared" si="168"/>
        <v>0</v>
      </c>
      <c r="AG249" s="4">
        <f t="shared" si="168"/>
        <v>0</v>
      </c>
      <c r="AH249" s="4">
        <f t="shared" si="168"/>
        <v>0</v>
      </c>
      <c r="AI249" s="4">
        <f t="shared" si="168"/>
        <v>0</v>
      </c>
      <c r="AJ249" s="4">
        <f t="shared" si="168"/>
        <v>0</v>
      </c>
      <c r="AK249" s="4">
        <f t="shared" si="168"/>
        <v>0</v>
      </c>
      <c r="AL249" s="4">
        <f t="shared" si="168"/>
        <v>0</v>
      </c>
      <c r="AM249" s="4">
        <f t="shared" si="168"/>
        <v>0</v>
      </c>
      <c r="AN249" s="293">
        <f>SUM(E249:AM249)</f>
        <v>7461626.9400000023</v>
      </c>
    </row>
    <row r="250" spans="3:78">
      <c r="D250" s="294" t="s">
        <v>637</v>
      </c>
      <c r="E250" s="4">
        <f ca="1">F130</f>
        <v>0</v>
      </c>
      <c r="F250" s="4">
        <f t="shared" ref="F250:AM250" ca="1" si="169">G130</f>
        <v>0</v>
      </c>
      <c r="G250" s="4">
        <f t="shared" ca="1" si="169"/>
        <v>0</v>
      </c>
      <c r="H250" s="4">
        <f t="shared" ca="1" si="169"/>
        <v>0</v>
      </c>
      <c r="I250" s="4">
        <f t="shared" ca="1" si="169"/>
        <v>0</v>
      </c>
      <c r="J250" s="4">
        <f t="shared" ca="1" si="169"/>
        <v>0</v>
      </c>
      <c r="K250" s="4">
        <f t="shared" ca="1" si="169"/>
        <v>0</v>
      </c>
      <c r="L250" s="4">
        <f t="shared" ca="1" si="169"/>
        <v>0</v>
      </c>
      <c r="M250" s="4">
        <f t="shared" ca="1" si="169"/>
        <v>0</v>
      </c>
      <c r="N250" s="4">
        <f t="shared" ca="1" si="169"/>
        <v>0</v>
      </c>
      <c r="O250" s="4">
        <f t="shared" ca="1" si="169"/>
        <v>0</v>
      </c>
      <c r="P250" s="4">
        <f t="shared" ca="1" si="169"/>
        <v>0</v>
      </c>
      <c r="Q250" s="4">
        <f t="shared" ca="1" si="169"/>
        <v>0</v>
      </c>
      <c r="R250" s="4">
        <f t="shared" ca="1" si="169"/>
        <v>0</v>
      </c>
      <c r="S250" s="4">
        <f t="shared" ca="1" si="169"/>
        <v>0</v>
      </c>
      <c r="T250" s="4">
        <f t="shared" ca="1" si="169"/>
        <v>0</v>
      </c>
      <c r="U250" s="4">
        <f t="shared" ca="1" si="169"/>
        <v>0</v>
      </c>
      <c r="V250" s="4">
        <f t="shared" ca="1" si="169"/>
        <v>0</v>
      </c>
      <c r="W250" s="4">
        <f t="shared" ca="1" si="169"/>
        <v>0</v>
      </c>
      <c r="X250" s="4">
        <f t="shared" ca="1" si="169"/>
        <v>0</v>
      </c>
      <c r="Y250" s="4">
        <f t="shared" ca="1" si="169"/>
        <v>0</v>
      </c>
      <c r="Z250" s="4">
        <f t="shared" ca="1" si="169"/>
        <v>0</v>
      </c>
      <c r="AA250" s="4">
        <f t="shared" ca="1" si="169"/>
        <v>0</v>
      </c>
      <c r="AB250" s="4">
        <f t="shared" ca="1" si="169"/>
        <v>0</v>
      </c>
      <c r="AC250" s="4">
        <f t="shared" ca="1" si="169"/>
        <v>0</v>
      </c>
      <c r="AD250" s="4">
        <f t="shared" ca="1" si="169"/>
        <v>0</v>
      </c>
      <c r="AE250" s="4">
        <f t="shared" ca="1" si="169"/>
        <v>0</v>
      </c>
      <c r="AF250" s="4">
        <f t="shared" ca="1" si="169"/>
        <v>0</v>
      </c>
      <c r="AG250" s="4">
        <f t="shared" ca="1" si="169"/>
        <v>0</v>
      </c>
      <c r="AH250" s="4">
        <f t="shared" ca="1" si="169"/>
        <v>0</v>
      </c>
      <c r="AI250" s="4">
        <f t="shared" ca="1" si="169"/>
        <v>0</v>
      </c>
      <c r="AJ250" s="4">
        <f t="shared" ca="1" si="169"/>
        <v>0</v>
      </c>
      <c r="AK250" s="4">
        <f t="shared" ca="1" si="169"/>
        <v>0</v>
      </c>
      <c r="AL250" s="4">
        <f t="shared" ca="1" si="169"/>
        <v>0</v>
      </c>
      <c r="AM250" s="4">
        <f t="shared" ca="1" si="169"/>
        <v>0</v>
      </c>
      <c r="AN250" s="293">
        <f ca="1">SUM(E250:AM250)</f>
        <v>0</v>
      </c>
    </row>
  </sheetData>
  <sheetProtection password="C655" sheet="1" objects="1" scenarios="1"/>
  <customSheetViews>
    <customSheetView guid="{30D5658C-25B6-44C0-9599-95A19C107C6A}" scale="80" topLeftCell="AJ25">
      <selection activeCell="AW15" sqref="AW15"/>
      <pageMargins left="0" right="0" top="0" bottom="0" header="0" footer="0"/>
      <pageSetup paperSize="9" orientation="portrait" horizontalDpi="360" verticalDpi="360" r:id="rId1"/>
    </customSheetView>
  </customSheetViews>
  <mergeCells count="4">
    <mergeCell ref="D135:E135"/>
    <mergeCell ref="C15:D15"/>
    <mergeCell ref="A1:G2"/>
    <mergeCell ref="C4:D4"/>
  </mergeCells>
  <conditionalFormatting sqref="E27">
    <cfRule type="cellIs" dxfId="23" priority="1" operator="equal">
      <formula>"Erro"</formula>
    </cfRule>
    <cfRule type="cellIs" dxfId="22" priority="2" operator="equal">
      <formula>"ok"</formula>
    </cfRule>
  </conditionalFormatting>
  <conditionalFormatting sqref="E151:AM151">
    <cfRule type="cellIs" dxfId="21" priority="17" operator="equal">
      <formula>0</formula>
    </cfRule>
    <cfRule type="cellIs" dxfId="20" priority="18" operator="equal">
      <formula>0</formula>
    </cfRule>
    <cfRule type="cellIs" dxfId="19" priority="19" operator="equal">
      <formula>0</formula>
    </cfRule>
  </conditionalFormatting>
  <conditionalFormatting sqref="E158:AM158">
    <cfRule type="cellIs" dxfId="18" priority="14" operator="equal">
      <formula>0</formula>
    </cfRule>
    <cfRule type="cellIs" dxfId="17" priority="15" operator="equal">
      <formula>0</formula>
    </cfRule>
    <cfRule type="cellIs" dxfId="16" priority="16" operator="equal">
      <formula>0</formula>
    </cfRule>
  </conditionalFormatting>
  <conditionalFormatting sqref="F142:AM143">
    <cfRule type="cellIs" dxfId="15" priority="21" operator="equal">
      <formula>0</formula>
    </cfRule>
  </conditionalFormatting>
  <conditionalFormatting sqref="F205:AN205">
    <cfRule type="cellIs" dxfId="14" priority="10" operator="equal">
      <formula>"ok"</formula>
    </cfRule>
  </conditionalFormatting>
  <conditionalFormatting sqref="AR42:BZ76">
    <cfRule type="cellIs" dxfId="13" priority="29" operator="greaterThan">
      <formula>0.05</formula>
    </cfRule>
  </conditionalFormatting>
  <conditionalFormatting sqref="AR83:BZ117">
    <cfRule type="cellIs" dxfId="12" priority="28" operator="greaterThan">
      <formula>0</formula>
    </cfRule>
  </conditionalFormatting>
  <conditionalFormatting sqref="AR164:BZ164">
    <cfRule type="cellIs" dxfId="11" priority="7" operator="equal">
      <formula>"ok"</formula>
    </cfRule>
  </conditionalFormatting>
  <conditionalFormatting sqref="AR169:BZ203">
    <cfRule type="cellIs" dxfId="10" priority="8" operator="greaterThan">
      <formula>0</formula>
    </cfRule>
  </conditionalFormatting>
  <conditionalFormatting sqref="AR205:BZ205">
    <cfRule type="cellIs" dxfId="9" priority="6" operator="equal">
      <formula>"ok"</formula>
    </cfRule>
  </conditionalFormatting>
  <conditionalFormatting sqref="AR210:BZ244">
    <cfRule type="cellIs" dxfId="8" priority="5" operator="greaterThan">
      <formula>0</formula>
    </cfRule>
  </conditionalFormatting>
  <conditionalFormatting sqref="BU246">
    <cfRule type="cellIs" dxfId="7" priority="3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zoomScaleNormal="100" workbookViewId="0">
      <selection activeCell="H4" sqref="H4"/>
    </sheetView>
  </sheetViews>
  <sheetFormatPr defaultRowHeight="15"/>
  <cols>
    <col min="1" max="1" width="8.85546875" style="56" customWidth="1"/>
    <col min="2" max="2" width="10.7109375" customWidth="1"/>
    <col min="3" max="3" width="27.140625" customWidth="1"/>
    <col min="4" max="4" width="25.42578125" customWidth="1"/>
    <col min="5" max="5" width="24.42578125" customWidth="1"/>
    <col min="6" max="6" width="17.85546875" customWidth="1"/>
    <col min="7" max="7" width="19.85546875" customWidth="1"/>
    <col min="8" max="8" width="22.140625" customWidth="1"/>
    <col min="9" max="9" width="36.42578125" customWidth="1"/>
    <col min="10" max="10" width="25.7109375" customWidth="1"/>
    <col min="11" max="11" width="18" customWidth="1"/>
    <col min="12" max="44" width="18.140625" customWidth="1"/>
    <col min="45" max="45" width="18.7109375" customWidth="1"/>
    <col min="49" max="53" width="20.140625" customWidth="1"/>
  </cols>
  <sheetData>
    <row r="1" spans="1:33" s="56" customFormat="1" ht="25.5" customHeight="1">
      <c r="A1" s="416" t="s">
        <v>638</v>
      </c>
      <c r="B1" s="416"/>
      <c r="C1" s="416"/>
      <c r="D1" s="416"/>
      <c r="E1" s="416"/>
      <c r="F1" s="416"/>
      <c r="G1" s="416"/>
    </row>
    <row r="2" spans="1:33" s="56" customFormat="1" ht="9" customHeight="1">
      <c r="A2" s="416"/>
      <c r="B2" s="416"/>
      <c r="C2" s="416"/>
      <c r="D2" s="416"/>
      <c r="E2" s="416"/>
      <c r="F2" s="416"/>
      <c r="G2" s="416"/>
    </row>
    <row r="3" spans="1:33" ht="15" customHeight="1"/>
    <row r="4" spans="1:33" ht="15" customHeight="1">
      <c r="C4" s="8" t="s">
        <v>639</v>
      </c>
      <c r="D4" s="4">
        <f>'Premissas Gerais'!D8</f>
        <v>2251172.8477980001</v>
      </c>
      <c r="G4" t="s">
        <v>640</v>
      </c>
      <c r="H4" t="s">
        <v>641</v>
      </c>
      <c r="AG4" s="3"/>
    </row>
    <row r="5" spans="1:33" ht="15" customHeight="1">
      <c r="C5" s="8" t="s">
        <v>642</v>
      </c>
      <c r="D5" s="323">
        <v>12</v>
      </c>
      <c r="F5" t="s">
        <v>643</v>
      </c>
      <c r="G5" s="208">
        <v>3.5000000000000003E-2</v>
      </c>
      <c r="H5" s="208">
        <v>3.9600000000000003E-2</v>
      </c>
      <c r="I5" s="307">
        <f>(1+G5)*(1+H5)-1</f>
        <v>7.5986000000000109E-2</v>
      </c>
      <c r="AG5" s="236"/>
    </row>
    <row r="6" spans="1:33" ht="15" customHeight="1">
      <c r="C6" s="8" t="s">
        <v>644</v>
      </c>
      <c r="D6" s="323">
        <v>4</v>
      </c>
      <c r="F6" s="308"/>
      <c r="G6" s="20"/>
      <c r="H6" s="20"/>
      <c r="J6" t="s">
        <v>645</v>
      </c>
      <c r="K6" s="5" t="str">
        <f>IF(D5&lt;=35-1-D6,"ok","erro")</f>
        <v>ok</v>
      </c>
      <c r="AG6" s="3"/>
    </row>
    <row r="7" spans="1:33" ht="15" customHeight="1">
      <c r="C7" s="8" t="s">
        <v>646</v>
      </c>
      <c r="D7" s="306">
        <f>I5</f>
        <v>7.5986000000000109E-2</v>
      </c>
      <c r="J7" t="s">
        <v>647</v>
      </c>
      <c r="K7" s="5" t="str">
        <f>IF(D6&gt;='Premissas Gerais'!G12,"ok","erro")</f>
        <v>ok</v>
      </c>
      <c r="AG7" s="3"/>
    </row>
    <row r="8" spans="1:33" ht="15" customHeight="1">
      <c r="C8" s="8" t="s">
        <v>648</v>
      </c>
      <c r="D8">
        <f>SUM(D5:D6)</f>
        <v>16</v>
      </c>
      <c r="G8" s="3"/>
    </row>
    <row r="9" spans="1:33" ht="15" customHeight="1">
      <c r="C9" s="8"/>
    </row>
    <row r="10" spans="1:33" ht="15" customHeight="1">
      <c r="C10" s="381" t="s">
        <v>649</v>
      </c>
      <c r="D10" s="381" t="s">
        <v>650</v>
      </c>
      <c r="E10" s="381" t="s">
        <v>651</v>
      </c>
      <c r="F10" s="381" t="s">
        <v>652</v>
      </c>
      <c r="G10" s="381" t="s">
        <v>653</v>
      </c>
      <c r="H10" s="381" t="s">
        <v>654</v>
      </c>
      <c r="I10" s="381" t="s">
        <v>655</v>
      </c>
    </row>
    <row r="11" spans="1:33" ht="15" customHeight="1">
      <c r="C11">
        <f>D11+1</f>
        <v>1</v>
      </c>
      <c r="D11">
        <v>0</v>
      </c>
      <c r="E11" s="3"/>
      <c r="F11" s="3"/>
      <c r="I11" s="4">
        <f>D4</f>
        <v>2251172.8477980001</v>
      </c>
      <c r="K11" s="4"/>
    </row>
    <row r="12" spans="1:33" ht="15" customHeight="1">
      <c r="C12">
        <f t="shared" ref="C12:C46" si="0">D12+1</f>
        <v>2</v>
      </c>
      <c r="D12">
        <v>1</v>
      </c>
      <c r="E12" s="3">
        <f t="shared" ref="E12:E46" si="1">IF(D12&lt;=$D$6,0,SUM(F12:G12))</f>
        <v>0</v>
      </c>
      <c r="F12" s="3">
        <f t="shared" ref="F12:F46" ca="1" si="2">IF(AND(D12&gt;$D$6,D12&lt;=$D$5+$D$6),IF(D12&lt;=$D$6,0,OFFSET($I$11,$D$6,0)/$D$5),0)</f>
        <v>0</v>
      </c>
      <c r="G12" s="4">
        <f>$D$7*I11</f>
        <v>171057.62001277908</v>
      </c>
      <c r="H12" s="3">
        <f t="shared" ref="H12:H46" si="3">IF(IF(D12&gt;$D$6,1,0),G12,0)</f>
        <v>0</v>
      </c>
      <c r="I12" s="4">
        <f ca="1">IF(F12=0,I11+G12,I11-F12)</f>
        <v>2422230.4678107793</v>
      </c>
      <c r="J12" s="4"/>
    </row>
    <row r="13" spans="1:33" ht="15" customHeight="1">
      <c r="C13">
        <f t="shared" si="0"/>
        <v>3</v>
      </c>
      <c r="D13">
        <v>2</v>
      </c>
      <c r="E13" s="3">
        <f t="shared" si="1"/>
        <v>0</v>
      </c>
      <c r="F13" s="3">
        <f t="shared" ca="1" si="2"/>
        <v>0</v>
      </c>
      <c r="G13" s="4">
        <f ca="1">$D$7*I12</f>
        <v>184055.60432707015</v>
      </c>
      <c r="H13" s="3">
        <f t="shared" si="3"/>
        <v>0</v>
      </c>
      <c r="I13" s="4">
        <f t="shared" ref="I13:I46" ca="1" si="4">IF(F13=0,I12+G13,I12-F13)</f>
        <v>2606286.0721378494</v>
      </c>
      <c r="J13" s="4"/>
    </row>
    <row r="14" spans="1:33" ht="15" customHeight="1">
      <c r="C14">
        <f t="shared" si="0"/>
        <v>4</v>
      </c>
      <c r="D14">
        <v>3</v>
      </c>
      <c r="E14" s="3">
        <f t="shared" si="1"/>
        <v>0</v>
      </c>
      <c r="F14" s="3">
        <f t="shared" ca="1" si="2"/>
        <v>0</v>
      </c>
      <c r="G14" s="4">
        <f ca="1">$D$7*I13</f>
        <v>198041.2534774669</v>
      </c>
      <c r="H14" s="3">
        <f t="shared" si="3"/>
        <v>0</v>
      </c>
      <c r="I14" s="4">
        <f t="shared" ca="1" si="4"/>
        <v>2804327.3256153162</v>
      </c>
      <c r="J14" s="4"/>
    </row>
    <row r="15" spans="1:33" ht="15" customHeight="1">
      <c r="C15">
        <f t="shared" si="0"/>
        <v>5</v>
      </c>
      <c r="D15">
        <v>4</v>
      </c>
      <c r="E15" s="3">
        <f t="shared" si="1"/>
        <v>0</v>
      </c>
      <c r="F15" s="3">
        <f t="shared" ca="1" si="2"/>
        <v>0</v>
      </c>
      <c r="G15" s="4">
        <f ca="1">$D$7*I14</f>
        <v>213089.61616420571</v>
      </c>
      <c r="H15" s="3">
        <f t="shared" si="3"/>
        <v>0</v>
      </c>
      <c r="I15" s="4">
        <f ca="1">IF(F15=0,I14+G15,I14-F15)</f>
        <v>3017416.9417795218</v>
      </c>
      <c r="J15" s="4"/>
    </row>
    <row r="16" spans="1:33" ht="15" customHeight="1">
      <c r="C16">
        <f t="shared" si="0"/>
        <v>6</v>
      </c>
      <c r="D16">
        <v>5</v>
      </c>
      <c r="E16" s="3">
        <f ca="1">IF(D16&lt;=$D$6,0,SUM(F16:G16))</f>
        <v>480732.85555301921</v>
      </c>
      <c r="F16" s="3">
        <f t="shared" ca="1" si="2"/>
        <v>251451.41181496016</v>
      </c>
      <c r="G16" s="4">
        <f ca="1">$D$7*I15</f>
        <v>229281.44373805908</v>
      </c>
      <c r="H16" s="3">
        <f ca="1">IF(IF(D16&gt;$D$6,1,0),G16,0)</f>
        <v>229281.44373805908</v>
      </c>
      <c r="I16" s="4">
        <f ca="1">IF(F16=0,I15+G16,I15-F16)</f>
        <v>2765965.5299645616</v>
      </c>
      <c r="J16" s="4"/>
    </row>
    <row r="17" spans="3:10" ht="15" customHeight="1">
      <c r="C17">
        <f t="shared" si="0"/>
        <v>7</v>
      </c>
      <c r="D17">
        <v>6</v>
      </c>
      <c r="E17" s="3">
        <f t="shared" ca="1" si="1"/>
        <v>461626.06857484765</v>
      </c>
      <c r="F17" s="3">
        <f t="shared" ca="1" si="2"/>
        <v>251451.41181496016</v>
      </c>
      <c r="G17" s="4">
        <f t="shared" ref="G17:G46" ca="1" si="5">$D$7*I16</f>
        <v>210174.65675988747</v>
      </c>
      <c r="H17" s="3">
        <f ca="1">IF(IF(D17&gt;$D$6,1,0),G17,0)</f>
        <v>210174.65675988747</v>
      </c>
      <c r="I17" s="4">
        <f t="shared" ca="1" si="4"/>
        <v>2514514.1181496014</v>
      </c>
      <c r="J17" s="4"/>
    </row>
    <row r="18" spans="3:10" ht="14.45" customHeight="1">
      <c r="C18">
        <f t="shared" si="0"/>
        <v>8</v>
      </c>
      <c r="D18">
        <v>7</v>
      </c>
      <c r="E18" s="3">
        <f t="shared" ca="1" si="1"/>
        <v>442519.28159667604</v>
      </c>
      <c r="F18" s="3">
        <f t="shared" ca="1" si="2"/>
        <v>251451.41181496016</v>
      </c>
      <c r="G18" s="4">
        <f t="shared" ca="1" si="5"/>
        <v>191067.86978171588</v>
      </c>
      <c r="H18" s="3">
        <f t="shared" ca="1" si="3"/>
        <v>191067.86978171588</v>
      </c>
      <c r="I18" s="4">
        <f t="shared" ca="1" si="4"/>
        <v>2263062.7063346412</v>
      </c>
      <c r="J18" s="4"/>
    </row>
    <row r="19" spans="3:10" ht="14.45" customHeight="1">
      <c r="C19">
        <f t="shared" si="0"/>
        <v>9</v>
      </c>
      <c r="D19">
        <v>8</v>
      </c>
      <c r="E19" s="3">
        <f t="shared" ca="1" si="1"/>
        <v>423412.49461850442</v>
      </c>
      <c r="F19" s="3">
        <f t="shared" ca="1" si="2"/>
        <v>251451.41181496016</v>
      </c>
      <c r="G19" s="4">
        <f t="shared" ca="1" si="5"/>
        <v>171961.0828035443</v>
      </c>
      <c r="H19" s="3">
        <f t="shared" ca="1" si="3"/>
        <v>171961.0828035443</v>
      </c>
      <c r="I19" s="4">
        <f t="shared" ca="1" si="4"/>
        <v>2011611.294519681</v>
      </c>
      <c r="J19" s="4"/>
    </row>
    <row r="20" spans="3:10">
      <c r="C20">
        <f t="shared" si="0"/>
        <v>10</v>
      </c>
      <c r="D20">
        <v>9</v>
      </c>
      <c r="E20" s="3">
        <f t="shared" ca="1" si="1"/>
        <v>404305.70764033287</v>
      </c>
      <c r="F20" s="3">
        <f t="shared" ca="1" si="2"/>
        <v>251451.41181496016</v>
      </c>
      <c r="G20" s="4">
        <f t="shared" ca="1" si="5"/>
        <v>152854.29582537271</v>
      </c>
      <c r="H20" s="3">
        <f t="shared" ca="1" si="3"/>
        <v>152854.29582537271</v>
      </c>
      <c r="I20" s="4">
        <f t="shared" ca="1" si="4"/>
        <v>1760159.8827047208</v>
      </c>
      <c r="J20" s="4"/>
    </row>
    <row r="21" spans="3:10">
      <c r="C21">
        <f t="shared" si="0"/>
        <v>11</v>
      </c>
      <c r="D21">
        <v>10</v>
      </c>
      <c r="E21" s="3">
        <f t="shared" ca="1" si="1"/>
        <v>385198.92066216125</v>
      </c>
      <c r="F21" s="3">
        <f t="shared" ca="1" si="2"/>
        <v>251451.41181496016</v>
      </c>
      <c r="G21" s="4">
        <f t="shared" ca="1" si="5"/>
        <v>133747.5088472011</v>
      </c>
      <c r="H21" s="3">
        <f t="shared" ca="1" si="3"/>
        <v>133747.5088472011</v>
      </c>
      <c r="I21" s="4">
        <f t="shared" ca="1" si="4"/>
        <v>1508708.4708897606</v>
      </c>
    </row>
    <row r="22" spans="3:10">
      <c r="C22">
        <f t="shared" si="0"/>
        <v>12</v>
      </c>
      <c r="D22">
        <v>11</v>
      </c>
      <c r="E22" s="3">
        <f t="shared" ca="1" si="1"/>
        <v>366092.13368398964</v>
      </c>
      <c r="F22" s="3">
        <f t="shared" ca="1" si="2"/>
        <v>251451.41181496016</v>
      </c>
      <c r="G22" s="4">
        <f t="shared" ca="1" si="5"/>
        <v>114640.72186902951</v>
      </c>
      <c r="H22" s="3">
        <f t="shared" ca="1" si="3"/>
        <v>114640.72186902951</v>
      </c>
      <c r="I22" s="4">
        <f t="shared" ca="1" si="4"/>
        <v>1257257.0590748005</v>
      </c>
    </row>
    <row r="23" spans="3:10">
      <c r="C23">
        <f t="shared" si="0"/>
        <v>13</v>
      </c>
      <c r="D23">
        <v>12</v>
      </c>
      <c r="E23" s="3">
        <f t="shared" ca="1" si="1"/>
        <v>346985.34670581808</v>
      </c>
      <c r="F23" s="3">
        <f t="shared" ca="1" si="2"/>
        <v>251451.41181496016</v>
      </c>
      <c r="G23" s="4">
        <f t="shared" ca="1" si="5"/>
        <v>95533.934890857927</v>
      </c>
      <c r="H23" s="3">
        <f t="shared" ca="1" si="3"/>
        <v>95533.934890857927</v>
      </c>
      <c r="I23" s="4">
        <f t="shared" ca="1" si="4"/>
        <v>1005805.6472598403</v>
      </c>
    </row>
    <row r="24" spans="3:10">
      <c r="C24">
        <f t="shared" si="0"/>
        <v>14</v>
      </c>
      <c r="D24">
        <v>13</v>
      </c>
      <c r="E24" s="3">
        <f t="shared" ca="1" si="1"/>
        <v>327878.55972764647</v>
      </c>
      <c r="F24" s="3">
        <f t="shared" ca="1" si="2"/>
        <v>251451.41181496016</v>
      </c>
      <c r="G24" s="4">
        <f t="shared" ca="1" si="5"/>
        <v>76427.147912686327</v>
      </c>
      <c r="H24" s="3">
        <f t="shared" ca="1" si="3"/>
        <v>76427.147912686327</v>
      </c>
      <c r="I24" s="4">
        <f t="shared" ca="1" si="4"/>
        <v>754354.23544488009</v>
      </c>
    </row>
    <row r="25" spans="3:10">
      <c r="C25">
        <f t="shared" si="0"/>
        <v>15</v>
      </c>
      <c r="D25">
        <v>14</v>
      </c>
      <c r="E25" s="3">
        <f t="shared" ca="1" si="1"/>
        <v>308771.77274947491</v>
      </c>
      <c r="F25" s="3">
        <f t="shared" ca="1" si="2"/>
        <v>251451.41181496016</v>
      </c>
      <c r="G25" s="4">
        <f ca="1">$D$7*I24</f>
        <v>57320.360934514742</v>
      </c>
      <c r="H25" s="3">
        <f t="shared" ca="1" si="3"/>
        <v>57320.360934514742</v>
      </c>
      <c r="I25" s="4">
        <f t="shared" ca="1" si="4"/>
        <v>502902.82362991991</v>
      </c>
    </row>
    <row r="26" spans="3:10">
      <c r="C26">
        <f t="shared" si="0"/>
        <v>16</v>
      </c>
      <c r="D26">
        <v>15</v>
      </c>
      <c r="E26" s="3">
        <f t="shared" ca="1" si="1"/>
        <v>289664.9857713033</v>
      </c>
      <c r="F26" s="3">
        <f t="shared" ca="1" si="2"/>
        <v>251451.41181496016</v>
      </c>
      <c r="G26" s="4">
        <f t="shared" ca="1" si="5"/>
        <v>38213.573956343149</v>
      </c>
      <c r="H26" s="3">
        <f t="shared" ca="1" si="3"/>
        <v>38213.573956343149</v>
      </c>
      <c r="I26" s="4">
        <f t="shared" ca="1" si="4"/>
        <v>251451.41181495975</v>
      </c>
    </row>
    <row r="27" spans="3:10">
      <c r="C27">
        <f t="shared" si="0"/>
        <v>17</v>
      </c>
      <c r="D27">
        <v>16</v>
      </c>
      <c r="E27" s="3">
        <f t="shared" ca="1" si="1"/>
        <v>270558.19879313174</v>
      </c>
      <c r="F27" s="3">
        <f t="shared" ca="1" si="2"/>
        <v>251451.41181496016</v>
      </c>
      <c r="G27" s="4">
        <f t="shared" ca="1" si="5"/>
        <v>19106.78697817156</v>
      </c>
      <c r="H27" s="3">
        <f t="shared" ca="1" si="3"/>
        <v>19106.78697817156</v>
      </c>
      <c r="I27" s="4">
        <f t="shared" ca="1" si="4"/>
        <v>-4.0745362639427185E-10</v>
      </c>
    </row>
    <row r="28" spans="3:10">
      <c r="C28">
        <f t="shared" si="0"/>
        <v>18</v>
      </c>
      <c r="D28">
        <v>17</v>
      </c>
      <c r="E28" s="3">
        <f t="shared" ca="1" si="1"/>
        <v>-3.0960771255195185E-11</v>
      </c>
      <c r="F28" s="3">
        <f t="shared" ca="1" si="2"/>
        <v>0</v>
      </c>
      <c r="G28" s="4">
        <f t="shared" ca="1" si="5"/>
        <v>-3.0960771255195185E-11</v>
      </c>
      <c r="H28" s="3">
        <f ca="1">IF(IF(D28&gt;$D$6,1,0),G28,0)</f>
        <v>-3.0960771255195185E-11</v>
      </c>
      <c r="I28" s="4">
        <f t="shared" ca="1" si="4"/>
        <v>-4.3841439764946702E-10</v>
      </c>
    </row>
    <row r="29" spans="3:10">
      <c r="C29">
        <f t="shared" si="0"/>
        <v>19</v>
      </c>
      <c r="D29">
        <v>18</v>
      </c>
      <c r="E29" s="3">
        <f t="shared" ca="1" si="1"/>
        <v>-3.3313356419792446E-11</v>
      </c>
      <c r="F29" s="3">
        <f t="shared" ca="1" si="2"/>
        <v>0</v>
      </c>
      <c r="G29" s="4">
        <f t="shared" ca="1" si="5"/>
        <v>-3.3313356419792446E-11</v>
      </c>
      <c r="H29" s="3">
        <f t="shared" ca="1" si="3"/>
        <v>-3.3313356419792446E-11</v>
      </c>
      <c r="I29" s="4">
        <f t="shared" ca="1" si="4"/>
        <v>-4.7172775406925949E-10</v>
      </c>
    </row>
    <row r="30" spans="3:10">
      <c r="C30">
        <f t="shared" si="0"/>
        <v>20</v>
      </c>
      <c r="D30">
        <v>19</v>
      </c>
      <c r="E30" s="3">
        <f t="shared" ca="1" si="1"/>
        <v>-3.58447051207068E-11</v>
      </c>
      <c r="F30" s="3">
        <f t="shared" ca="1" si="2"/>
        <v>0</v>
      </c>
      <c r="G30" s="4">
        <f t="shared" ca="1" si="5"/>
        <v>-3.58447051207068E-11</v>
      </c>
      <c r="H30" s="3">
        <f t="shared" ca="1" si="3"/>
        <v>-3.58447051207068E-11</v>
      </c>
      <c r="I30" s="4">
        <f t="shared" ca="1" si="4"/>
        <v>-5.0757245918996626E-10</v>
      </c>
    </row>
    <row r="31" spans="3:10">
      <c r="C31">
        <f t="shared" si="0"/>
        <v>21</v>
      </c>
      <c r="D31">
        <v>20</v>
      </c>
      <c r="E31" s="3">
        <f t="shared" ca="1" si="1"/>
        <v>-3.8568400884008828E-11</v>
      </c>
      <c r="F31" s="3">
        <f t="shared" ca="1" si="2"/>
        <v>0</v>
      </c>
      <c r="G31" s="4">
        <f t="shared" ca="1" si="5"/>
        <v>-3.8568400884008828E-11</v>
      </c>
      <c r="H31" s="3">
        <f t="shared" ca="1" si="3"/>
        <v>-3.8568400884008828E-11</v>
      </c>
      <c r="I31" s="4">
        <f t="shared" ca="1" si="4"/>
        <v>-5.4614086007397512E-10</v>
      </c>
    </row>
    <row r="32" spans="3:10">
      <c r="C32">
        <f t="shared" si="0"/>
        <v>22</v>
      </c>
      <c r="D32">
        <v>21</v>
      </c>
      <c r="E32" s="3">
        <f t="shared" ca="1" si="1"/>
        <v>-4.1499059393581135E-11</v>
      </c>
      <c r="F32" s="3">
        <f t="shared" ca="1" si="2"/>
        <v>0</v>
      </c>
      <c r="G32" s="4">
        <f t="shared" ca="1" si="5"/>
        <v>-4.1499059393581135E-11</v>
      </c>
      <c r="H32" s="3">
        <f t="shared" ca="1" si="3"/>
        <v>-4.1499059393581135E-11</v>
      </c>
      <c r="I32" s="4">
        <f t="shared" ca="1" si="4"/>
        <v>-5.8763991946755625E-10</v>
      </c>
    </row>
    <row r="33" spans="3:9">
      <c r="C33">
        <f t="shared" si="0"/>
        <v>23</v>
      </c>
      <c r="D33">
        <v>22</v>
      </c>
      <c r="E33" s="3">
        <f t="shared" ca="1" si="1"/>
        <v>-4.4652406920661795E-11</v>
      </c>
      <c r="F33" s="3">
        <f t="shared" ca="1" si="2"/>
        <v>0</v>
      </c>
      <c r="G33" s="4">
        <f t="shared" ca="1" si="5"/>
        <v>-4.4652406920661795E-11</v>
      </c>
      <c r="H33" s="3">
        <f t="shared" ca="1" si="3"/>
        <v>-4.4652406920661795E-11</v>
      </c>
      <c r="I33" s="4">
        <f t="shared" ca="1" si="4"/>
        <v>-6.3229232638821805E-10</v>
      </c>
    </row>
    <row r="34" spans="3:9">
      <c r="C34">
        <f t="shared" si="0"/>
        <v>24</v>
      </c>
      <c r="D34">
        <v>23</v>
      </c>
      <c r="E34" s="3">
        <f t="shared" ca="1" si="1"/>
        <v>-4.8045364712935206E-11</v>
      </c>
      <c r="F34" s="3">
        <f t="shared" ca="1" si="2"/>
        <v>0</v>
      </c>
      <c r="G34" s="4">
        <f t="shared" ca="1" si="5"/>
        <v>-4.8045364712935206E-11</v>
      </c>
      <c r="H34" s="3">
        <f t="shared" ca="1" si="3"/>
        <v>-4.8045364712935206E-11</v>
      </c>
      <c r="I34" s="4">
        <f t="shared" ca="1" si="4"/>
        <v>-6.8033769110115327E-10</v>
      </c>
    </row>
    <row r="35" spans="3:9">
      <c r="C35">
        <f t="shared" si="0"/>
        <v>25</v>
      </c>
      <c r="D35">
        <v>24</v>
      </c>
      <c r="E35" s="3">
        <f t="shared" ca="1" si="1"/>
        <v>-5.1696139796012305E-11</v>
      </c>
      <c r="F35" s="3">
        <f t="shared" ca="1" si="2"/>
        <v>0</v>
      </c>
      <c r="G35" s="4">
        <f t="shared" ca="1" si="5"/>
        <v>-5.1696139796012305E-11</v>
      </c>
      <c r="H35" s="3">
        <f t="shared" ca="1" si="3"/>
        <v>-5.1696139796012305E-11</v>
      </c>
      <c r="I35" s="4">
        <f t="shared" ca="1" si="4"/>
        <v>-7.3203383089716558E-10</v>
      </c>
    </row>
    <row r="36" spans="3:9">
      <c r="C36">
        <f t="shared" si="0"/>
        <v>26</v>
      </c>
      <c r="D36">
        <v>25</v>
      </c>
      <c r="E36" s="3">
        <f t="shared" ca="1" si="1"/>
        <v>-5.56243226745521E-11</v>
      </c>
      <c r="F36" s="3">
        <f t="shared" ca="1" si="2"/>
        <v>0</v>
      </c>
      <c r="G36" s="4">
        <f t="shared" ca="1" si="5"/>
        <v>-5.56243226745521E-11</v>
      </c>
      <c r="H36" s="3">
        <f t="shared" ca="1" si="3"/>
        <v>-5.56243226745521E-11</v>
      </c>
      <c r="I36" s="4">
        <f t="shared" ca="1" si="4"/>
        <v>-7.8765815357171768E-10</v>
      </c>
    </row>
    <row r="37" spans="3:9">
      <c r="C37">
        <f t="shared" si="0"/>
        <v>27</v>
      </c>
      <c r="D37">
        <v>26</v>
      </c>
      <c r="E37" s="3">
        <f t="shared" ca="1" si="1"/>
        <v>-5.985099245730062E-11</v>
      </c>
      <c r="F37" s="3">
        <f t="shared" ca="1" si="2"/>
        <v>0</v>
      </c>
      <c r="G37" s="4">
        <f t="shared" ca="1" si="5"/>
        <v>-5.985099245730062E-11</v>
      </c>
      <c r="H37" s="3">
        <f t="shared" ca="1" si="3"/>
        <v>-5.985099245730062E-11</v>
      </c>
      <c r="I37" s="4">
        <f t="shared" ca="1" si="4"/>
        <v>-8.4750914602901829E-10</v>
      </c>
    </row>
    <row r="38" spans="3:9">
      <c r="C38">
        <f t="shared" si="0"/>
        <v>28</v>
      </c>
      <c r="D38">
        <v>27</v>
      </c>
      <c r="E38" s="3">
        <f t="shared" ca="1" si="1"/>
        <v>-6.4398829970161077E-11</v>
      </c>
      <c r="F38" s="3">
        <f t="shared" ca="1" si="2"/>
        <v>0</v>
      </c>
      <c r="G38" s="4">
        <f t="shared" ca="1" si="5"/>
        <v>-6.4398829970161077E-11</v>
      </c>
      <c r="H38" s="3">
        <f t="shared" ca="1" si="3"/>
        <v>-6.4398829970161077E-11</v>
      </c>
      <c r="I38" s="4">
        <f t="shared" ca="1" si="4"/>
        <v>-9.1190797599917936E-10</v>
      </c>
    </row>
    <row r="39" spans="3:9">
      <c r="C39">
        <f t="shared" si="0"/>
        <v>29</v>
      </c>
      <c r="D39">
        <v>28</v>
      </c>
      <c r="E39" s="3">
        <f t="shared" ca="1" si="1"/>
        <v>-6.9292239464273737E-11</v>
      </c>
      <c r="F39" s="3">
        <f t="shared" ca="1" si="2"/>
        <v>0</v>
      </c>
      <c r="G39" s="4">
        <f t="shared" ca="1" si="5"/>
        <v>-6.9292239464273737E-11</v>
      </c>
      <c r="H39" s="3">
        <f t="shared" ca="1" si="3"/>
        <v>-6.9292239464273737E-11</v>
      </c>
      <c r="I39" s="4">
        <f t="shared" ca="1" si="4"/>
        <v>-9.8120021546345307E-10</v>
      </c>
    </row>
    <row r="40" spans="3:9">
      <c r="C40">
        <f t="shared" si="0"/>
        <v>30</v>
      </c>
      <c r="D40">
        <v>29</v>
      </c>
      <c r="E40" s="3">
        <f t="shared" ca="1" si="1"/>
        <v>-7.4557479572206051E-11</v>
      </c>
      <c r="F40" s="3">
        <f t="shared" ca="1" si="2"/>
        <v>0</v>
      </c>
      <c r="G40" s="4">
        <f t="shared" ca="1" si="5"/>
        <v>-7.4557479572206051E-11</v>
      </c>
      <c r="H40" s="3">
        <f t="shared" ca="1" si="3"/>
        <v>-7.4557479572206051E-11</v>
      </c>
      <c r="I40" s="4">
        <f t="shared" ca="1" si="4"/>
        <v>-1.0557576950356592E-9</v>
      </c>
    </row>
    <row r="41" spans="3:9">
      <c r="C41">
        <f t="shared" si="0"/>
        <v>31</v>
      </c>
      <c r="D41">
        <v>30</v>
      </c>
      <c r="E41" s="3">
        <f t="shared" ca="1" si="1"/>
        <v>-8.0222804214979716E-11</v>
      </c>
      <c r="F41" s="3">
        <f t="shared" ca="1" si="2"/>
        <v>0</v>
      </c>
      <c r="G41" s="4">
        <f t="shared" ca="1" si="5"/>
        <v>-8.0222804214979716E-11</v>
      </c>
      <c r="H41" s="3">
        <f t="shared" ca="1" si="3"/>
        <v>-8.0222804214979716E-11</v>
      </c>
      <c r="I41" s="4">
        <f t="shared" ca="1" si="4"/>
        <v>-1.1359804992506389E-9</v>
      </c>
    </row>
    <row r="42" spans="3:9">
      <c r="C42">
        <f t="shared" si="0"/>
        <v>32</v>
      </c>
      <c r="D42">
        <v>31</v>
      </c>
      <c r="E42" s="3">
        <f t="shared" ca="1" si="1"/>
        <v>-8.6318614216059169E-11</v>
      </c>
      <c r="F42" s="3">
        <f t="shared" ca="1" si="2"/>
        <v>0</v>
      </c>
      <c r="G42" s="4">
        <f t="shared" ca="1" si="5"/>
        <v>-8.6318614216059169E-11</v>
      </c>
      <c r="H42" s="3">
        <f t="shared" ca="1" si="3"/>
        <v>-8.6318614216059169E-11</v>
      </c>
      <c r="I42" s="4">
        <f t="shared" ca="1" si="4"/>
        <v>-1.222299113466698E-9</v>
      </c>
    </row>
    <row r="43" spans="3:9">
      <c r="C43">
        <f t="shared" si="0"/>
        <v>33</v>
      </c>
      <c r="D43">
        <v>32</v>
      </c>
      <c r="E43" s="3">
        <f t="shared" ca="1" si="1"/>
        <v>-9.2877620435880642E-11</v>
      </c>
      <c r="F43" s="3">
        <f t="shared" ca="1" si="2"/>
        <v>0</v>
      </c>
      <c r="G43" s="4">
        <f t="shared" ca="1" si="5"/>
        <v>-9.2877620435880642E-11</v>
      </c>
      <c r="H43" s="3">
        <f t="shared" ca="1" si="3"/>
        <v>-9.2877620435880642E-11</v>
      </c>
      <c r="I43" s="4">
        <f t="shared" ca="1" si="4"/>
        <v>-1.3151767339025787E-9</v>
      </c>
    </row>
    <row r="44" spans="3:9">
      <c r="C44">
        <f t="shared" si="0"/>
        <v>34</v>
      </c>
      <c r="D44">
        <v>33</v>
      </c>
      <c r="E44" s="3">
        <f t="shared" ca="1" si="1"/>
        <v>-9.9935019302321492E-11</v>
      </c>
      <c r="F44" s="3">
        <f t="shared" ca="1" si="2"/>
        <v>0</v>
      </c>
      <c r="G44" s="4">
        <f t="shared" ca="1" si="5"/>
        <v>-9.9935019302321492E-11</v>
      </c>
      <c r="H44" s="3">
        <f t="shared" ca="1" si="3"/>
        <v>-9.9935019302321492E-11</v>
      </c>
      <c r="I44" s="4">
        <f t="shared" ca="1" si="4"/>
        <v>-1.4151117532049001E-9</v>
      </c>
    </row>
    <row r="45" spans="3:9">
      <c r="C45">
        <f t="shared" si="0"/>
        <v>35</v>
      </c>
      <c r="D45">
        <v>34</v>
      </c>
      <c r="E45" s="3">
        <f t="shared" ca="1" si="1"/>
        <v>-1.075286816790277E-10</v>
      </c>
      <c r="F45" s="3">
        <f t="shared" ca="1" si="2"/>
        <v>0</v>
      </c>
      <c r="G45" s="4">
        <f t="shared" ca="1" si="5"/>
        <v>-1.075286816790277E-10</v>
      </c>
      <c r="H45" s="3">
        <f t="shared" ca="1" si="3"/>
        <v>-1.075286816790277E-10</v>
      </c>
      <c r="I45" s="4">
        <f t="shared" ca="1" si="4"/>
        <v>-1.5226404348839279E-9</v>
      </c>
    </row>
    <row r="46" spans="3:9">
      <c r="C46">
        <f t="shared" si="0"/>
        <v>36</v>
      </c>
      <c r="D46">
        <v>35</v>
      </c>
      <c r="E46" s="3">
        <f t="shared" ca="1" si="1"/>
        <v>-1.1569935608509031E-10</v>
      </c>
      <c r="F46" s="3">
        <f t="shared" ca="1" si="2"/>
        <v>0</v>
      </c>
      <c r="G46" s="4">
        <f t="shared" ca="1" si="5"/>
        <v>-1.1569935608509031E-10</v>
      </c>
      <c r="H46" s="3">
        <f t="shared" ca="1" si="3"/>
        <v>-1.1569935608509031E-10</v>
      </c>
      <c r="I46" s="4">
        <f t="shared" ca="1" si="4"/>
        <v>-1.6383397909690184E-9</v>
      </c>
    </row>
    <row r="47" spans="3:9">
      <c r="D47" t="s">
        <v>82</v>
      </c>
      <c r="E47" s="3">
        <f ca="1">SUM(E11:E46)</f>
        <v>4507746.3260769062</v>
      </c>
      <c r="F47" s="3">
        <f ca="1">SUM(F11:F46)</f>
        <v>3017416.9417795218</v>
      </c>
      <c r="G47" s="3">
        <f ca="1">SUM(G11:G46)</f>
        <v>2256573.4782789056</v>
      </c>
      <c r="H47" s="3">
        <f ca="1">SUM(H12:H46)</f>
        <v>1490329.3842973837</v>
      </c>
    </row>
    <row r="49" spans="7:7">
      <c r="G49" s="3"/>
    </row>
    <row r="50" spans="7:7">
      <c r="G50" s="331"/>
    </row>
    <row r="51" spans="7:7">
      <c r="G51" s="4"/>
    </row>
    <row r="69" spans="2:2">
      <c r="B69" t="s">
        <v>656</v>
      </c>
    </row>
  </sheetData>
  <sheetProtection password="C655" sheet="1" objects="1" scenarios="1"/>
  <customSheetViews>
    <customSheetView guid="{30D5658C-25B6-44C0-9599-95A19C107C6A}" scale="80">
      <selection activeCell="I17" sqref="I17"/>
      <pageMargins left="0" right="0" top="0" bottom="0" header="0" footer="0"/>
      <pageSetup paperSize="9" orientation="portrait" horizontalDpi="360" verticalDpi="360" r:id="rId1"/>
    </customSheetView>
  </customSheetViews>
  <mergeCells count="1">
    <mergeCell ref="A1:G2"/>
  </mergeCells>
  <conditionalFormatting sqref="K6:K7">
    <cfRule type="cellIs" dxfId="6" priority="1" operator="equal">
      <formula>"erro"</formula>
    </cfRule>
    <cfRule type="cellIs" dxfId="5" priority="2" operator="equal">
      <formula>"ok"</formula>
    </cfRule>
  </conditionalFormatting>
  <conditionalFormatting sqref="AG5">
    <cfRule type="cellIs" dxfId="4" priority="5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0"/>
  <sheetViews>
    <sheetView zoomScale="80" zoomScaleNormal="80" workbookViewId="0">
      <selection activeCell="G95" sqref="G95"/>
    </sheetView>
  </sheetViews>
  <sheetFormatPr defaultRowHeight="15"/>
  <cols>
    <col min="1" max="1" width="11.140625" style="56" customWidth="1"/>
    <col min="2" max="2" width="7.5703125" customWidth="1"/>
    <col min="3" max="3" width="25" customWidth="1"/>
    <col min="4" max="4" width="15.42578125" customWidth="1"/>
    <col min="5" max="5" width="12" customWidth="1"/>
    <col min="6" max="7" width="16.28515625" customWidth="1"/>
    <col min="8" max="8" width="17.42578125" customWidth="1"/>
    <col min="9" max="9" width="20.28515625" customWidth="1"/>
    <col min="10" max="10" width="17.42578125" customWidth="1"/>
    <col min="11" max="11" width="19" customWidth="1"/>
    <col min="12" max="12" width="16.28515625" customWidth="1"/>
    <col min="13" max="13" width="17.5703125" customWidth="1"/>
    <col min="14" max="14" width="19.5703125" customWidth="1"/>
    <col min="15" max="15" width="18" customWidth="1"/>
    <col min="16" max="17" width="17.28515625" customWidth="1"/>
    <col min="18" max="18" width="17.5703125" customWidth="1"/>
    <col min="19" max="43" width="22.7109375" customWidth="1"/>
  </cols>
  <sheetData>
    <row r="1" spans="1:42" s="56" customFormat="1">
      <c r="A1" s="416" t="s">
        <v>657</v>
      </c>
      <c r="B1" s="416"/>
      <c r="C1" s="416"/>
      <c r="D1" s="416"/>
      <c r="E1" s="416"/>
      <c r="F1" s="416"/>
      <c r="G1" s="416"/>
      <c r="H1" s="416"/>
    </row>
    <row r="2" spans="1:42" s="56" customFormat="1">
      <c r="A2" s="416"/>
      <c r="B2" s="416"/>
      <c r="C2" s="416"/>
      <c r="D2" s="416"/>
      <c r="E2" s="416"/>
      <c r="F2" s="416"/>
      <c r="G2" s="416"/>
      <c r="H2" s="416"/>
    </row>
    <row r="3" spans="1:42" ht="15" customHeight="1"/>
    <row r="4" spans="1:42" ht="14.45" customHeight="1">
      <c r="F4" s="50"/>
      <c r="G4" s="50"/>
    </row>
    <row r="5" spans="1:42" ht="14.45" customHeight="1">
      <c r="C5" s="40" t="s">
        <v>658</v>
      </c>
      <c r="I5" s="52"/>
    </row>
    <row r="6" spans="1:42" ht="16.149999999999999" customHeight="1">
      <c r="C6" s="432" t="s">
        <v>659</v>
      </c>
      <c r="D6" s="433"/>
    </row>
    <row r="7" spans="1:42" ht="15" customHeight="1">
      <c r="C7" s="42" t="s">
        <v>660</v>
      </c>
      <c r="D7" s="23" t="s">
        <v>661</v>
      </c>
      <c r="G7" s="38">
        <f>'Demonstrações Financeiras '!E4</f>
        <v>2025</v>
      </c>
      <c r="H7" s="38">
        <f>'Demonstrações Financeiras '!F4</f>
        <v>2026</v>
      </c>
      <c r="I7" s="38">
        <f>'Demonstrações Financeiras '!G4</f>
        <v>2027</v>
      </c>
      <c r="J7" s="38">
        <f>'Demonstrações Financeiras '!H4</f>
        <v>2028</v>
      </c>
      <c r="K7" s="38">
        <f>'Demonstrações Financeiras '!I4</f>
        <v>2029</v>
      </c>
      <c r="L7" s="38">
        <f>'Demonstrações Financeiras '!J4</f>
        <v>2030</v>
      </c>
      <c r="M7" s="38">
        <f>'Demonstrações Financeiras '!K4</f>
        <v>2031</v>
      </c>
      <c r="N7" s="38">
        <f>'Demonstrações Financeiras '!L4</f>
        <v>2032</v>
      </c>
      <c r="O7" s="38">
        <f>'Demonstrações Financeiras '!M4</f>
        <v>2033</v>
      </c>
      <c r="P7" s="38">
        <f>'Demonstrações Financeiras '!N4</f>
        <v>2034</v>
      </c>
      <c r="Q7" s="38">
        <f>'Demonstrações Financeiras '!O4</f>
        <v>2035</v>
      </c>
      <c r="R7" s="38">
        <f>'Demonstrações Financeiras '!P4</f>
        <v>2036</v>
      </c>
      <c r="S7" s="38">
        <f>'Demonstrações Financeiras '!Q4</f>
        <v>2037</v>
      </c>
      <c r="T7" s="38">
        <f>'Demonstrações Financeiras '!R4</f>
        <v>2038</v>
      </c>
      <c r="U7" s="38">
        <f>'Demonstrações Financeiras '!S4</f>
        <v>2039</v>
      </c>
      <c r="V7" s="38">
        <f>'Demonstrações Financeiras '!T4</f>
        <v>2040</v>
      </c>
      <c r="W7" s="38">
        <f>'Demonstrações Financeiras '!U4</f>
        <v>2041</v>
      </c>
      <c r="X7" s="38">
        <f>'Demonstrações Financeiras '!V4</f>
        <v>2042</v>
      </c>
      <c r="Y7" s="38">
        <f>'Demonstrações Financeiras '!W4</f>
        <v>2043</v>
      </c>
      <c r="Z7" s="38">
        <f>'Demonstrações Financeiras '!X4</f>
        <v>2044</v>
      </c>
      <c r="AA7" s="38">
        <f>'Demonstrações Financeiras '!Y4</f>
        <v>2045</v>
      </c>
      <c r="AB7" s="38">
        <f>'Demonstrações Financeiras '!Z4</f>
        <v>2046</v>
      </c>
      <c r="AC7" s="38">
        <f>'Demonstrações Financeiras '!AA4</f>
        <v>2047</v>
      </c>
      <c r="AD7" s="38">
        <f>'Demonstrações Financeiras '!AB4</f>
        <v>2048</v>
      </c>
      <c r="AE7" s="38">
        <f>'Demonstrações Financeiras '!AC4</f>
        <v>2049</v>
      </c>
      <c r="AF7" s="38">
        <f>'Demonstrações Financeiras '!AD4</f>
        <v>2050</v>
      </c>
      <c r="AG7" s="38">
        <f>'Demonstrações Financeiras '!AE4</f>
        <v>2051</v>
      </c>
      <c r="AH7" s="38">
        <f>'Demonstrações Financeiras '!AF4</f>
        <v>2052</v>
      </c>
      <c r="AI7" s="38">
        <f>'Demonstrações Financeiras '!AG4</f>
        <v>2053</v>
      </c>
      <c r="AJ7" s="38">
        <f>'Demonstrações Financeiras '!AH4</f>
        <v>2054</v>
      </c>
      <c r="AK7" s="38">
        <f>'Demonstrações Financeiras '!AI4</f>
        <v>2055</v>
      </c>
      <c r="AL7" s="38">
        <f>'Demonstrações Financeiras '!AJ4</f>
        <v>2056</v>
      </c>
      <c r="AM7" s="38">
        <f>'Demonstrações Financeiras '!AK4</f>
        <v>2057</v>
      </c>
      <c r="AN7" s="38">
        <f>'Demonstrações Financeiras '!AL4</f>
        <v>2058</v>
      </c>
      <c r="AO7" s="38">
        <f>'Demonstrações Financeiras '!AM4</f>
        <v>2059</v>
      </c>
      <c r="AP7" s="38">
        <f>'Demonstrações Financeiras '!AN4</f>
        <v>2060</v>
      </c>
    </row>
    <row r="8" spans="1:42" ht="15" customHeight="1">
      <c r="C8" s="44" t="s">
        <v>662</v>
      </c>
      <c r="D8" s="320">
        <v>6.4999999999999997E-3</v>
      </c>
      <c r="G8" s="33" t="s">
        <v>231</v>
      </c>
      <c r="H8" s="33" t="s">
        <v>232</v>
      </c>
      <c r="I8" s="33">
        <v>2</v>
      </c>
      <c r="J8" s="33">
        <v>3</v>
      </c>
      <c r="K8" s="33">
        <v>4</v>
      </c>
      <c r="L8" s="33">
        <v>5</v>
      </c>
      <c r="M8" s="33">
        <v>6</v>
      </c>
      <c r="N8" s="33">
        <v>7</v>
      </c>
      <c r="O8" s="33">
        <v>8</v>
      </c>
      <c r="P8" s="33">
        <v>9</v>
      </c>
      <c r="Q8" s="33">
        <v>10</v>
      </c>
      <c r="R8" s="33">
        <v>11</v>
      </c>
      <c r="S8" s="33">
        <v>12</v>
      </c>
      <c r="T8" s="33">
        <v>13</v>
      </c>
      <c r="U8" s="33">
        <v>14</v>
      </c>
      <c r="V8" s="33">
        <v>15</v>
      </c>
      <c r="W8" s="33">
        <v>16</v>
      </c>
      <c r="X8" s="33">
        <v>17</v>
      </c>
      <c r="Y8" s="33">
        <v>18</v>
      </c>
      <c r="Z8" s="33">
        <v>19</v>
      </c>
      <c r="AA8" s="33">
        <v>20</v>
      </c>
      <c r="AB8" s="33">
        <v>21</v>
      </c>
      <c r="AC8" s="33">
        <v>22</v>
      </c>
      <c r="AD8" s="33">
        <v>23</v>
      </c>
      <c r="AE8" s="33">
        <v>24</v>
      </c>
      <c r="AF8" s="33">
        <v>25</v>
      </c>
      <c r="AG8" s="33">
        <v>26</v>
      </c>
      <c r="AH8" s="33">
        <v>27</v>
      </c>
      <c r="AI8" s="33">
        <v>28</v>
      </c>
      <c r="AJ8" s="33">
        <v>29</v>
      </c>
      <c r="AK8" s="33">
        <v>30</v>
      </c>
      <c r="AL8" s="33">
        <v>31</v>
      </c>
      <c r="AM8" s="33">
        <v>32</v>
      </c>
      <c r="AN8" s="33">
        <v>33</v>
      </c>
      <c r="AO8" s="33">
        <v>34</v>
      </c>
      <c r="AP8" s="33">
        <v>35</v>
      </c>
    </row>
    <row r="9" spans="1:42" ht="15" customHeight="1">
      <c r="C9" s="44" t="s">
        <v>663</v>
      </c>
      <c r="D9" s="320">
        <v>0.03</v>
      </c>
      <c r="F9" s="41" t="s">
        <v>664</v>
      </c>
      <c r="G9" s="39">
        <f>'Premissas Gerais'!L35</f>
        <v>0</v>
      </c>
      <c r="H9" s="39">
        <f>'Premissas Gerais'!M35</f>
        <v>0</v>
      </c>
      <c r="I9" s="39">
        <f>'Premissas Gerais'!N35</f>
        <v>0</v>
      </c>
      <c r="J9" s="39">
        <f>'Premissas Gerais'!O35</f>
        <v>3293070.4950780007</v>
      </c>
      <c r="K9" s="39">
        <f>'Premissas Gerais'!P35</f>
        <v>3293070.4950780007</v>
      </c>
      <c r="L9" s="39">
        <f>'Premissas Gerais'!Q35</f>
        <v>3293070.4950780007</v>
      </c>
      <c r="M9" s="39">
        <f>'Premissas Gerais'!R35</f>
        <v>3293070.4950780007</v>
      </c>
      <c r="N9" s="39">
        <f>'Premissas Gerais'!S35</f>
        <v>3293070.4950780007</v>
      </c>
      <c r="O9" s="39">
        <f>'Premissas Gerais'!T35</f>
        <v>3293070.4950780007</v>
      </c>
      <c r="P9" s="39">
        <f>'Premissas Gerais'!U35</f>
        <v>3293070.4950780007</v>
      </c>
      <c r="Q9" s="39">
        <f>'Premissas Gerais'!V35</f>
        <v>3293070.4950780007</v>
      </c>
      <c r="R9" s="39">
        <f>'Premissas Gerais'!W35</f>
        <v>3293070.4950780007</v>
      </c>
      <c r="S9" s="39">
        <f>'Premissas Gerais'!X35</f>
        <v>3296920.4100840008</v>
      </c>
      <c r="T9" s="39">
        <f>'Premissas Gerais'!Y35</f>
        <v>3296920.4100840008</v>
      </c>
      <c r="U9" s="39">
        <f>'Premissas Gerais'!Z35</f>
        <v>3296920.4100840008</v>
      </c>
      <c r="V9" s="39">
        <f>'Premissas Gerais'!AA35</f>
        <v>3296920.4100840008</v>
      </c>
      <c r="W9" s="39">
        <f>'Premissas Gerais'!AB35</f>
        <v>3296920.4100840008</v>
      </c>
      <c r="X9" s="39">
        <f>'Premissas Gerais'!AC35</f>
        <v>3296920.4100840008</v>
      </c>
      <c r="Y9" s="39">
        <f>'Premissas Gerais'!AD35</f>
        <v>3296920.4100840008</v>
      </c>
      <c r="Z9" s="39">
        <f>'Premissas Gerais'!AE35</f>
        <v>3296920.4100840008</v>
      </c>
      <c r="AA9" s="39">
        <f>'Premissas Gerais'!AF35</f>
        <v>3296920.4100840008</v>
      </c>
      <c r="AB9" s="39">
        <f>'Premissas Gerais'!AG35</f>
        <v>3296920.4100840008</v>
      </c>
      <c r="AC9" s="39">
        <f>'Premissas Gerais'!AH35</f>
        <v>3296920.4100840008</v>
      </c>
      <c r="AD9" s="39">
        <f>'Premissas Gerais'!AI35</f>
        <v>3296920.4100840008</v>
      </c>
      <c r="AE9" s="39">
        <f>'Premissas Gerais'!AJ35</f>
        <v>3296920.4100840008</v>
      </c>
      <c r="AF9" s="39">
        <f>'Premissas Gerais'!AK35</f>
        <v>3296920.4100840008</v>
      </c>
      <c r="AG9" s="39">
        <f>'Premissas Gerais'!AL35</f>
        <v>3296920.4100840008</v>
      </c>
      <c r="AH9" s="39">
        <f>'Premissas Gerais'!AM35</f>
        <v>3296920.4100840008</v>
      </c>
      <c r="AI9" s="39">
        <f>'Premissas Gerais'!AN35</f>
        <v>3296920.4100840008</v>
      </c>
      <c r="AJ9" s="39">
        <f>'Premissas Gerais'!AO35</f>
        <v>3296920.4100840008</v>
      </c>
      <c r="AK9" s="39">
        <f>'Premissas Gerais'!AP35</f>
        <v>3296920.4100840008</v>
      </c>
      <c r="AL9" s="39">
        <f>'Premissas Gerais'!AQ35</f>
        <v>3296920.4100840008</v>
      </c>
      <c r="AM9" s="39">
        <f>'Premissas Gerais'!AR35</f>
        <v>3296920.4100840008</v>
      </c>
      <c r="AN9" s="39">
        <f>'Premissas Gerais'!AS35</f>
        <v>3296920.4100840008</v>
      </c>
      <c r="AO9" s="39">
        <f>'Premissas Gerais'!AT35</f>
        <v>3296920.4100840008</v>
      </c>
      <c r="AP9" s="39">
        <f>'Premissas Gerais'!AU35</f>
        <v>3296920.4100840008</v>
      </c>
    </row>
    <row r="10" spans="1:42" ht="15" customHeight="1">
      <c r="C10" s="44" t="s">
        <v>665</v>
      </c>
      <c r="D10" s="320">
        <v>0.05</v>
      </c>
      <c r="F10" s="40" t="s">
        <v>666</v>
      </c>
      <c r="G10" s="43">
        <f>SUM(G11:G14)</f>
        <v>0</v>
      </c>
      <c r="H10" s="43">
        <f>SUM(H11:H14)</f>
        <v>0</v>
      </c>
      <c r="I10" s="43">
        <f>SUM(I11:I14)</f>
        <v>0</v>
      </c>
      <c r="J10" s="43">
        <f>SUM(J11:J14)</f>
        <v>284850.59782424709</v>
      </c>
      <c r="K10" s="43">
        <f t="shared" ref="K10:AP10" si="0">SUM(K11:K14)</f>
        <v>284850.59782424709</v>
      </c>
      <c r="L10" s="43">
        <f t="shared" si="0"/>
        <v>284850.59782424709</v>
      </c>
      <c r="M10" s="43">
        <f t="shared" si="0"/>
        <v>284850.59782424709</v>
      </c>
      <c r="N10" s="43">
        <f>SUM(N11:N14)</f>
        <v>284850.59782424709</v>
      </c>
      <c r="O10" s="43">
        <f t="shared" si="0"/>
        <v>284850.59782424709</v>
      </c>
      <c r="P10" s="43">
        <f t="shared" si="0"/>
        <v>284850.59782424709</v>
      </c>
      <c r="Q10" s="43">
        <f t="shared" si="0"/>
        <v>284850.59782424709</v>
      </c>
      <c r="R10" s="43">
        <f t="shared" si="0"/>
        <v>284850.59782424709</v>
      </c>
      <c r="S10" s="43">
        <f t="shared" si="0"/>
        <v>285183.6154722661</v>
      </c>
      <c r="T10" s="43">
        <f t="shared" si="0"/>
        <v>285183.6154722661</v>
      </c>
      <c r="U10" s="43">
        <f t="shared" si="0"/>
        <v>285183.6154722661</v>
      </c>
      <c r="V10" s="43">
        <f t="shared" si="0"/>
        <v>285183.6154722661</v>
      </c>
      <c r="W10" s="43">
        <f t="shared" si="0"/>
        <v>285183.6154722661</v>
      </c>
      <c r="X10" s="43">
        <f t="shared" si="0"/>
        <v>285183.6154722661</v>
      </c>
      <c r="Y10" s="43">
        <f t="shared" si="0"/>
        <v>285183.6154722661</v>
      </c>
      <c r="Z10" s="43">
        <f t="shared" si="0"/>
        <v>285183.6154722661</v>
      </c>
      <c r="AA10" s="43">
        <f t="shared" si="0"/>
        <v>285183.6154722661</v>
      </c>
      <c r="AB10" s="43">
        <f t="shared" si="0"/>
        <v>285183.6154722661</v>
      </c>
      <c r="AC10" s="43">
        <f t="shared" si="0"/>
        <v>285183.6154722661</v>
      </c>
      <c r="AD10" s="43">
        <f t="shared" si="0"/>
        <v>285183.6154722661</v>
      </c>
      <c r="AE10" s="43">
        <f t="shared" si="0"/>
        <v>285183.6154722661</v>
      </c>
      <c r="AF10" s="43">
        <f t="shared" si="0"/>
        <v>285183.6154722661</v>
      </c>
      <c r="AG10" s="43">
        <f t="shared" si="0"/>
        <v>285183.6154722661</v>
      </c>
      <c r="AH10" s="43">
        <f t="shared" si="0"/>
        <v>285183.6154722661</v>
      </c>
      <c r="AI10" s="43">
        <f t="shared" si="0"/>
        <v>285183.6154722661</v>
      </c>
      <c r="AJ10" s="43">
        <f t="shared" si="0"/>
        <v>285183.6154722661</v>
      </c>
      <c r="AK10" s="43">
        <f t="shared" si="0"/>
        <v>285183.6154722661</v>
      </c>
      <c r="AL10" s="43">
        <f t="shared" si="0"/>
        <v>285183.6154722661</v>
      </c>
      <c r="AM10" s="43">
        <f t="shared" si="0"/>
        <v>285183.6154722661</v>
      </c>
      <c r="AN10" s="43">
        <f t="shared" si="0"/>
        <v>285183.6154722661</v>
      </c>
      <c r="AO10" s="43">
        <f t="shared" si="0"/>
        <v>285183.6154722661</v>
      </c>
      <c r="AP10" s="43">
        <f t="shared" si="0"/>
        <v>285183.6154722661</v>
      </c>
    </row>
    <row r="11" spans="1:42" ht="15" customHeight="1">
      <c r="C11" s="44" t="s">
        <v>667</v>
      </c>
      <c r="D11" s="320">
        <f>IF(E6="Lucro Real",21%,0%)</f>
        <v>0</v>
      </c>
      <c r="F11" s="45" t="str">
        <f>C8</f>
        <v>PIS</v>
      </c>
      <c r="G11" s="46">
        <f>G$9*$D8</f>
        <v>0</v>
      </c>
      <c r="H11" s="46">
        <f t="shared" ref="H11:AP11" si="1">H$9*$D8</f>
        <v>0</v>
      </c>
      <c r="I11" s="46">
        <f t="shared" si="1"/>
        <v>0</v>
      </c>
      <c r="J11" s="46">
        <f t="shared" si="1"/>
        <v>21404.958218007003</v>
      </c>
      <c r="K11" s="46">
        <f t="shared" si="1"/>
        <v>21404.958218007003</v>
      </c>
      <c r="L11" s="46">
        <f t="shared" si="1"/>
        <v>21404.958218007003</v>
      </c>
      <c r="M11" s="46">
        <f t="shared" si="1"/>
        <v>21404.958218007003</v>
      </c>
      <c r="N11" s="46">
        <f t="shared" si="1"/>
        <v>21404.958218007003</v>
      </c>
      <c r="O11" s="46">
        <f t="shared" si="1"/>
        <v>21404.958218007003</v>
      </c>
      <c r="P11" s="46">
        <f t="shared" si="1"/>
        <v>21404.958218007003</v>
      </c>
      <c r="Q11" s="46">
        <f t="shared" si="1"/>
        <v>21404.958218007003</v>
      </c>
      <c r="R11" s="46">
        <f t="shared" si="1"/>
        <v>21404.958218007003</v>
      </c>
      <c r="S11" s="46">
        <f t="shared" si="1"/>
        <v>21429.982665546006</v>
      </c>
      <c r="T11" s="46">
        <f t="shared" si="1"/>
        <v>21429.982665546006</v>
      </c>
      <c r="U11" s="46">
        <f t="shared" si="1"/>
        <v>21429.982665546006</v>
      </c>
      <c r="V11" s="46">
        <f t="shared" si="1"/>
        <v>21429.982665546006</v>
      </c>
      <c r="W11" s="46">
        <f t="shared" si="1"/>
        <v>21429.982665546006</v>
      </c>
      <c r="X11" s="46">
        <f t="shared" si="1"/>
        <v>21429.982665546006</v>
      </c>
      <c r="Y11" s="46">
        <f t="shared" si="1"/>
        <v>21429.982665546006</v>
      </c>
      <c r="Z11" s="46">
        <f t="shared" si="1"/>
        <v>21429.982665546006</v>
      </c>
      <c r="AA11" s="46">
        <f t="shared" si="1"/>
        <v>21429.982665546006</v>
      </c>
      <c r="AB11" s="46">
        <f t="shared" si="1"/>
        <v>21429.982665546006</v>
      </c>
      <c r="AC11" s="46">
        <f t="shared" si="1"/>
        <v>21429.982665546006</v>
      </c>
      <c r="AD11" s="46">
        <f t="shared" si="1"/>
        <v>21429.982665546006</v>
      </c>
      <c r="AE11" s="46">
        <f t="shared" si="1"/>
        <v>21429.982665546006</v>
      </c>
      <c r="AF11" s="46">
        <f t="shared" si="1"/>
        <v>21429.982665546006</v>
      </c>
      <c r="AG11" s="46">
        <f t="shared" si="1"/>
        <v>21429.982665546006</v>
      </c>
      <c r="AH11" s="46">
        <f t="shared" si="1"/>
        <v>21429.982665546006</v>
      </c>
      <c r="AI11" s="46">
        <f t="shared" si="1"/>
        <v>21429.982665546006</v>
      </c>
      <c r="AJ11" s="46">
        <f t="shared" si="1"/>
        <v>21429.982665546006</v>
      </c>
      <c r="AK11" s="46">
        <f t="shared" si="1"/>
        <v>21429.982665546006</v>
      </c>
      <c r="AL11" s="46">
        <f t="shared" si="1"/>
        <v>21429.982665546006</v>
      </c>
      <c r="AM11" s="46">
        <f t="shared" si="1"/>
        <v>21429.982665546006</v>
      </c>
      <c r="AN11" s="46">
        <f t="shared" si="1"/>
        <v>21429.982665546006</v>
      </c>
      <c r="AO11" s="46">
        <f t="shared" si="1"/>
        <v>21429.982665546006</v>
      </c>
      <c r="AP11" s="46">
        <f t="shared" si="1"/>
        <v>21429.982665546006</v>
      </c>
    </row>
    <row r="12" spans="1:42" ht="15" customHeight="1">
      <c r="F12" s="45" t="str">
        <f>C9</f>
        <v>COFINS</v>
      </c>
      <c r="G12" s="46">
        <f>G$9*$D9</f>
        <v>0</v>
      </c>
      <c r="H12" s="46">
        <f t="shared" ref="H12:AP12" si="2">H$9*$D9</f>
        <v>0</v>
      </c>
      <c r="I12" s="46">
        <f t="shared" si="2"/>
        <v>0</v>
      </c>
      <c r="J12" s="46">
        <f t="shared" si="2"/>
        <v>98792.114852340019</v>
      </c>
      <c r="K12" s="46">
        <f t="shared" si="2"/>
        <v>98792.114852340019</v>
      </c>
      <c r="L12" s="46">
        <f t="shared" si="2"/>
        <v>98792.114852340019</v>
      </c>
      <c r="M12" s="46">
        <f t="shared" si="2"/>
        <v>98792.114852340019</v>
      </c>
      <c r="N12" s="46">
        <f t="shared" si="2"/>
        <v>98792.114852340019</v>
      </c>
      <c r="O12" s="46">
        <f t="shared" si="2"/>
        <v>98792.114852340019</v>
      </c>
      <c r="P12" s="46">
        <f t="shared" si="2"/>
        <v>98792.114852340019</v>
      </c>
      <c r="Q12" s="46">
        <f t="shared" si="2"/>
        <v>98792.114852340019</v>
      </c>
      <c r="R12" s="46">
        <f t="shared" si="2"/>
        <v>98792.114852340019</v>
      </c>
      <c r="S12" s="46">
        <f t="shared" si="2"/>
        <v>98907.612302520021</v>
      </c>
      <c r="T12" s="46">
        <f t="shared" si="2"/>
        <v>98907.612302520021</v>
      </c>
      <c r="U12" s="46">
        <f t="shared" si="2"/>
        <v>98907.612302520021</v>
      </c>
      <c r="V12" s="46">
        <f t="shared" si="2"/>
        <v>98907.612302520021</v>
      </c>
      <c r="W12" s="46">
        <f t="shared" si="2"/>
        <v>98907.612302520021</v>
      </c>
      <c r="X12" s="46">
        <f t="shared" si="2"/>
        <v>98907.612302520021</v>
      </c>
      <c r="Y12" s="46">
        <f t="shared" si="2"/>
        <v>98907.612302520021</v>
      </c>
      <c r="Z12" s="46">
        <f t="shared" si="2"/>
        <v>98907.612302520021</v>
      </c>
      <c r="AA12" s="46">
        <f t="shared" si="2"/>
        <v>98907.612302520021</v>
      </c>
      <c r="AB12" s="46">
        <f t="shared" si="2"/>
        <v>98907.612302520021</v>
      </c>
      <c r="AC12" s="46">
        <f t="shared" si="2"/>
        <v>98907.612302520021</v>
      </c>
      <c r="AD12" s="46">
        <f t="shared" si="2"/>
        <v>98907.612302520021</v>
      </c>
      <c r="AE12" s="46">
        <f t="shared" si="2"/>
        <v>98907.612302520021</v>
      </c>
      <c r="AF12" s="46">
        <f t="shared" si="2"/>
        <v>98907.612302520021</v>
      </c>
      <c r="AG12" s="46">
        <f t="shared" si="2"/>
        <v>98907.612302520021</v>
      </c>
      <c r="AH12" s="46">
        <f t="shared" si="2"/>
        <v>98907.612302520021</v>
      </c>
      <c r="AI12" s="46">
        <f t="shared" si="2"/>
        <v>98907.612302520021</v>
      </c>
      <c r="AJ12" s="46">
        <f t="shared" si="2"/>
        <v>98907.612302520021</v>
      </c>
      <c r="AK12" s="46">
        <f t="shared" si="2"/>
        <v>98907.612302520021</v>
      </c>
      <c r="AL12" s="46">
        <f t="shared" si="2"/>
        <v>98907.612302520021</v>
      </c>
      <c r="AM12" s="46">
        <f t="shared" si="2"/>
        <v>98907.612302520021</v>
      </c>
      <c r="AN12" s="46">
        <f t="shared" si="2"/>
        <v>98907.612302520021</v>
      </c>
      <c r="AO12" s="46">
        <f t="shared" si="2"/>
        <v>98907.612302520021</v>
      </c>
      <c r="AP12" s="46">
        <f t="shared" si="2"/>
        <v>98907.612302520021</v>
      </c>
    </row>
    <row r="13" spans="1:42" ht="15" customHeight="1">
      <c r="F13" s="45" t="str">
        <f>C10</f>
        <v>ISS</v>
      </c>
      <c r="G13" s="46">
        <f>G$9*$D10</f>
        <v>0</v>
      </c>
      <c r="H13" s="46">
        <f t="shared" ref="H13:AP13" si="3">H$9*$D10</f>
        <v>0</v>
      </c>
      <c r="I13" s="46">
        <f t="shared" si="3"/>
        <v>0</v>
      </c>
      <c r="J13" s="46">
        <f t="shared" si="3"/>
        <v>164653.52475390004</v>
      </c>
      <c r="K13" s="46">
        <f t="shared" si="3"/>
        <v>164653.52475390004</v>
      </c>
      <c r="L13" s="46">
        <f t="shared" si="3"/>
        <v>164653.52475390004</v>
      </c>
      <c r="M13" s="46">
        <f t="shared" si="3"/>
        <v>164653.52475390004</v>
      </c>
      <c r="N13" s="46">
        <f t="shared" si="3"/>
        <v>164653.52475390004</v>
      </c>
      <c r="O13" s="46">
        <f t="shared" si="3"/>
        <v>164653.52475390004</v>
      </c>
      <c r="P13" s="46">
        <f t="shared" si="3"/>
        <v>164653.52475390004</v>
      </c>
      <c r="Q13" s="46">
        <f t="shared" si="3"/>
        <v>164653.52475390004</v>
      </c>
      <c r="R13" s="46">
        <f t="shared" si="3"/>
        <v>164653.52475390004</v>
      </c>
      <c r="S13" s="46">
        <f t="shared" si="3"/>
        <v>164846.02050420005</v>
      </c>
      <c r="T13" s="46">
        <f t="shared" si="3"/>
        <v>164846.02050420005</v>
      </c>
      <c r="U13" s="46">
        <f t="shared" si="3"/>
        <v>164846.02050420005</v>
      </c>
      <c r="V13" s="46">
        <f t="shared" si="3"/>
        <v>164846.02050420005</v>
      </c>
      <c r="W13" s="46">
        <f t="shared" si="3"/>
        <v>164846.02050420005</v>
      </c>
      <c r="X13" s="46">
        <f t="shared" si="3"/>
        <v>164846.02050420005</v>
      </c>
      <c r="Y13" s="46">
        <f t="shared" si="3"/>
        <v>164846.02050420005</v>
      </c>
      <c r="Z13" s="46">
        <f t="shared" si="3"/>
        <v>164846.02050420005</v>
      </c>
      <c r="AA13" s="46">
        <f t="shared" si="3"/>
        <v>164846.02050420005</v>
      </c>
      <c r="AB13" s="46">
        <f t="shared" si="3"/>
        <v>164846.02050420005</v>
      </c>
      <c r="AC13" s="46">
        <f t="shared" si="3"/>
        <v>164846.02050420005</v>
      </c>
      <c r="AD13" s="46">
        <f t="shared" si="3"/>
        <v>164846.02050420005</v>
      </c>
      <c r="AE13" s="46">
        <f t="shared" si="3"/>
        <v>164846.02050420005</v>
      </c>
      <c r="AF13" s="46">
        <f t="shared" si="3"/>
        <v>164846.02050420005</v>
      </c>
      <c r="AG13" s="46">
        <f t="shared" si="3"/>
        <v>164846.02050420005</v>
      </c>
      <c r="AH13" s="46">
        <f t="shared" si="3"/>
        <v>164846.02050420005</v>
      </c>
      <c r="AI13" s="46">
        <f t="shared" si="3"/>
        <v>164846.02050420005</v>
      </c>
      <c r="AJ13" s="46">
        <f t="shared" si="3"/>
        <v>164846.02050420005</v>
      </c>
      <c r="AK13" s="46">
        <f t="shared" si="3"/>
        <v>164846.02050420005</v>
      </c>
      <c r="AL13" s="46">
        <f t="shared" si="3"/>
        <v>164846.02050420005</v>
      </c>
      <c r="AM13" s="46">
        <f t="shared" si="3"/>
        <v>164846.02050420005</v>
      </c>
      <c r="AN13" s="46">
        <f t="shared" si="3"/>
        <v>164846.02050420005</v>
      </c>
      <c r="AO13" s="46">
        <f t="shared" si="3"/>
        <v>164846.02050420005</v>
      </c>
      <c r="AP13" s="46">
        <f t="shared" si="3"/>
        <v>164846.02050420005</v>
      </c>
    </row>
    <row r="14" spans="1:42" ht="15" customHeight="1">
      <c r="C14" s="40" t="s">
        <v>668</v>
      </c>
      <c r="F14" s="45" t="str">
        <f>C11</f>
        <v>ICMS</v>
      </c>
      <c r="G14" s="46">
        <f>G$9*$D11</f>
        <v>0</v>
      </c>
      <c r="H14" s="46">
        <f t="shared" ref="H14:AP14" si="4">H$9*$D11</f>
        <v>0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  <c r="W14" s="46">
        <f t="shared" si="4"/>
        <v>0</v>
      </c>
      <c r="X14" s="46">
        <f t="shared" si="4"/>
        <v>0</v>
      </c>
      <c r="Y14" s="46">
        <f t="shared" si="4"/>
        <v>0</v>
      </c>
      <c r="Z14" s="46">
        <f t="shared" si="4"/>
        <v>0</v>
      </c>
      <c r="AA14" s="46">
        <f t="shared" si="4"/>
        <v>0</v>
      </c>
      <c r="AB14" s="46">
        <f t="shared" si="4"/>
        <v>0</v>
      </c>
      <c r="AC14" s="46">
        <f t="shared" si="4"/>
        <v>0</v>
      </c>
      <c r="AD14" s="46">
        <f t="shared" si="4"/>
        <v>0</v>
      </c>
      <c r="AE14" s="46">
        <f t="shared" si="4"/>
        <v>0</v>
      </c>
      <c r="AF14" s="46">
        <f t="shared" si="4"/>
        <v>0</v>
      </c>
      <c r="AG14" s="46">
        <f t="shared" si="4"/>
        <v>0</v>
      </c>
      <c r="AH14" s="46">
        <f t="shared" si="4"/>
        <v>0</v>
      </c>
      <c r="AI14" s="46">
        <f t="shared" si="4"/>
        <v>0</v>
      </c>
      <c r="AJ14" s="46">
        <f t="shared" si="4"/>
        <v>0</v>
      </c>
      <c r="AK14" s="46">
        <f t="shared" si="4"/>
        <v>0</v>
      </c>
      <c r="AL14" s="46">
        <f t="shared" si="4"/>
        <v>0</v>
      </c>
      <c r="AM14" s="46">
        <f t="shared" si="4"/>
        <v>0</v>
      </c>
      <c r="AN14" s="46">
        <f t="shared" si="4"/>
        <v>0</v>
      </c>
      <c r="AO14" s="46">
        <f t="shared" si="4"/>
        <v>0</v>
      </c>
      <c r="AP14" s="46">
        <f t="shared" si="4"/>
        <v>0</v>
      </c>
    </row>
    <row r="15" spans="1:42" ht="15" customHeight="1">
      <c r="C15" s="432" t="s">
        <v>669</v>
      </c>
      <c r="D15" s="433"/>
      <c r="F15" s="43" t="s">
        <v>670</v>
      </c>
      <c r="G15" s="43">
        <f>SUM(G17:G19)</f>
        <v>0</v>
      </c>
      <c r="H15" s="43">
        <f>SUM(H17:H19)</f>
        <v>0</v>
      </c>
      <c r="I15" s="43">
        <f t="shared" ref="I15:AP15" si="5">SUM(I17:I19)</f>
        <v>0</v>
      </c>
      <c r="J15" s="43">
        <f t="shared" si="5"/>
        <v>334286.06986448652</v>
      </c>
      <c r="K15" s="43">
        <f t="shared" si="5"/>
        <v>334286.06986448652</v>
      </c>
      <c r="L15" s="43">
        <f t="shared" si="5"/>
        <v>334286.06986448652</v>
      </c>
      <c r="M15" s="43">
        <f t="shared" si="5"/>
        <v>334286.06986448652</v>
      </c>
      <c r="N15" s="43">
        <f t="shared" si="5"/>
        <v>334286.06986448652</v>
      </c>
      <c r="O15" s="43">
        <f t="shared" si="5"/>
        <v>334286.06986448652</v>
      </c>
      <c r="P15" s="43">
        <f t="shared" si="5"/>
        <v>334286.06986448652</v>
      </c>
      <c r="Q15" s="43">
        <f t="shared" si="5"/>
        <v>334286.06986448652</v>
      </c>
      <c r="R15" s="43">
        <f t="shared" si="5"/>
        <v>334286.06986448652</v>
      </c>
      <c r="S15" s="43">
        <f t="shared" si="5"/>
        <v>334704.94061713933</v>
      </c>
      <c r="T15" s="43">
        <f t="shared" si="5"/>
        <v>334704.94061713933</v>
      </c>
      <c r="U15" s="43">
        <f t="shared" si="5"/>
        <v>334704.94061713933</v>
      </c>
      <c r="V15" s="43">
        <f t="shared" si="5"/>
        <v>334704.94061713933</v>
      </c>
      <c r="W15" s="43">
        <f t="shared" si="5"/>
        <v>334704.94061713933</v>
      </c>
      <c r="X15" s="43">
        <f t="shared" si="5"/>
        <v>334704.94061713933</v>
      </c>
      <c r="Y15" s="43">
        <f t="shared" si="5"/>
        <v>334704.94061713933</v>
      </c>
      <c r="Z15" s="43">
        <f t="shared" si="5"/>
        <v>334704.94061713933</v>
      </c>
      <c r="AA15" s="43">
        <f t="shared" si="5"/>
        <v>334704.94061713933</v>
      </c>
      <c r="AB15" s="43">
        <f t="shared" si="5"/>
        <v>334704.94061713933</v>
      </c>
      <c r="AC15" s="43">
        <f t="shared" si="5"/>
        <v>334704.94061713933</v>
      </c>
      <c r="AD15" s="43">
        <f t="shared" si="5"/>
        <v>334704.94061713933</v>
      </c>
      <c r="AE15" s="43">
        <f t="shared" si="5"/>
        <v>334704.94061713933</v>
      </c>
      <c r="AF15" s="43">
        <f t="shared" si="5"/>
        <v>334704.94061713933</v>
      </c>
      <c r="AG15" s="43">
        <f t="shared" si="5"/>
        <v>334704.94061713933</v>
      </c>
      <c r="AH15" s="43">
        <f t="shared" si="5"/>
        <v>334704.94061713933</v>
      </c>
      <c r="AI15" s="43">
        <f t="shared" si="5"/>
        <v>334704.94061713933</v>
      </c>
      <c r="AJ15" s="43">
        <f t="shared" si="5"/>
        <v>334704.94061713933</v>
      </c>
      <c r="AK15" s="43">
        <f t="shared" si="5"/>
        <v>334704.94061713933</v>
      </c>
      <c r="AL15" s="43">
        <f t="shared" si="5"/>
        <v>334704.94061713933</v>
      </c>
      <c r="AM15" s="43">
        <f t="shared" si="5"/>
        <v>334704.94061713933</v>
      </c>
      <c r="AN15" s="43">
        <f t="shared" si="5"/>
        <v>334704.94061713933</v>
      </c>
      <c r="AO15" s="43">
        <f t="shared" si="5"/>
        <v>334704.94061713933</v>
      </c>
      <c r="AP15" s="43">
        <f t="shared" si="5"/>
        <v>334704.94061713933</v>
      </c>
    </row>
    <row r="16" spans="1:42" ht="15" customHeight="1">
      <c r="C16" s="42" t="s">
        <v>660</v>
      </c>
      <c r="D16" s="23" t="s">
        <v>661</v>
      </c>
      <c r="F16" s="45" t="s">
        <v>671</v>
      </c>
      <c r="G16" s="47">
        <f>$D$21*G9</f>
        <v>0</v>
      </c>
      <c r="H16" s="47">
        <f>$D$21*H9</f>
        <v>0</v>
      </c>
      <c r="I16" s="47">
        <f>$D$21*I9</f>
        <v>0</v>
      </c>
      <c r="J16" s="47">
        <f>$D$21*J9</f>
        <v>1053782.5584249604</v>
      </c>
      <c r="K16" s="47">
        <f t="shared" ref="K16:AP16" si="6">$D$21*K9</f>
        <v>1053782.5584249604</v>
      </c>
      <c r="L16" s="47">
        <f t="shared" si="6"/>
        <v>1053782.5584249604</v>
      </c>
      <c r="M16" s="47">
        <f t="shared" si="6"/>
        <v>1053782.5584249604</v>
      </c>
      <c r="N16" s="47">
        <f t="shared" si="6"/>
        <v>1053782.5584249604</v>
      </c>
      <c r="O16" s="47">
        <f t="shared" si="6"/>
        <v>1053782.5584249604</v>
      </c>
      <c r="P16" s="47">
        <f t="shared" si="6"/>
        <v>1053782.5584249604</v>
      </c>
      <c r="Q16" s="47">
        <f t="shared" si="6"/>
        <v>1053782.5584249604</v>
      </c>
      <c r="R16" s="47">
        <f t="shared" si="6"/>
        <v>1053782.5584249604</v>
      </c>
      <c r="S16" s="47">
        <f t="shared" si="6"/>
        <v>1055014.5312268804</v>
      </c>
      <c r="T16" s="47">
        <f t="shared" si="6"/>
        <v>1055014.5312268804</v>
      </c>
      <c r="U16" s="47">
        <f t="shared" si="6"/>
        <v>1055014.5312268804</v>
      </c>
      <c r="V16" s="47">
        <f t="shared" si="6"/>
        <v>1055014.5312268804</v>
      </c>
      <c r="W16" s="47">
        <f t="shared" si="6"/>
        <v>1055014.5312268804</v>
      </c>
      <c r="X16" s="47">
        <f t="shared" si="6"/>
        <v>1055014.5312268804</v>
      </c>
      <c r="Y16" s="47">
        <f t="shared" si="6"/>
        <v>1055014.5312268804</v>
      </c>
      <c r="Z16" s="47">
        <f t="shared" si="6"/>
        <v>1055014.5312268804</v>
      </c>
      <c r="AA16" s="47">
        <f t="shared" si="6"/>
        <v>1055014.5312268804</v>
      </c>
      <c r="AB16" s="47">
        <f t="shared" si="6"/>
        <v>1055014.5312268804</v>
      </c>
      <c r="AC16" s="47">
        <f t="shared" si="6"/>
        <v>1055014.5312268804</v>
      </c>
      <c r="AD16" s="47">
        <f t="shared" si="6"/>
        <v>1055014.5312268804</v>
      </c>
      <c r="AE16" s="47">
        <f t="shared" si="6"/>
        <v>1055014.5312268804</v>
      </c>
      <c r="AF16" s="47">
        <f t="shared" si="6"/>
        <v>1055014.5312268804</v>
      </c>
      <c r="AG16" s="47">
        <f t="shared" si="6"/>
        <v>1055014.5312268804</v>
      </c>
      <c r="AH16" s="47">
        <f t="shared" si="6"/>
        <v>1055014.5312268804</v>
      </c>
      <c r="AI16" s="47">
        <f t="shared" si="6"/>
        <v>1055014.5312268804</v>
      </c>
      <c r="AJ16" s="47">
        <f t="shared" si="6"/>
        <v>1055014.5312268804</v>
      </c>
      <c r="AK16" s="47">
        <f t="shared" si="6"/>
        <v>1055014.5312268804</v>
      </c>
      <c r="AL16" s="47">
        <f t="shared" si="6"/>
        <v>1055014.5312268804</v>
      </c>
      <c r="AM16" s="47">
        <f t="shared" si="6"/>
        <v>1055014.5312268804</v>
      </c>
      <c r="AN16" s="47">
        <f t="shared" si="6"/>
        <v>1055014.5312268804</v>
      </c>
      <c r="AO16" s="47">
        <f t="shared" si="6"/>
        <v>1055014.5312268804</v>
      </c>
      <c r="AP16" s="47">
        <f t="shared" si="6"/>
        <v>1055014.5312268804</v>
      </c>
    </row>
    <row r="17" spans="3:42" ht="15" customHeight="1">
      <c r="C17" s="48" t="s">
        <v>672</v>
      </c>
      <c r="D17" s="49">
        <v>0.15</v>
      </c>
      <c r="F17" s="45" t="s">
        <v>673</v>
      </c>
      <c r="G17" s="47">
        <f>$D$17*G16</f>
        <v>0</v>
      </c>
      <c r="H17" s="47">
        <f>$D$17*H16</f>
        <v>0</v>
      </c>
      <c r="I17" s="47">
        <f>$D$17*I16</f>
        <v>0</v>
      </c>
      <c r="J17" s="47">
        <f>$D$17*J16</f>
        <v>158067.38376374406</v>
      </c>
      <c r="K17" s="47">
        <f t="shared" ref="K17:AP17" si="7">$D$17*K16</f>
        <v>158067.38376374406</v>
      </c>
      <c r="L17" s="47">
        <f t="shared" si="7"/>
        <v>158067.38376374406</v>
      </c>
      <c r="M17" s="47">
        <f t="shared" si="7"/>
        <v>158067.38376374406</v>
      </c>
      <c r="N17" s="47">
        <f t="shared" si="7"/>
        <v>158067.38376374406</v>
      </c>
      <c r="O17" s="47">
        <f t="shared" si="7"/>
        <v>158067.38376374406</v>
      </c>
      <c r="P17" s="47">
        <f t="shared" si="7"/>
        <v>158067.38376374406</v>
      </c>
      <c r="Q17" s="47">
        <f t="shared" si="7"/>
        <v>158067.38376374406</v>
      </c>
      <c r="R17" s="47">
        <f t="shared" si="7"/>
        <v>158067.38376374406</v>
      </c>
      <c r="S17" s="47">
        <f t="shared" si="7"/>
        <v>158252.17968403205</v>
      </c>
      <c r="T17" s="47">
        <f t="shared" si="7"/>
        <v>158252.17968403205</v>
      </c>
      <c r="U17" s="47">
        <f t="shared" si="7"/>
        <v>158252.17968403205</v>
      </c>
      <c r="V17" s="47">
        <f t="shared" si="7"/>
        <v>158252.17968403205</v>
      </c>
      <c r="W17" s="47">
        <f t="shared" si="7"/>
        <v>158252.17968403205</v>
      </c>
      <c r="X17" s="47">
        <f t="shared" si="7"/>
        <v>158252.17968403205</v>
      </c>
      <c r="Y17" s="47">
        <f t="shared" si="7"/>
        <v>158252.17968403205</v>
      </c>
      <c r="Z17" s="47">
        <f t="shared" si="7"/>
        <v>158252.17968403205</v>
      </c>
      <c r="AA17" s="47">
        <f t="shared" si="7"/>
        <v>158252.17968403205</v>
      </c>
      <c r="AB17" s="47">
        <f t="shared" si="7"/>
        <v>158252.17968403205</v>
      </c>
      <c r="AC17" s="47">
        <f t="shared" si="7"/>
        <v>158252.17968403205</v>
      </c>
      <c r="AD17" s="47">
        <f t="shared" si="7"/>
        <v>158252.17968403205</v>
      </c>
      <c r="AE17" s="47">
        <f t="shared" si="7"/>
        <v>158252.17968403205</v>
      </c>
      <c r="AF17" s="47">
        <f t="shared" si="7"/>
        <v>158252.17968403205</v>
      </c>
      <c r="AG17" s="47">
        <f t="shared" si="7"/>
        <v>158252.17968403205</v>
      </c>
      <c r="AH17" s="47">
        <f t="shared" si="7"/>
        <v>158252.17968403205</v>
      </c>
      <c r="AI17" s="47">
        <f t="shared" si="7"/>
        <v>158252.17968403205</v>
      </c>
      <c r="AJ17" s="47">
        <f t="shared" si="7"/>
        <v>158252.17968403205</v>
      </c>
      <c r="AK17" s="47">
        <f t="shared" si="7"/>
        <v>158252.17968403205</v>
      </c>
      <c r="AL17" s="47">
        <f t="shared" si="7"/>
        <v>158252.17968403205</v>
      </c>
      <c r="AM17" s="47">
        <f t="shared" si="7"/>
        <v>158252.17968403205</v>
      </c>
      <c r="AN17" s="47">
        <f t="shared" si="7"/>
        <v>158252.17968403205</v>
      </c>
      <c r="AO17" s="47">
        <f t="shared" si="7"/>
        <v>158252.17968403205</v>
      </c>
      <c r="AP17" s="47">
        <f t="shared" si="7"/>
        <v>158252.17968403205</v>
      </c>
    </row>
    <row r="18" spans="3:42" ht="15" customHeight="1">
      <c r="C18" s="48" t="s">
        <v>674</v>
      </c>
      <c r="D18" s="49">
        <v>0.1</v>
      </c>
      <c r="F18" s="45" t="s">
        <v>675</v>
      </c>
      <c r="G18" s="47">
        <f>IF(G16&gt;$D$19,(G16-$D$19)*$D$18,0)</f>
        <v>0</v>
      </c>
      <c r="H18" s="47">
        <f>IF(H16&gt;$D$19,(H16-$D$19)*$D$18,0)</f>
        <v>0</v>
      </c>
      <c r="I18" s="47">
        <f>IF(I16&gt;$D$19,(I16-$D$19)*$D$18,0)</f>
        <v>0</v>
      </c>
      <c r="J18" s="47">
        <f>IF(J16&gt;$D$19,(J16-$D$19)*$D$18,0)</f>
        <v>81378.255842496044</v>
      </c>
      <c r="K18" s="47">
        <f t="shared" ref="K18:AP18" si="8">IF(K16&gt;$D$19,(K16-$D$19)*$D$18,0)</f>
        <v>81378.255842496044</v>
      </c>
      <c r="L18" s="47">
        <f t="shared" si="8"/>
        <v>81378.255842496044</v>
      </c>
      <c r="M18" s="47">
        <f t="shared" si="8"/>
        <v>81378.255842496044</v>
      </c>
      <c r="N18" s="47">
        <f t="shared" si="8"/>
        <v>81378.255842496044</v>
      </c>
      <c r="O18" s="47">
        <f t="shared" si="8"/>
        <v>81378.255842496044</v>
      </c>
      <c r="P18" s="47">
        <f t="shared" si="8"/>
        <v>81378.255842496044</v>
      </c>
      <c r="Q18" s="47">
        <f t="shared" si="8"/>
        <v>81378.255842496044</v>
      </c>
      <c r="R18" s="47">
        <f t="shared" si="8"/>
        <v>81378.255842496044</v>
      </c>
      <c r="S18" s="47">
        <f t="shared" si="8"/>
        <v>81501.45312268805</v>
      </c>
      <c r="T18" s="47">
        <f t="shared" si="8"/>
        <v>81501.45312268805</v>
      </c>
      <c r="U18" s="47">
        <f t="shared" si="8"/>
        <v>81501.45312268805</v>
      </c>
      <c r="V18" s="47">
        <f t="shared" si="8"/>
        <v>81501.45312268805</v>
      </c>
      <c r="W18" s="47">
        <f t="shared" si="8"/>
        <v>81501.45312268805</v>
      </c>
      <c r="X18" s="47">
        <f t="shared" si="8"/>
        <v>81501.45312268805</v>
      </c>
      <c r="Y18" s="47">
        <f t="shared" si="8"/>
        <v>81501.45312268805</v>
      </c>
      <c r="Z18" s="47">
        <f t="shared" si="8"/>
        <v>81501.45312268805</v>
      </c>
      <c r="AA18" s="47">
        <f t="shared" si="8"/>
        <v>81501.45312268805</v>
      </c>
      <c r="AB18" s="47">
        <f t="shared" si="8"/>
        <v>81501.45312268805</v>
      </c>
      <c r="AC18" s="47">
        <f t="shared" si="8"/>
        <v>81501.45312268805</v>
      </c>
      <c r="AD18" s="47">
        <f t="shared" si="8"/>
        <v>81501.45312268805</v>
      </c>
      <c r="AE18" s="47">
        <f t="shared" si="8"/>
        <v>81501.45312268805</v>
      </c>
      <c r="AF18" s="47">
        <f t="shared" si="8"/>
        <v>81501.45312268805</v>
      </c>
      <c r="AG18" s="47">
        <f t="shared" si="8"/>
        <v>81501.45312268805</v>
      </c>
      <c r="AH18" s="47">
        <f t="shared" si="8"/>
        <v>81501.45312268805</v>
      </c>
      <c r="AI18" s="47">
        <f t="shared" si="8"/>
        <v>81501.45312268805</v>
      </c>
      <c r="AJ18" s="47">
        <f t="shared" si="8"/>
        <v>81501.45312268805</v>
      </c>
      <c r="AK18" s="47">
        <f t="shared" si="8"/>
        <v>81501.45312268805</v>
      </c>
      <c r="AL18" s="47">
        <f t="shared" si="8"/>
        <v>81501.45312268805</v>
      </c>
      <c r="AM18" s="47">
        <f t="shared" si="8"/>
        <v>81501.45312268805</v>
      </c>
      <c r="AN18" s="47">
        <f t="shared" si="8"/>
        <v>81501.45312268805</v>
      </c>
      <c r="AO18" s="47">
        <f t="shared" si="8"/>
        <v>81501.45312268805</v>
      </c>
      <c r="AP18" s="47">
        <f t="shared" si="8"/>
        <v>81501.45312268805</v>
      </c>
    </row>
    <row r="19" spans="3:42" ht="15" customHeight="1">
      <c r="C19" s="48" t="s">
        <v>676</v>
      </c>
      <c r="D19" s="51">
        <v>240000</v>
      </c>
      <c r="F19" s="45" t="s">
        <v>677</v>
      </c>
      <c r="G19" s="47">
        <f>$D$20*G16</f>
        <v>0</v>
      </c>
      <c r="H19" s="47">
        <f>$D$20*H16</f>
        <v>0</v>
      </c>
      <c r="I19" s="47">
        <f>$D$20*I16</f>
        <v>0</v>
      </c>
      <c r="J19" s="47">
        <f>$D$20*J16</f>
        <v>94840.43025824643</v>
      </c>
      <c r="K19" s="47">
        <f t="shared" ref="K19:AP19" si="9">$D$20*K16</f>
        <v>94840.43025824643</v>
      </c>
      <c r="L19" s="47">
        <f t="shared" si="9"/>
        <v>94840.43025824643</v>
      </c>
      <c r="M19" s="47">
        <f t="shared" si="9"/>
        <v>94840.43025824643</v>
      </c>
      <c r="N19" s="47">
        <f t="shared" si="9"/>
        <v>94840.43025824643</v>
      </c>
      <c r="O19" s="47">
        <f t="shared" si="9"/>
        <v>94840.43025824643</v>
      </c>
      <c r="P19" s="47">
        <f t="shared" si="9"/>
        <v>94840.43025824643</v>
      </c>
      <c r="Q19" s="47">
        <f t="shared" si="9"/>
        <v>94840.43025824643</v>
      </c>
      <c r="R19" s="47">
        <f t="shared" si="9"/>
        <v>94840.43025824643</v>
      </c>
      <c r="S19" s="47">
        <f t="shared" si="9"/>
        <v>94951.307810419225</v>
      </c>
      <c r="T19" s="47">
        <f t="shared" si="9"/>
        <v>94951.307810419225</v>
      </c>
      <c r="U19" s="47">
        <f t="shared" si="9"/>
        <v>94951.307810419225</v>
      </c>
      <c r="V19" s="47">
        <f t="shared" si="9"/>
        <v>94951.307810419225</v>
      </c>
      <c r="W19" s="47">
        <f t="shared" si="9"/>
        <v>94951.307810419225</v>
      </c>
      <c r="X19" s="47">
        <f t="shared" si="9"/>
        <v>94951.307810419225</v>
      </c>
      <c r="Y19" s="47">
        <f t="shared" si="9"/>
        <v>94951.307810419225</v>
      </c>
      <c r="Z19" s="47">
        <f t="shared" si="9"/>
        <v>94951.307810419225</v>
      </c>
      <c r="AA19" s="47">
        <f t="shared" si="9"/>
        <v>94951.307810419225</v>
      </c>
      <c r="AB19" s="47">
        <f t="shared" si="9"/>
        <v>94951.307810419225</v>
      </c>
      <c r="AC19" s="47">
        <f t="shared" si="9"/>
        <v>94951.307810419225</v>
      </c>
      <c r="AD19" s="47">
        <f t="shared" si="9"/>
        <v>94951.307810419225</v>
      </c>
      <c r="AE19" s="47">
        <f t="shared" si="9"/>
        <v>94951.307810419225</v>
      </c>
      <c r="AF19" s="47">
        <f t="shared" si="9"/>
        <v>94951.307810419225</v>
      </c>
      <c r="AG19" s="47">
        <f t="shared" si="9"/>
        <v>94951.307810419225</v>
      </c>
      <c r="AH19" s="47">
        <f t="shared" si="9"/>
        <v>94951.307810419225</v>
      </c>
      <c r="AI19" s="47">
        <f t="shared" si="9"/>
        <v>94951.307810419225</v>
      </c>
      <c r="AJ19" s="47">
        <f t="shared" si="9"/>
        <v>94951.307810419225</v>
      </c>
      <c r="AK19" s="47">
        <f t="shared" si="9"/>
        <v>94951.307810419225</v>
      </c>
      <c r="AL19" s="47">
        <f t="shared" si="9"/>
        <v>94951.307810419225</v>
      </c>
      <c r="AM19" s="47">
        <f t="shared" si="9"/>
        <v>94951.307810419225</v>
      </c>
      <c r="AN19" s="47">
        <f t="shared" si="9"/>
        <v>94951.307810419225</v>
      </c>
      <c r="AO19" s="47">
        <f t="shared" si="9"/>
        <v>94951.307810419225</v>
      </c>
      <c r="AP19" s="47">
        <f t="shared" si="9"/>
        <v>94951.307810419225</v>
      </c>
    </row>
    <row r="20" spans="3:42" ht="15" customHeight="1">
      <c r="C20" s="48" t="s">
        <v>677</v>
      </c>
      <c r="D20" s="49">
        <v>0.09</v>
      </c>
      <c r="G20" s="2">
        <f>IFERROR(G15/G16,0%)</f>
        <v>0</v>
      </c>
      <c r="H20" s="2">
        <f>IFERROR(H15/H16,0%)</f>
        <v>0</v>
      </c>
      <c r="I20" s="2">
        <f t="shared" ref="I20:AP20" si="10">IFERROR(I15/I16,0%)</f>
        <v>0</v>
      </c>
      <c r="J20" s="2">
        <f t="shared" si="10"/>
        <v>0.31722490298580031</v>
      </c>
      <c r="K20" s="2">
        <f t="shared" si="10"/>
        <v>0.31722490298580031</v>
      </c>
      <c r="L20" s="2">
        <f t="shared" si="10"/>
        <v>0.31722490298580031</v>
      </c>
      <c r="M20" s="2">
        <f t="shared" si="10"/>
        <v>0.31722490298580031</v>
      </c>
      <c r="N20" s="2">
        <f t="shared" si="10"/>
        <v>0.31722490298580031</v>
      </c>
      <c r="O20" s="2">
        <f t="shared" si="10"/>
        <v>0.31722490298580031</v>
      </c>
      <c r="P20" s="2">
        <f t="shared" si="10"/>
        <v>0.31722490298580031</v>
      </c>
      <c r="Q20" s="2">
        <f t="shared" si="10"/>
        <v>0.31722490298580031</v>
      </c>
      <c r="R20" s="2">
        <f t="shared" si="10"/>
        <v>0.31722490298580031</v>
      </c>
      <c r="S20" s="2">
        <f t="shared" si="10"/>
        <v>0.31725149816458897</v>
      </c>
      <c r="T20" s="2">
        <f t="shared" si="10"/>
        <v>0.31725149816458897</v>
      </c>
      <c r="U20" s="2">
        <f t="shared" si="10"/>
        <v>0.31725149816458897</v>
      </c>
      <c r="V20" s="2">
        <f t="shared" si="10"/>
        <v>0.31725149816458897</v>
      </c>
      <c r="W20" s="2">
        <f t="shared" si="10"/>
        <v>0.31725149816458897</v>
      </c>
      <c r="X20" s="2">
        <f t="shared" si="10"/>
        <v>0.31725149816458897</v>
      </c>
      <c r="Y20" s="2">
        <f t="shared" si="10"/>
        <v>0.31725149816458897</v>
      </c>
      <c r="Z20" s="2">
        <f t="shared" si="10"/>
        <v>0.31725149816458897</v>
      </c>
      <c r="AA20" s="2">
        <f t="shared" si="10"/>
        <v>0.31725149816458897</v>
      </c>
      <c r="AB20" s="2">
        <f t="shared" si="10"/>
        <v>0.31725149816458897</v>
      </c>
      <c r="AC20" s="2">
        <f t="shared" si="10"/>
        <v>0.31725149816458897</v>
      </c>
      <c r="AD20" s="2">
        <f t="shared" si="10"/>
        <v>0.31725149816458897</v>
      </c>
      <c r="AE20" s="2">
        <f t="shared" si="10"/>
        <v>0.31725149816458897</v>
      </c>
      <c r="AF20" s="2">
        <f t="shared" si="10"/>
        <v>0.31725149816458897</v>
      </c>
      <c r="AG20" s="2">
        <f t="shared" si="10"/>
        <v>0.31725149816458897</v>
      </c>
      <c r="AH20" s="2">
        <f t="shared" si="10"/>
        <v>0.31725149816458897</v>
      </c>
      <c r="AI20" s="2">
        <f t="shared" si="10"/>
        <v>0.31725149816458897</v>
      </c>
      <c r="AJ20" s="2">
        <f t="shared" si="10"/>
        <v>0.31725149816458897</v>
      </c>
      <c r="AK20" s="2">
        <f t="shared" si="10"/>
        <v>0.31725149816458897</v>
      </c>
      <c r="AL20" s="2">
        <f t="shared" si="10"/>
        <v>0.31725149816458897</v>
      </c>
      <c r="AM20" s="2">
        <f t="shared" si="10"/>
        <v>0.31725149816458897</v>
      </c>
      <c r="AN20" s="2">
        <f t="shared" si="10"/>
        <v>0.31725149816458897</v>
      </c>
      <c r="AO20" s="2">
        <f t="shared" si="10"/>
        <v>0.31725149816458897</v>
      </c>
      <c r="AP20" s="2">
        <f t="shared" si="10"/>
        <v>0.31725149816458897</v>
      </c>
    </row>
    <row r="21" spans="3:42" ht="15" customHeight="1">
      <c r="C21" s="48" t="s">
        <v>678</v>
      </c>
      <c r="D21" s="53">
        <v>0.32</v>
      </c>
      <c r="I21" s="45" t="s">
        <v>679</v>
      </c>
      <c r="M21" s="3"/>
    </row>
    <row r="22" spans="3:42" ht="15" customHeight="1">
      <c r="C22" s="48" t="s">
        <v>680</v>
      </c>
      <c r="D22" s="53">
        <v>0.3</v>
      </c>
      <c r="M22" s="3"/>
    </row>
    <row r="23" spans="3:42">
      <c r="C23" s="48" t="s">
        <v>681</v>
      </c>
      <c r="D23" s="54" t="s">
        <v>48</v>
      </c>
      <c r="M23" s="3"/>
    </row>
    <row r="24" spans="3:42">
      <c r="M24" s="3"/>
    </row>
    <row r="33" spans="2:2">
      <c r="B33" s="55"/>
    </row>
    <row r="37" spans="2:2">
      <c r="B37" s="55"/>
    </row>
    <row r="40" spans="2:2">
      <c r="B40" s="55"/>
    </row>
  </sheetData>
  <sheetProtection password="C655" sheet="1" objects="1" scenarios="1"/>
  <customSheetViews>
    <customSheetView guid="{30D5658C-25B6-44C0-9599-95A19C107C6A}" scale="80">
      <selection activeCell="I10" sqref="I10"/>
      <pageMargins left="0" right="0" top="0" bottom="0" header="0" footer="0"/>
    </customSheetView>
  </customSheetViews>
  <mergeCells count="3">
    <mergeCell ref="C6:D6"/>
    <mergeCell ref="C15:D15"/>
    <mergeCell ref="A1:H2"/>
  </mergeCells>
  <phoneticPr fontId="66" type="noConversion"/>
  <conditionalFormatting sqref="D8:D11">
    <cfRule type="cellIs" dxfId="3" priority="5" operator="equal">
      <formula>"Média"</formula>
    </cfRule>
    <cfRule type="cellIs" dxfId="2" priority="6" operator="equal">
      <formula>"Baixa"</formula>
    </cfRule>
    <cfRule type="cellIs" dxfId="1" priority="7" operator="equal">
      <formula>"Baixa"</formula>
    </cfRule>
    <cfRule type="cellIs" dxfId="0" priority="8" operator="equal">
      <formula>"Alta"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42"/>
  <sheetViews>
    <sheetView workbookViewId="0">
      <selection activeCell="BF5" sqref="BF5:BF39"/>
    </sheetView>
  </sheetViews>
  <sheetFormatPr defaultRowHeight="15"/>
  <cols>
    <col min="2" max="2" width="6.5703125" bestFit="1" customWidth="1"/>
    <col min="3" max="3" width="12.5703125" bestFit="1" customWidth="1"/>
    <col min="4" max="4" width="17.28515625" bestFit="1" customWidth="1"/>
    <col min="5" max="5" width="17.5703125" bestFit="1" customWidth="1"/>
    <col min="6" max="6" width="15.28515625" bestFit="1" customWidth="1"/>
    <col min="7" max="7" width="8" bestFit="1" customWidth="1"/>
    <col min="8" max="8" width="7.28515625" bestFit="1" customWidth="1"/>
    <col min="9" max="9" width="8.28515625" bestFit="1" customWidth="1"/>
    <col min="10" max="10" width="9.85546875" bestFit="1" customWidth="1"/>
    <col min="11" max="11" width="18" customWidth="1"/>
    <col min="12" max="12" width="6.5703125" bestFit="1" customWidth="1"/>
    <col min="13" max="13" width="7.28515625" bestFit="1" customWidth="1"/>
    <col min="14" max="14" width="7.85546875" bestFit="1" customWidth="1"/>
    <col min="15" max="15" width="8.28515625" bestFit="1" customWidth="1"/>
    <col min="16" max="16" width="6" bestFit="1" customWidth="1"/>
    <col min="17" max="17" width="8.28515625" bestFit="1" customWidth="1"/>
    <col min="19" max="19" width="6.5703125" bestFit="1" customWidth="1"/>
    <col min="20" max="20" width="14.7109375" bestFit="1" customWidth="1"/>
    <col min="22" max="22" width="6.5703125" bestFit="1" customWidth="1"/>
    <col min="23" max="23" width="15.140625" bestFit="1" customWidth="1"/>
    <col min="25" max="25" width="6.5703125" bestFit="1" customWidth="1"/>
    <col min="26" max="26" width="12.140625" bestFit="1" customWidth="1"/>
    <col min="27" max="27" width="14.28515625" bestFit="1" customWidth="1"/>
    <col min="30" max="30" width="6.5703125" bestFit="1" customWidth="1"/>
    <col min="31" max="31" width="14.28515625" bestFit="1" customWidth="1"/>
    <col min="32" max="33" width="9.140625" customWidth="1"/>
    <col min="34" max="34" width="21" bestFit="1" customWidth="1"/>
    <col min="35" max="35" width="30.7109375" bestFit="1" customWidth="1"/>
    <col min="36" max="36" width="27.7109375" customWidth="1"/>
    <col min="37" max="37" width="13" customWidth="1"/>
    <col min="38" max="40" width="9.140625" customWidth="1"/>
    <col min="41" max="41" width="6.5703125" bestFit="1" customWidth="1"/>
    <col min="42" max="42" width="9.42578125" customWidth="1"/>
    <col min="43" max="43" width="9.42578125" bestFit="1" customWidth="1"/>
    <col min="44" max="44" width="10" bestFit="1" customWidth="1"/>
    <col min="45" max="45" width="14.85546875" bestFit="1" customWidth="1"/>
    <col min="46" max="46" width="7.140625" bestFit="1" customWidth="1"/>
    <col min="50" max="50" width="9.7109375" bestFit="1" customWidth="1"/>
    <col min="51" max="52" width="9.7109375" customWidth="1"/>
    <col min="53" max="54" width="9.7109375" bestFit="1" customWidth="1"/>
    <col min="56" max="56" width="14.42578125" customWidth="1"/>
    <col min="57" max="57" width="12.42578125" bestFit="1" customWidth="1"/>
    <col min="58" max="58" width="9.7109375" bestFit="1" customWidth="1"/>
    <col min="60" max="60" width="15.85546875" hidden="1" customWidth="1"/>
    <col min="61" max="61" width="0" hidden="1" customWidth="1"/>
    <col min="64" max="64" width="25.28515625" bestFit="1" customWidth="1"/>
    <col min="65" max="65" width="17.42578125" customWidth="1"/>
  </cols>
  <sheetData>
    <row r="2" spans="2:66" s="377" customFormat="1">
      <c r="B2" s="378" t="s">
        <v>682</v>
      </c>
      <c r="L2" s="377" t="s">
        <v>683</v>
      </c>
      <c r="AP2" s="377" t="s">
        <v>326</v>
      </c>
      <c r="AX2" s="377" t="s">
        <v>684</v>
      </c>
      <c r="BD2" s="377" t="s">
        <v>685</v>
      </c>
    </row>
    <row r="4" spans="2:66" ht="51">
      <c r="C4" s="371" t="str">
        <f t="array" ref="C4:I4">TRANSPOSE('Premissas Gerais'!K43:K49)</f>
        <v>FOPAG  Direta</v>
      </c>
      <c r="D4" s="371" t="str">
        <v>Serviço de Terceiros</v>
      </c>
      <c r="E4" s="371" t="str">
        <v>Insumos Lavanderia/Hospedagem/Administração/ Enxoval</v>
      </c>
      <c r="F4" s="371" t="str">
        <v>Uniformes, fardamentos e EPI</v>
      </c>
      <c r="G4" s="371" t="str">
        <v>Internet</v>
      </c>
      <c r="H4" s="371" t="str">
        <v>Energia</v>
      </c>
      <c r="I4" s="371" t="str">
        <v>Água</v>
      </c>
      <c r="J4" s="371" t="str">
        <f t="array" ref="J4">TRANSPOSE('Premissas Gerais'!K51)</f>
        <v>Total</v>
      </c>
      <c r="L4" s="296"/>
      <c r="M4" s="288" t="s">
        <v>662</v>
      </c>
      <c r="N4" s="288" t="s">
        <v>663</v>
      </c>
      <c r="O4" s="288" t="s">
        <v>665</v>
      </c>
      <c r="P4" s="288" t="s">
        <v>667</v>
      </c>
      <c r="Q4" s="288" t="s">
        <v>82</v>
      </c>
      <c r="T4" s="288" t="s">
        <v>686</v>
      </c>
      <c r="W4" s="287" t="s">
        <v>687</v>
      </c>
      <c r="Y4" s="72">
        <f t="array" ref="Y4:AA40">TRANSPOSE(Capex!D248:AN250)</f>
        <v>0</v>
      </c>
      <c r="Z4" s="287" t="str">
        <v xml:space="preserve">Depreciação Investimentos </v>
      </c>
      <c r="AA4" s="287" t="str">
        <v xml:space="preserve">Depreciação Reinvestimentos </v>
      </c>
      <c r="AE4" s="287" t="s">
        <v>688</v>
      </c>
      <c r="AH4" s="287" t="s">
        <v>348</v>
      </c>
      <c r="AI4" s="287" t="s">
        <v>349</v>
      </c>
      <c r="AJ4" s="287" t="s">
        <v>350</v>
      </c>
      <c r="AK4" s="287" t="s">
        <v>351</v>
      </c>
      <c r="AP4" s="287" t="str">
        <f t="array" ref="AP4:AT4">TRANSPOSE(Seguros!E5:E9)</f>
        <v>Garantia de Execução</v>
      </c>
      <c r="AQ4" s="287" t="str">
        <v>Risco de engenharia</v>
      </c>
      <c r="AR4" s="287" t="str">
        <v>Risco Operacional</v>
      </c>
      <c r="AS4" s="287" t="str">
        <v>Responsabilidade civil</v>
      </c>
      <c r="AT4" s="287" t="str">
        <v xml:space="preserve">Total </v>
      </c>
      <c r="AX4" s="287" t="s">
        <v>689</v>
      </c>
      <c r="AY4" s="287" t="s">
        <v>690</v>
      </c>
      <c r="AZ4" s="287" t="s">
        <v>691</v>
      </c>
      <c r="BA4" s="287" t="s">
        <v>82</v>
      </c>
      <c r="BD4" s="376" t="s">
        <v>692</v>
      </c>
      <c r="BE4" s="287" t="s">
        <v>84</v>
      </c>
      <c r="BF4" s="287" t="s">
        <v>82</v>
      </c>
      <c r="BH4" s="376" t="s">
        <v>693</v>
      </c>
    </row>
    <row r="5" spans="2:66">
      <c r="B5" s="288">
        <f t="array" ref="B5:B39">TRANSPOSE('Premissas Gerais'!M42:AU42)</f>
        <v>1</v>
      </c>
      <c r="C5" s="112">
        <f t="array" ref="C5:I39">TRANSPOSE('Premissas Gerais'!M43:AU49)</f>
        <v>0</v>
      </c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f t="array" ref="J5:J39">TRANSPOSE('Premissas Gerais'!M51:AU51)</f>
        <v>0</v>
      </c>
      <c r="L5" s="288" t="str">
        <f t="array" ref="L5:L39">TRANSPOSE(Tributação!H8:AP8)</f>
        <v>Ano 1</v>
      </c>
      <c r="M5" s="112">
        <f t="array" ref="M5:P39">TRANSPOSE(Tributação!H11:AP14)</f>
        <v>0</v>
      </c>
      <c r="N5" s="112">
        <v>0</v>
      </c>
      <c r="O5" s="112">
        <v>0</v>
      </c>
      <c r="P5" s="112">
        <v>0</v>
      </c>
      <c r="Q5" s="112">
        <f>SUM(M5:P5)</f>
        <v>0</v>
      </c>
      <c r="S5" s="288" t="str">
        <f>L5</f>
        <v>Ano 1</v>
      </c>
      <c r="T5" s="112">
        <f t="array" ref="T5:T39">TRANSPOSE(Tributação!H15:AP15)</f>
        <v>0</v>
      </c>
      <c r="V5" s="288" t="str">
        <f>S5</f>
        <v>Ano 1</v>
      </c>
      <c r="W5" s="112">
        <f t="array" ref="W5:W39">-TRANSPOSE('Demonstrações Financeiras '!F11:AN11)</f>
        <v>0</v>
      </c>
      <c r="Y5" s="288">
        <v>1</v>
      </c>
      <c r="Z5" s="112">
        <v>0</v>
      </c>
      <c r="AA5" s="112">
        <f ca="1"/>
        <v>0</v>
      </c>
      <c r="AD5" s="288">
        <v>1</v>
      </c>
      <c r="AE5" s="112">
        <f t="array" ref="AE5:AE39">-TRANSPOSE('Demonstrações Financeiras '!F16:AN16)</f>
        <v>0</v>
      </c>
      <c r="AH5" s="375" t="str">
        <f>Seguros!E48</f>
        <v>Garantia de Execução</v>
      </c>
      <c r="AI5" s="375" t="str">
        <f>Seguros!F48</f>
        <v>2,5% do valor do contrato</v>
      </c>
      <c r="AJ5" s="112">
        <f>Seguros!G48</f>
        <v>186525</v>
      </c>
      <c r="AK5" s="374">
        <f>Seguros!H48</f>
        <v>0.01</v>
      </c>
      <c r="AO5" s="288">
        <f t="array" ref="AO5:AO39">TRANSPOSE(Seguros!F4:AN4)</f>
        <v>1</v>
      </c>
      <c r="AP5" s="112">
        <f t="array" ref="AP5:AT39">TRANSPOSE(Seguros!F5:AN9)</f>
        <v>1865.25</v>
      </c>
      <c r="AQ5" s="112">
        <v>14923.253880000004</v>
      </c>
      <c r="AR5" s="112">
        <v>1193.8603104000003</v>
      </c>
      <c r="AS5" s="112">
        <v>1343.0928492</v>
      </c>
      <c r="AT5" s="112">
        <v>19325.457039600002</v>
      </c>
      <c r="AW5" s="288">
        <f>AO5</f>
        <v>1</v>
      </c>
      <c r="AX5" s="105">
        <f>AE5</f>
        <v>0</v>
      </c>
      <c r="AY5" s="105">
        <f t="array" ref="AY5:AY39">-TRANSPOSE('Demonstrações Financeiras '!F18:AN18)</f>
        <v>1881</v>
      </c>
      <c r="AZ5" s="105">
        <f>AT5</f>
        <v>19325.457039600002</v>
      </c>
      <c r="BA5" s="105">
        <f>SUM(AX5:AZ5)</f>
        <v>21206.457039600002</v>
      </c>
      <c r="BC5" s="288">
        <f>AW5</f>
        <v>1</v>
      </c>
      <c r="BD5" s="112">
        <f>BA5</f>
        <v>21206.457039600002</v>
      </c>
      <c r="BE5" s="112">
        <f t="shared" ref="BE5:BE39" si="0">J5</f>
        <v>0</v>
      </c>
      <c r="BF5" s="112">
        <f>SUM(BD5:BE5)</f>
        <v>21206.457039600002</v>
      </c>
      <c r="BH5" s="112">
        <f t="array" ref="BH5:BH39">-TRANSPOSE('Demonstrações Financeiras '!F14:AN14)</f>
        <v>21206.457039600002</v>
      </c>
      <c r="BI5" t="str">
        <f>IF(BH5=BF5,"ok","ERRO")</f>
        <v>ok</v>
      </c>
    </row>
    <row r="6" spans="2:66">
      <c r="B6" s="288">
        <v>2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L6" s="288">
        <v>2</v>
      </c>
      <c r="M6" s="112">
        <v>0</v>
      </c>
      <c r="N6" s="112">
        <v>0</v>
      </c>
      <c r="O6" s="112">
        <v>0</v>
      </c>
      <c r="P6" s="112">
        <v>0</v>
      </c>
      <c r="Q6" s="112">
        <f t="shared" ref="Q6:Q39" si="1">SUM(M6:P6)</f>
        <v>0</v>
      </c>
      <c r="S6" s="288">
        <f t="shared" ref="S6:S39" si="2">L6</f>
        <v>2</v>
      </c>
      <c r="T6" s="112">
        <v>0</v>
      </c>
      <c r="V6" s="288">
        <f t="shared" ref="V6:V39" si="3">S6</f>
        <v>2</v>
      </c>
      <c r="W6" s="112">
        <v>0</v>
      </c>
      <c r="Y6" s="288">
        <v>2</v>
      </c>
      <c r="Z6" s="112">
        <v>190433.75589070967</v>
      </c>
      <c r="AA6" s="112">
        <f ca="1"/>
        <v>0</v>
      </c>
      <c r="AD6" s="288">
        <v>2</v>
      </c>
      <c r="AE6" s="112">
        <v>0</v>
      </c>
      <c r="AH6" s="375" t="str">
        <f>Seguros!E49</f>
        <v>Risco de engenharia</v>
      </c>
      <c r="AI6" s="375" t="str">
        <f>Seguros!F49</f>
        <v>100% do Capex com obras no ano</v>
      </c>
      <c r="AJ6" s="112">
        <f>Seguros!G49</f>
        <v>3730813.4700000007</v>
      </c>
      <c r="AK6" s="374">
        <f>Seguros!H49</f>
        <v>4.0000000000000001E-3</v>
      </c>
      <c r="AO6" s="288">
        <v>2</v>
      </c>
      <c r="AP6" s="112">
        <v>1865.25</v>
      </c>
      <c r="AQ6" s="112">
        <v>14923.253880000004</v>
      </c>
      <c r="AR6" s="112">
        <v>2387.52</v>
      </c>
      <c r="AS6" s="112">
        <v>2686.1856984000001</v>
      </c>
      <c r="AT6" s="112">
        <v>21862.209578400005</v>
      </c>
      <c r="AW6" s="288">
        <f t="shared" ref="AW6:AW39" si="4">AO6</f>
        <v>2</v>
      </c>
      <c r="AX6" s="105">
        <f t="shared" ref="AX6:AX39" si="5">AE6</f>
        <v>0</v>
      </c>
      <c r="AY6" s="105">
        <v>1881</v>
      </c>
      <c r="AZ6" s="105">
        <f t="shared" ref="AZ6:AZ39" si="6">AT6</f>
        <v>21862.209578400005</v>
      </c>
      <c r="BA6" s="105">
        <f t="shared" ref="BA6:BA39" si="7">SUM(AX6:AZ6)</f>
        <v>23743.209578400005</v>
      </c>
      <c r="BC6" s="288">
        <f t="shared" ref="BC6:BC39" si="8">AW6</f>
        <v>2</v>
      </c>
      <c r="BD6" s="112">
        <f t="shared" ref="BD6:BD39" si="9">BA6</f>
        <v>23743.209578400005</v>
      </c>
      <c r="BE6" s="112">
        <f t="shared" si="0"/>
        <v>0</v>
      </c>
      <c r="BF6" s="112">
        <f t="shared" ref="BF6:BF39" si="10">SUM(BD6:BE6)</f>
        <v>23743.209578400005</v>
      </c>
      <c r="BH6" s="112">
        <v>23743.209578400005</v>
      </c>
      <c r="BI6" t="str">
        <f t="shared" ref="BI6:BI39" si="11">IF(BH6=BF6,"ok","ERRO")</f>
        <v>ok</v>
      </c>
      <c r="BL6" s="386" t="s">
        <v>694</v>
      </c>
      <c r="BM6" s="387" t="s">
        <v>695</v>
      </c>
      <c r="BN6" s="387" t="s">
        <v>696</v>
      </c>
    </row>
    <row r="7" spans="2:66">
      <c r="B7" s="288">
        <v>3</v>
      </c>
      <c r="C7" s="112">
        <v>848304.40401382442</v>
      </c>
      <c r="D7" s="112">
        <v>536766.84918730264</v>
      </c>
      <c r="E7" s="112">
        <v>79103.11840923928</v>
      </c>
      <c r="F7" s="112">
        <v>5445.12</v>
      </c>
      <c r="G7" s="112">
        <v>30499.08</v>
      </c>
      <c r="H7" s="112">
        <f ca="1"/>
        <v>74142.248400000011</v>
      </c>
      <c r="I7" s="112">
        <f ca="1"/>
        <v>112849.80389999998</v>
      </c>
      <c r="J7" s="112">
        <f ca="1"/>
        <v>1687110.6239103663</v>
      </c>
      <c r="L7" s="288">
        <v>3</v>
      </c>
      <c r="M7" s="112">
        <v>21404.958218007003</v>
      </c>
      <c r="N7" s="112">
        <v>98792.114852340019</v>
      </c>
      <c r="O7" s="112">
        <v>164653.52475390004</v>
      </c>
      <c r="P7" s="112">
        <v>0</v>
      </c>
      <c r="Q7" s="112">
        <f t="shared" si="1"/>
        <v>284850.59782424709</v>
      </c>
      <c r="S7" s="288">
        <f t="shared" si="2"/>
        <v>3</v>
      </c>
      <c r="T7" s="112">
        <v>334286.06986448652</v>
      </c>
      <c r="V7" s="288">
        <f t="shared" si="3"/>
        <v>3</v>
      </c>
      <c r="W7" s="112">
        <v>486453.24000000005</v>
      </c>
      <c r="Y7" s="288">
        <v>3</v>
      </c>
      <c r="Z7" s="112">
        <v>380867.51178141934</v>
      </c>
      <c r="AA7" s="112">
        <f ca="1"/>
        <v>0</v>
      </c>
      <c r="AD7" s="288">
        <v>3</v>
      </c>
      <c r="AE7" s="112">
        <v>0</v>
      </c>
      <c r="AH7" s="375" t="str">
        <f>Seguros!E50</f>
        <v>Risco Operacional</v>
      </c>
      <c r="AI7" s="375" t="str">
        <f>Seguros!F50</f>
        <v>4% do Capex ativo</v>
      </c>
      <c r="AJ7" s="112">
        <f>Seguros!G50</f>
        <v>149232.53880000004</v>
      </c>
      <c r="AK7" s="374">
        <f>Seguros!H50</f>
        <v>8.0000000000000002E-3</v>
      </c>
      <c r="AO7" s="288">
        <v>3</v>
      </c>
      <c r="AP7" s="112">
        <v>1865.25</v>
      </c>
      <c r="AQ7" s="112">
        <v>0</v>
      </c>
      <c r="AR7" s="112">
        <v>2387.52</v>
      </c>
      <c r="AS7" s="112">
        <v>2686.1856984000001</v>
      </c>
      <c r="AT7" s="112">
        <v>6938.955698400001</v>
      </c>
      <c r="AW7" s="288">
        <f t="shared" si="4"/>
        <v>3</v>
      </c>
      <c r="AX7" s="105">
        <f t="shared" si="5"/>
        <v>0</v>
      </c>
      <c r="AY7" s="105">
        <v>1881</v>
      </c>
      <c r="AZ7" s="105">
        <f t="shared" si="6"/>
        <v>6938.955698400001</v>
      </c>
      <c r="BA7" s="105">
        <f t="shared" si="7"/>
        <v>8819.955698400001</v>
      </c>
      <c r="BC7" s="288">
        <f t="shared" si="8"/>
        <v>3</v>
      </c>
      <c r="BD7" s="112">
        <f t="shared" si="9"/>
        <v>8819.955698400001</v>
      </c>
      <c r="BE7" s="112">
        <f t="shared" ca="1" si="0"/>
        <v>1687110.6239103663</v>
      </c>
      <c r="BF7" s="112">
        <f t="shared" ca="1" si="10"/>
        <v>1695930.5796087664</v>
      </c>
      <c r="BH7" s="112">
        <f ca="1"/>
        <v>1695930.5796087664</v>
      </c>
      <c r="BI7" t="str">
        <f t="shared" ca="1" si="11"/>
        <v>ok</v>
      </c>
      <c r="BL7" s="388" t="s">
        <v>697</v>
      </c>
      <c r="BM7" s="390" t="s">
        <v>698</v>
      </c>
      <c r="BN7" s="391">
        <f>'Premissas Gerais'!G6</f>
        <v>35</v>
      </c>
    </row>
    <row r="8" spans="2:66">
      <c r="B8" s="288">
        <v>4</v>
      </c>
      <c r="C8" s="112">
        <v>848304.40401382442</v>
      </c>
      <c r="D8" s="112">
        <v>536766.84918730264</v>
      </c>
      <c r="E8" s="112">
        <v>79103.11840923928</v>
      </c>
      <c r="F8" s="112">
        <v>5445.12</v>
      </c>
      <c r="G8" s="112">
        <v>30499.08</v>
      </c>
      <c r="H8" s="112">
        <f ca="1"/>
        <v>74142.248400000011</v>
      </c>
      <c r="I8" s="112">
        <f ca="1"/>
        <v>112849.80389999998</v>
      </c>
      <c r="J8" s="112">
        <f ca="1"/>
        <v>1687110.6239103663</v>
      </c>
      <c r="L8" s="288">
        <v>4</v>
      </c>
      <c r="M8" s="112">
        <v>21404.958218007003</v>
      </c>
      <c r="N8" s="112">
        <v>98792.114852340019</v>
      </c>
      <c r="O8" s="112">
        <v>164653.52475390004</v>
      </c>
      <c r="P8" s="112">
        <v>0</v>
      </c>
      <c r="Q8" s="112">
        <f t="shared" si="1"/>
        <v>284850.59782424709</v>
      </c>
      <c r="S8" s="288">
        <f t="shared" si="2"/>
        <v>4</v>
      </c>
      <c r="T8" s="112">
        <v>334286.06986448652</v>
      </c>
      <c r="V8" s="288">
        <f t="shared" si="3"/>
        <v>4</v>
      </c>
      <c r="W8" s="112">
        <v>486453.24000000005</v>
      </c>
      <c r="Y8" s="288">
        <v>4</v>
      </c>
      <c r="Z8" s="112">
        <v>380867.51178141934</v>
      </c>
      <c r="AA8" s="112">
        <f ca="1"/>
        <v>0</v>
      </c>
      <c r="AD8" s="288">
        <v>4</v>
      </c>
      <c r="AE8" s="112">
        <v>0</v>
      </c>
      <c r="AH8" s="375" t="str">
        <f>Seguros!E51</f>
        <v>Responsabilidade civil</v>
      </c>
      <c r="AI8" s="375" t="str">
        <f>Seguros!F51</f>
        <v>4% do Capex ativo</v>
      </c>
      <c r="AJ8" s="112">
        <f>Seguros!G51</f>
        <v>149232.53880000004</v>
      </c>
      <c r="AK8" s="374">
        <f>Seguros!H51</f>
        <v>8.9999999999999993E-3</v>
      </c>
      <c r="AO8" s="288">
        <v>4</v>
      </c>
      <c r="AP8" s="112">
        <v>1865.25</v>
      </c>
      <c r="AQ8" s="112">
        <v>0</v>
      </c>
      <c r="AR8" s="112">
        <v>2387.52</v>
      </c>
      <c r="AS8" s="112">
        <v>2686.1856984000001</v>
      </c>
      <c r="AT8" s="112">
        <v>6938.955698400001</v>
      </c>
      <c r="AW8" s="288">
        <f t="shared" si="4"/>
        <v>4</v>
      </c>
      <c r="AX8" s="105">
        <f t="shared" si="5"/>
        <v>0</v>
      </c>
      <c r="AY8" s="105">
        <v>1881</v>
      </c>
      <c r="AZ8" s="105">
        <f t="shared" si="6"/>
        <v>6938.955698400001</v>
      </c>
      <c r="BA8" s="105">
        <f t="shared" si="7"/>
        <v>8819.955698400001</v>
      </c>
      <c r="BC8" s="288">
        <f t="shared" si="8"/>
        <v>4</v>
      </c>
      <c r="BD8" s="112">
        <f t="shared" si="9"/>
        <v>8819.955698400001</v>
      </c>
      <c r="BE8" s="112">
        <f t="shared" ca="1" si="0"/>
        <v>1687110.6239103663</v>
      </c>
      <c r="BF8" s="112">
        <f t="shared" ca="1" si="10"/>
        <v>1695930.5796087664</v>
      </c>
      <c r="BH8" s="112">
        <f ca="1"/>
        <v>1695930.5796087664</v>
      </c>
      <c r="BI8" t="str">
        <f t="shared" ca="1" si="11"/>
        <v>ok</v>
      </c>
      <c r="BL8" s="388" t="s">
        <v>699</v>
      </c>
      <c r="BM8" s="390" t="s">
        <v>700</v>
      </c>
      <c r="BN8" s="410">
        <f>'Premissas Gerais'!D7/1000000</f>
        <v>7.4616269400000004</v>
      </c>
    </row>
    <row r="9" spans="2:66">
      <c r="B9" s="288">
        <v>5</v>
      </c>
      <c r="C9" s="112">
        <v>848304.40401382442</v>
      </c>
      <c r="D9" s="112">
        <v>536766.84918730264</v>
      </c>
      <c r="E9" s="112">
        <v>79103.11840923928</v>
      </c>
      <c r="F9" s="112">
        <v>5445.12</v>
      </c>
      <c r="G9" s="112">
        <v>30499.08</v>
      </c>
      <c r="H9" s="112">
        <f ca="1"/>
        <v>74142.248400000011</v>
      </c>
      <c r="I9" s="112">
        <f ca="1"/>
        <v>112849.80389999998</v>
      </c>
      <c r="J9" s="112">
        <f ca="1"/>
        <v>1687110.6239103663</v>
      </c>
      <c r="L9" s="288">
        <v>5</v>
      </c>
      <c r="M9" s="112">
        <v>21404.958218007003</v>
      </c>
      <c r="N9" s="112">
        <v>98792.114852340019</v>
      </c>
      <c r="O9" s="112">
        <v>164653.52475390004</v>
      </c>
      <c r="P9" s="112">
        <v>0</v>
      </c>
      <c r="Q9" s="112">
        <f t="shared" si="1"/>
        <v>284850.59782424709</v>
      </c>
      <c r="S9" s="288">
        <f t="shared" si="2"/>
        <v>5</v>
      </c>
      <c r="T9" s="112">
        <v>334286.06986448652</v>
      </c>
      <c r="V9" s="288">
        <f t="shared" si="3"/>
        <v>5</v>
      </c>
      <c r="W9" s="112">
        <v>324302.16000000009</v>
      </c>
      <c r="Y9" s="288">
        <v>5</v>
      </c>
      <c r="Z9" s="112">
        <v>380867.51178141934</v>
      </c>
      <c r="AA9" s="112">
        <f ca="1"/>
        <v>0</v>
      </c>
      <c r="AD9" s="288">
        <v>5</v>
      </c>
      <c r="AE9" s="112">
        <v>32782.872133738623</v>
      </c>
      <c r="AO9" s="288">
        <v>5</v>
      </c>
      <c r="AP9" s="112">
        <v>1865.25</v>
      </c>
      <c r="AQ9" s="112">
        <v>0</v>
      </c>
      <c r="AR9" s="112">
        <v>2387.52</v>
      </c>
      <c r="AS9" s="112">
        <v>2686.1856984000001</v>
      </c>
      <c r="AT9" s="112">
        <v>6938.955698400001</v>
      </c>
      <c r="AW9" s="288">
        <f t="shared" si="4"/>
        <v>5</v>
      </c>
      <c r="AX9" s="105">
        <f t="shared" si="5"/>
        <v>32782.872133738623</v>
      </c>
      <c r="AY9" s="105">
        <v>1881</v>
      </c>
      <c r="AZ9" s="105">
        <f t="shared" si="6"/>
        <v>6938.955698400001</v>
      </c>
      <c r="BA9" s="105">
        <f t="shared" si="7"/>
        <v>41602.827832138624</v>
      </c>
      <c r="BC9" s="288">
        <f t="shared" si="8"/>
        <v>5</v>
      </c>
      <c r="BD9" s="112">
        <f t="shared" si="9"/>
        <v>41602.827832138624</v>
      </c>
      <c r="BE9" s="112">
        <f t="shared" ca="1" si="0"/>
        <v>1687110.6239103663</v>
      </c>
      <c r="BF9" s="112">
        <f t="shared" ca="1" si="10"/>
        <v>1728713.451742505</v>
      </c>
      <c r="BH9" s="112">
        <f ca="1"/>
        <v>1728713.451742505</v>
      </c>
      <c r="BI9" t="str">
        <f t="shared" ca="1" si="11"/>
        <v>ok</v>
      </c>
      <c r="BL9" s="388" t="s">
        <v>701</v>
      </c>
      <c r="BM9" s="390" t="s">
        <v>702</v>
      </c>
      <c r="BN9" s="393">
        <f ca="1">-AVERAGE('Demonstrações Financeiras '!F14:AN14)/1000000</f>
        <v>1.6293659810056511</v>
      </c>
    </row>
    <row r="10" spans="2:66">
      <c r="B10" s="288">
        <v>6</v>
      </c>
      <c r="C10" s="112">
        <v>848304.40401382442</v>
      </c>
      <c r="D10" s="112">
        <v>536766.84918730264</v>
      </c>
      <c r="E10" s="112">
        <v>79103.11840923928</v>
      </c>
      <c r="F10" s="112">
        <v>5445.12</v>
      </c>
      <c r="G10" s="112">
        <v>30499.08</v>
      </c>
      <c r="H10" s="112">
        <f ca="1"/>
        <v>74142.248400000011</v>
      </c>
      <c r="I10" s="112">
        <f ca="1"/>
        <v>112849.80389999998</v>
      </c>
      <c r="J10" s="112">
        <f ca="1"/>
        <v>1687110.6239103663</v>
      </c>
      <c r="L10" s="288">
        <v>6</v>
      </c>
      <c r="M10" s="112">
        <v>21404.958218007003</v>
      </c>
      <c r="N10" s="112">
        <v>98792.114852340019</v>
      </c>
      <c r="O10" s="112">
        <v>164653.52475390004</v>
      </c>
      <c r="P10" s="112">
        <v>0</v>
      </c>
      <c r="Q10" s="112">
        <f t="shared" si="1"/>
        <v>284850.59782424709</v>
      </c>
      <c r="S10" s="288">
        <f t="shared" si="2"/>
        <v>6</v>
      </c>
      <c r="T10" s="112">
        <v>334286.06986448652</v>
      </c>
      <c r="V10" s="288">
        <f t="shared" si="3"/>
        <v>6</v>
      </c>
      <c r="W10" s="112">
        <v>324302.16000000009</v>
      </c>
      <c r="Y10" s="288">
        <v>6</v>
      </c>
      <c r="Z10" s="112">
        <v>380867.51178141934</v>
      </c>
      <c r="AA10" s="112">
        <f ca="1"/>
        <v>0</v>
      </c>
      <c r="AD10" s="288">
        <v>6</v>
      </c>
      <c r="AE10" s="112">
        <v>32782.872133738623</v>
      </c>
      <c r="AO10" s="288">
        <v>6</v>
      </c>
      <c r="AP10" s="112">
        <v>1865.25</v>
      </c>
      <c r="AQ10" s="112">
        <v>0</v>
      </c>
      <c r="AR10" s="112">
        <v>2387.52</v>
      </c>
      <c r="AS10" s="112">
        <v>2686.1856984000001</v>
      </c>
      <c r="AT10" s="112">
        <v>6938.955698400001</v>
      </c>
      <c r="AW10" s="288">
        <f t="shared" si="4"/>
        <v>6</v>
      </c>
      <c r="AX10" s="105">
        <f t="shared" si="5"/>
        <v>32782.872133738623</v>
      </c>
      <c r="AY10" s="105">
        <v>1881</v>
      </c>
      <c r="AZ10" s="105">
        <f t="shared" si="6"/>
        <v>6938.955698400001</v>
      </c>
      <c r="BA10" s="105">
        <f t="shared" si="7"/>
        <v>41602.827832138624</v>
      </c>
      <c r="BC10" s="288">
        <f t="shared" si="8"/>
        <v>6</v>
      </c>
      <c r="BD10" s="112">
        <f t="shared" si="9"/>
        <v>41602.827832138624</v>
      </c>
      <c r="BE10" s="112">
        <f t="shared" ca="1" si="0"/>
        <v>1687110.6239103663</v>
      </c>
      <c r="BF10" s="112">
        <f t="shared" ca="1" si="10"/>
        <v>1728713.451742505</v>
      </c>
      <c r="BH10" s="112">
        <f ca="1"/>
        <v>1728713.451742505</v>
      </c>
      <c r="BI10" t="str">
        <f t="shared" ca="1" si="11"/>
        <v>ok</v>
      </c>
      <c r="BL10" s="388" t="s">
        <v>703</v>
      </c>
      <c r="BM10" s="390" t="s">
        <v>702</v>
      </c>
      <c r="BN10" s="393">
        <f ca="1">'Premissas Gerais'!L54/1000000</f>
        <v>1.5907043025440604</v>
      </c>
    </row>
    <row r="11" spans="2:66">
      <c r="B11" s="288">
        <v>7</v>
      </c>
      <c r="C11" s="112">
        <v>848304.40401382442</v>
      </c>
      <c r="D11" s="112">
        <v>536766.84918730264</v>
      </c>
      <c r="E11" s="112">
        <v>79103.11840923928</v>
      </c>
      <c r="F11" s="112">
        <v>5445.12</v>
      </c>
      <c r="G11" s="112">
        <v>30499.08</v>
      </c>
      <c r="H11" s="112">
        <f ca="1"/>
        <v>74142.248400000011</v>
      </c>
      <c r="I11" s="112">
        <f ca="1"/>
        <v>112849.80389999998</v>
      </c>
      <c r="J11" s="112">
        <f ca="1"/>
        <v>1687110.6239103663</v>
      </c>
      <c r="L11" s="288">
        <v>7</v>
      </c>
      <c r="M11" s="112">
        <v>21404.958218007003</v>
      </c>
      <c r="N11" s="112">
        <v>98792.114852340019</v>
      </c>
      <c r="O11" s="112">
        <v>164653.52475390004</v>
      </c>
      <c r="P11" s="112">
        <v>0</v>
      </c>
      <c r="Q11" s="112">
        <f t="shared" si="1"/>
        <v>284850.59782424709</v>
      </c>
      <c r="S11" s="288">
        <f t="shared" si="2"/>
        <v>7</v>
      </c>
      <c r="T11" s="112">
        <v>334286.06986448652</v>
      </c>
      <c r="V11" s="288">
        <f t="shared" si="3"/>
        <v>7</v>
      </c>
      <c r="W11" s="112">
        <v>324302.16000000009</v>
      </c>
      <c r="Y11" s="288">
        <v>7</v>
      </c>
      <c r="Z11" s="112">
        <v>380867.51178141934</v>
      </c>
      <c r="AA11" s="112">
        <f ca="1"/>
        <v>0</v>
      </c>
      <c r="AD11" s="288">
        <v>7</v>
      </c>
      <c r="AE11" s="112">
        <v>32782.872133738623</v>
      </c>
      <c r="AO11" s="288">
        <v>7</v>
      </c>
      <c r="AP11" s="112">
        <v>1865.25</v>
      </c>
      <c r="AQ11" s="112">
        <v>0</v>
      </c>
      <c r="AR11" s="112">
        <v>2387.52</v>
      </c>
      <c r="AS11" s="112">
        <v>2686.1856984000001</v>
      </c>
      <c r="AT11" s="112">
        <v>6938.955698400001</v>
      </c>
      <c r="AW11" s="288">
        <f t="shared" si="4"/>
        <v>7</v>
      </c>
      <c r="AX11" s="105">
        <f t="shared" si="5"/>
        <v>32782.872133738623</v>
      </c>
      <c r="AY11" s="105">
        <v>1881</v>
      </c>
      <c r="AZ11" s="105">
        <f t="shared" si="6"/>
        <v>6938.955698400001</v>
      </c>
      <c r="BA11" s="105">
        <f t="shared" si="7"/>
        <v>41602.827832138624</v>
      </c>
      <c r="BC11" s="288">
        <f t="shared" si="8"/>
        <v>7</v>
      </c>
      <c r="BD11" s="112">
        <f t="shared" si="9"/>
        <v>41602.827832138624</v>
      </c>
      <c r="BE11" s="112">
        <f t="shared" ca="1" si="0"/>
        <v>1687110.6239103663</v>
      </c>
      <c r="BF11" s="112">
        <f t="shared" ca="1" si="10"/>
        <v>1728713.451742505</v>
      </c>
      <c r="BH11" s="112">
        <f ca="1"/>
        <v>1728713.451742505</v>
      </c>
      <c r="BI11" t="str">
        <f t="shared" ca="1" si="11"/>
        <v>ok</v>
      </c>
      <c r="BL11" s="388" t="s">
        <v>704</v>
      </c>
      <c r="BM11" s="390" t="s">
        <v>702</v>
      </c>
      <c r="BN11" s="394">
        <f>AVERAGE(BD5:BD39)/1000000</f>
        <v>3.8661678461590437E-2</v>
      </c>
    </row>
    <row r="12" spans="2:66" ht="26.25">
      <c r="B12" s="288">
        <v>8</v>
      </c>
      <c r="C12" s="112">
        <v>848304.40401382442</v>
      </c>
      <c r="D12" s="112">
        <v>536766.84918730264</v>
      </c>
      <c r="E12" s="112">
        <v>79103.11840923928</v>
      </c>
      <c r="F12" s="112">
        <v>5445.12</v>
      </c>
      <c r="G12" s="112">
        <v>30499.08</v>
      </c>
      <c r="H12" s="112">
        <f ca="1"/>
        <v>74142.248400000011</v>
      </c>
      <c r="I12" s="112">
        <f ca="1"/>
        <v>112849.80389999998</v>
      </c>
      <c r="J12" s="112">
        <f ca="1"/>
        <v>1687110.6239103663</v>
      </c>
      <c r="L12" s="288">
        <v>8</v>
      </c>
      <c r="M12" s="112">
        <v>21404.958218007003</v>
      </c>
      <c r="N12" s="112">
        <v>98792.114852340019</v>
      </c>
      <c r="O12" s="112">
        <v>164653.52475390004</v>
      </c>
      <c r="P12" s="112">
        <v>0</v>
      </c>
      <c r="Q12" s="112">
        <f t="shared" si="1"/>
        <v>284850.59782424709</v>
      </c>
      <c r="S12" s="288">
        <f t="shared" si="2"/>
        <v>8</v>
      </c>
      <c r="T12" s="112">
        <v>334286.06986448652</v>
      </c>
      <c r="V12" s="288">
        <f t="shared" si="3"/>
        <v>8</v>
      </c>
      <c r="W12" s="112">
        <v>324302.16000000009</v>
      </c>
      <c r="Y12" s="288">
        <v>8</v>
      </c>
      <c r="Z12" s="112">
        <v>380867.51178141934</v>
      </c>
      <c r="AA12" s="112">
        <f ca="1"/>
        <v>0</v>
      </c>
      <c r="AD12" s="288">
        <v>8</v>
      </c>
      <c r="AE12" s="112">
        <v>32782.872133738623</v>
      </c>
      <c r="AO12" s="288">
        <v>8</v>
      </c>
      <c r="AP12" s="112">
        <v>1865.25</v>
      </c>
      <c r="AQ12" s="112">
        <v>0</v>
      </c>
      <c r="AR12" s="112">
        <v>2387.52</v>
      </c>
      <c r="AS12" s="112">
        <v>2686.1856984000001</v>
      </c>
      <c r="AT12" s="112">
        <v>6938.955698400001</v>
      </c>
      <c r="AW12" s="288">
        <f t="shared" si="4"/>
        <v>8</v>
      </c>
      <c r="AX12" s="105">
        <f t="shared" si="5"/>
        <v>32782.872133738623</v>
      </c>
      <c r="AY12" s="105">
        <v>1881</v>
      </c>
      <c r="AZ12" s="105">
        <f t="shared" si="6"/>
        <v>6938.955698400001</v>
      </c>
      <c r="BA12" s="105">
        <f t="shared" si="7"/>
        <v>41602.827832138624</v>
      </c>
      <c r="BC12" s="288">
        <f t="shared" si="8"/>
        <v>8</v>
      </c>
      <c r="BD12" s="112">
        <f t="shared" si="9"/>
        <v>41602.827832138624</v>
      </c>
      <c r="BE12" s="112">
        <f t="shared" ca="1" si="0"/>
        <v>1687110.6239103663</v>
      </c>
      <c r="BF12" s="112">
        <f t="shared" ca="1" si="10"/>
        <v>1728713.451742505</v>
      </c>
      <c r="BH12" s="112">
        <f ca="1"/>
        <v>1728713.451742505</v>
      </c>
      <c r="BI12" t="str">
        <f t="shared" ca="1" si="11"/>
        <v>ok</v>
      </c>
      <c r="BL12" s="389" t="s">
        <v>705</v>
      </c>
      <c r="BM12" s="395" t="s">
        <v>706</v>
      </c>
      <c r="BN12" s="396">
        <f>'Premissas Gerais'!G10</f>
        <v>9.9551079100000002E-3</v>
      </c>
    </row>
    <row r="13" spans="2:66">
      <c r="B13" s="288">
        <v>9</v>
      </c>
      <c r="C13" s="112">
        <v>848304.40401382442</v>
      </c>
      <c r="D13" s="112">
        <v>536766.84918730264</v>
      </c>
      <c r="E13" s="112">
        <v>79103.11840923928</v>
      </c>
      <c r="F13" s="112">
        <v>5445.12</v>
      </c>
      <c r="G13" s="112">
        <v>30499.08</v>
      </c>
      <c r="H13" s="112">
        <f ca="1"/>
        <v>74142.248400000011</v>
      </c>
      <c r="I13" s="112">
        <f ca="1"/>
        <v>112849.80389999998</v>
      </c>
      <c r="J13" s="112">
        <f ca="1"/>
        <v>1687110.6239103663</v>
      </c>
      <c r="L13" s="288">
        <v>9</v>
      </c>
      <c r="M13" s="112">
        <v>21404.958218007003</v>
      </c>
      <c r="N13" s="112">
        <v>98792.114852340019</v>
      </c>
      <c r="O13" s="112">
        <v>164653.52475390004</v>
      </c>
      <c r="P13" s="112">
        <v>0</v>
      </c>
      <c r="Q13" s="112">
        <f t="shared" si="1"/>
        <v>284850.59782424709</v>
      </c>
      <c r="S13" s="288">
        <f t="shared" si="2"/>
        <v>9</v>
      </c>
      <c r="T13" s="112">
        <v>334286.06986448652</v>
      </c>
      <c r="V13" s="288">
        <f t="shared" si="3"/>
        <v>9</v>
      </c>
      <c r="W13" s="112">
        <v>324302.16000000009</v>
      </c>
      <c r="Y13" s="288">
        <v>9</v>
      </c>
      <c r="Z13" s="112">
        <v>380867.51178141934</v>
      </c>
      <c r="AA13" s="112">
        <f ca="1"/>
        <v>0</v>
      </c>
      <c r="AD13" s="288">
        <v>9</v>
      </c>
      <c r="AE13" s="112">
        <v>32782.872133738623</v>
      </c>
      <c r="AO13" s="288">
        <v>9</v>
      </c>
      <c r="AP13" s="112">
        <v>1865.25</v>
      </c>
      <c r="AQ13" s="112">
        <v>0</v>
      </c>
      <c r="AR13" s="112">
        <v>2387.52</v>
      </c>
      <c r="AS13" s="112">
        <v>2686.1856984000001</v>
      </c>
      <c r="AT13" s="112">
        <v>6938.955698400001</v>
      </c>
      <c r="AW13" s="288">
        <f t="shared" si="4"/>
        <v>9</v>
      </c>
      <c r="AX13" s="105">
        <f t="shared" si="5"/>
        <v>32782.872133738623</v>
      </c>
      <c r="AY13" s="105">
        <v>1881</v>
      </c>
      <c r="AZ13" s="105">
        <f t="shared" si="6"/>
        <v>6938.955698400001</v>
      </c>
      <c r="BA13" s="105">
        <f t="shared" si="7"/>
        <v>41602.827832138624</v>
      </c>
      <c r="BC13" s="288">
        <f t="shared" si="8"/>
        <v>9</v>
      </c>
      <c r="BD13" s="112">
        <f t="shared" si="9"/>
        <v>41602.827832138624</v>
      </c>
      <c r="BE13" s="112">
        <f t="shared" ca="1" si="0"/>
        <v>1687110.6239103663</v>
      </c>
      <c r="BF13" s="112">
        <f t="shared" ca="1" si="10"/>
        <v>1728713.451742505</v>
      </c>
      <c r="BH13" s="112">
        <f ca="1"/>
        <v>1728713.451742505</v>
      </c>
      <c r="BI13" t="str">
        <f t="shared" ca="1" si="11"/>
        <v>ok</v>
      </c>
      <c r="BL13" s="388" t="s">
        <v>437</v>
      </c>
      <c r="BM13" s="397" t="s">
        <v>707</v>
      </c>
      <c r="BN13" s="398">
        <f>'Premissas Gerais'!D10</f>
        <v>0.11869735884109502</v>
      </c>
    </row>
    <row r="14" spans="2:66">
      <c r="B14" s="288">
        <v>10</v>
      </c>
      <c r="C14" s="112">
        <v>848304.40401382442</v>
      </c>
      <c r="D14" s="112">
        <v>536766.84918730264</v>
      </c>
      <c r="E14" s="112">
        <v>79103.11840923928</v>
      </c>
      <c r="F14" s="112">
        <v>5445.12</v>
      </c>
      <c r="G14" s="112">
        <v>30499.08</v>
      </c>
      <c r="H14" s="112">
        <f ca="1"/>
        <v>74142.248400000011</v>
      </c>
      <c r="I14" s="112">
        <f ca="1"/>
        <v>112849.80389999998</v>
      </c>
      <c r="J14" s="112">
        <f ca="1"/>
        <v>1687110.6239103663</v>
      </c>
      <c r="L14" s="288">
        <v>10</v>
      </c>
      <c r="M14" s="112">
        <v>21404.958218007003</v>
      </c>
      <c r="N14" s="112">
        <v>98792.114852340019</v>
      </c>
      <c r="O14" s="112">
        <v>164653.52475390004</v>
      </c>
      <c r="P14" s="112">
        <v>0</v>
      </c>
      <c r="Q14" s="112">
        <f t="shared" si="1"/>
        <v>284850.59782424709</v>
      </c>
      <c r="S14" s="288">
        <f t="shared" si="2"/>
        <v>10</v>
      </c>
      <c r="T14" s="112">
        <v>334286.06986448652</v>
      </c>
      <c r="V14" s="288">
        <f t="shared" si="3"/>
        <v>10</v>
      </c>
      <c r="W14" s="112">
        <v>324302.16000000009</v>
      </c>
      <c r="Y14" s="288">
        <v>10</v>
      </c>
      <c r="Z14" s="112">
        <v>380867.51178141934</v>
      </c>
      <c r="AA14" s="112">
        <f ca="1"/>
        <v>0</v>
      </c>
      <c r="AD14" s="288">
        <v>10</v>
      </c>
      <c r="AE14" s="112">
        <v>32782.872133738623</v>
      </c>
      <c r="AO14" s="288">
        <v>10</v>
      </c>
      <c r="AP14" s="112">
        <v>1865.25</v>
      </c>
      <c r="AQ14" s="112">
        <v>0</v>
      </c>
      <c r="AR14" s="112">
        <v>2387.52</v>
      </c>
      <c r="AS14" s="112">
        <v>2686.1856984000001</v>
      </c>
      <c r="AT14" s="112">
        <v>6938.955698400001</v>
      </c>
      <c r="AW14" s="288">
        <f t="shared" si="4"/>
        <v>10</v>
      </c>
      <c r="AX14" s="105">
        <f t="shared" si="5"/>
        <v>32782.872133738623</v>
      </c>
      <c r="AY14" s="105">
        <v>1881</v>
      </c>
      <c r="AZ14" s="105">
        <f t="shared" si="6"/>
        <v>6938.955698400001</v>
      </c>
      <c r="BA14" s="105">
        <f t="shared" si="7"/>
        <v>41602.827832138624</v>
      </c>
      <c r="BC14" s="288">
        <f t="shared" si="8"/>
        <v>10</v>
      </c>
      <c r="BD14" s="112">
        <f t="shared" si="9"/>
        <v>41602.827832138624</v>
      </c>
      <c r="BE14" s="112">
        <f t="shared" ca="1" si="0"/>
        <v>1687110.6239103663</v>
      </c>
      <c r="BF14" s="112">
        <f t="shared" ca="1" si="10"/>
        <v>1728713.451742505</v>
      </c>
      <c r="BH14" s="112">
        <f ca="1"/>
        <v>1728713.451742505</v>
      </c>
      <c r="BI14" t="str">
        <f t="shared" ca="1" si="11"/>
        <v>ok</v>
      </c>
    </row>
    <row r="15" spans="2:66">
      <c r="B15" s="288">
        <v>11</v>
      </c>
      <c r="C15" s="112">
        <v>848304.40401382442</v>
      </c>
      <c r="D15" s="112">
        <v>536766.84918730264</v>
      </c>
      <c r="E15" s="112">
        <v>79103.11840923928</v>
      </c>
      <c r="F15" s="112">
        <v>5445.12</v>
      </c>
      <c r="G15" s="112">
        <v>30499.08</v>
      </c>
      <c r="H15" s="112">
        <f ca="1"/>
        <v>74142.248400000011</v>
      </c>
      <c r="I15" s="112">
        <f ca="1"/>
        <v>112849.80389999998</v>
      </c>
      <c r="J15" s="112">
        <f ca="1"/>
        <v>1687110.6239103663</v>
      </c>
      <c r="L15" s="288">
        <v>11</v>
      </c>
      <c r="M15" s="112">
        <v>21404.958218007003</v>
      </c>
      <c r="N15" s="112">
        <v>98792.114852340019</v>
      </c>
      <c r="O15" s="112">
        <v>164653.52475390004</v>
      </c>
      <c r="P15" s="112">
        <v>0</v>
      </c>
      <c r="Q15" s="112">
        <f t="shared" si="1"/>
        <v>284850.59782424709</v>
      </c>
      <c r="S15" s="288">
        <f t="shared" si="2"/>
        <v>11</v>
      </c>
      <c r="T15" s="112">
        <v>334286.06986448652</v>
      </c>
      <c r="V15" s="288">
        <f t="shared" si="3"/>
        <v>11</v>
      </c>
      <c r="W15" s="112">
        <v>324302.16000000009</v>
      </c>
      <c r="Y15" s="288">
        <v>11</v>
      </c>
      <c r="Z15" s="112">
        <v>380867.51178141934</v>
      </c>
      <c r="AA15" s="112">
        <f ca="1"/>
        <v>0</v>
      </c>
      <c r="AD15" s="288">
        <v>11</v>
      </c>
      <c r="AE15" s="112">
        <v>32782.872133738623</v>
      </c>
      <c r="AO15" s="288">
        <v>11</v>
      </c>
      <c r="AP15" s="112">
        <v>1865.25</v>
      </c>
      <c r="AQ15" s="112">
        <v>0</v>
      </c>
      <c r="AR15" s="112">
        <v>2387.52</v>
      </c>
      <c r="AS15" s="112">
        <v>2686.1856984000001</v>
      </c>
      <c r="AT15" s="112">
        <v>6938.955698400001</v>
      </c>
      <c r="AW15" s="288">
        <f t="shared" si="4"/>
        <v>11</v>
      </c>
      <c r="AX15" s="105">
        <f t="shared" si="5"/>
        <v>32782.872133738623</v>
      </c>
      <c r="AY15" s="105">
        <v>1881</v>
      </c>
      <c r="AZ15" s="105">
        <f t="shared" si="6"/>
        <v>6938.955698400001</v>
      </c>
      <c r="BA15" s="105">
        <f t="shared" si="7"/>
        <v>41602.827832138624</v>
      </c>
      <c r="BC15" s="288">
        <f t="shared" si="8"/>
        <v>11</v>
      </c>
      <c r="BD15" s="112">
        <f t="shared" si="9"/>
        <v>41602.827832138624</v>
      </c>
      <c r="BE15" s="112">
        <f t="shared" ca="1" si="0"/>
        <v>1687110.6239103663</v>
      </c>
      <c r="BF15" s="112">
        <f t="shared" ca="1" si="10"/>
        <v>1728713.451742505</v>
      </c>
      <c r="BH15" s="112">
        <f ca="1"/>
        <v>1728713.451742505</v>
      </c>
      <c r="BI15" t="str">
        <f t="shared" ca="1" si="11"/>
        <v>ok</v>
      </c>
    </row>
    <row r="16" spans="2:66">
      <c r="B16" s="288">
        <v>12</v>
      </c>
      <c r="C16" s="112">
        <v>848304.40401382442</v>
      </c>
      <c r="D16" s="112">
        <v>536766.84918730264</v>
      </c>
      <c r="E16" s="112">
        <v>79103.11840923928</v>
      </c>
      <c r="F16" s="112">
        <v>5445.12</v>
      </c>
      <c r="G16" s="112">
        <v>30499.08</v>
      </c>
      <c r="H16" s="112">
        <f ca="1"/>
        <v>74142.248400000011</v>
      </c>
      <c r="I16" s="112">
        <f ca="1"/>
        <v>112849.80389999998</v>
      </c>
      <c r="J16" s="112">
        <f ca="1"/>
        <v>1687110.6239103663</v>
      </c>
      <c r="L16" s="288">
        <v>12</v>
      </c>
      <c r="M16" s="112">
        <v>21429.982665546006</v>
      </c>
      <c r="N16" s="112">
        <v>98907.612302520021</v>
      </c>
      <c r="O16" s="112">
        <v>164846.02050420005</v>
      </c>
      <c r="P16" s="112">
        <v>0</v>
      </c>
      <c r="Q16" s="112">
        <f t="shared" si="1"/>
        <v>285183.6154722661</v>
      </c>
      <c r="S16" s="288">
        <f t="shared" si="2"/>
        <v>12</v>
      </c>
      <c r="T16" s="112">
        <v>334704.94061713933</v>
      </c>
      <c r="V16" s="288">
        <f t="shared" si="3"/>
        <v>12</v>
      </c>
      <c r="W16" s="112">
        <v>324302.16000000009</v>
      </c>
      <c r="Y16" s="288">
        <v>12</v>
      </c>
      <c r="Z16" s="112">
        <v>312198.81663023657</v>
      </c>
      <c r="AA16" s="112">
        <f ca="1"/>
        <v>0</v>
      </c>
      <c r="AD16" s="288">
        <v>12</v>
      </c>
      <c r="AE16" s="112">
        <v>32782.872133738623</v>
      </c>
      <c r="AO16" s="288">
        <v>12</v>
      </c>
      <c r="AP16" s="112">
        <v>1865.25</v>
      </c>
      <c r="AQ16" s="112">
        <v>0</v>
      </c>
      <c r="AR16" s="112">
        <v>2387.52</v>
      </c>
      <c r="AS16" s="112">
        <v>2686.1856984000001</v>
      </c>
      <c r="AT16" s="112">
        <v>6938.955698400001</v>
      </c>
      <c r="AW16" s="288">
        <f t="shared" si="4"/>
        <v>12</v>
      </c>
      <c r="AX16" s="105">
        <f>AE16</f>
        <v>32782.872133738623</v>
      </c>
      <c r="AY16" s="105">
        <v>1881</v>
      </c>
      <c r="AZ16" s="105">
        <f t="shared" si="6"/>
        <v>6938.955698400001</v>
      </c>
      <c r="BA16" s="105">
        <f t="shared" si="7"/>
        <v>41602.827832138624</v>
      </c>
      <c r="BC16" s="288">
        <f t="shared" si="8"/>
        <v>12</v>
      </c>
      <c r="BD16" s="112">
        <f t="shared" si="9"/>
        <v>41602.827832138624</v>
      </c>
      <c r="BE16" s="112">
        <f t="shared" ca="1" si="0"/>
        <v>1687110.6239103663</v>
      </c>
      <c r="BF16" s="112">
        <f t="shared" ca="1" si="10"/>
        <v>1728713.451742505</v>
      </c>
      <c r="BH16" s="112">
        <f ca="1"/>
        <v>1728713.451742505</v>
      </c>
      <c r="BI16" t="str">
        <f t="shared" ca="1" si="11"/>
        <v>ok</v>
      </c>
      <c r="BL16" s="386" t="s">
        <v>708</v>
      </c>
      <c r="BM16" s="409" t="s">
        <v>695</v>
      </c>
      <c r="BN16" s="387" t="s">
        <v>696</v>
      </c>
    </row>
    <row r="17" spans="2:66">
      <c r="B17" s="288">
        <v>13</v>
      </c>
      <c r="C17" s="112">
        <v>848304.40401382442</v>
      </c>
      <c r="D17" s="112">
        <v>536766.84918730264</v>
      </c>
      <c r="E17" s="112">
        <v>79103.11840923928</v>
      </c>
      <c r="F17" s="112">
        <v>5445.12</v>
      </c>
      <c r="G17" s="112">
        <v>30499.08</v>
      </c>
      <c r="H17" s="112">
        <f ca="1"/>
        <v>74142.248400000011</v>
      </c>
      <c r="I17" s="112">
        <f ca="1"/>
        <v>112849.80389999998</v>
      </c>
      <c r="J17" s="112">
        <f ca="1"/>
        <v>1687110.6239103663</v>
      </c>
      <c r="L17" s="288">
        <v>13</v>
      </c>
      <c r="M17" s="112">
        <v>21429.982665546006</v>
      </c>
      <c r="N17" s="112">
        <v>98907.612302520021</v>
      </c>
      <c r="O17" s="112">
        <v>164846.02050420005</v>
      </c>
      <c r="P17" s="112">
        <v>0</v>
      </c>
      <c r="Q17" s="112">
        <f t="shared" si="1"/>
        <v>285183.6154722661</v>
      </c>
      <c r="S17" s="288">
        <f t="shared" si="2"/>
        <v>13</v>
      </c>
      <c r="T17" s="112">
        <v>334704.94061713933</v>
      </c>
      <c r="V17" s="288">
        <f t="shared" si="3"/>
        <v>13</v>
      </c>
      <c r="W17" s="112">
        <v>324302.16000000009</v>
      </c>
      <c r="Y17" s="288">
        <v>13</v>
      </c>
      <c r="Z17" s="112">
        <v>243530.12147905384</v>
      </c>
      <c r="AA17" s="112">
        <f ca="1"/>
        <v>0</v>
      </c>
      <c r="AD17" s="288">
        <v>13</v>
      </c>
      <c r="AE17" s="112">
        <v>32821.198453067678</v>
      </c>
      <c r="AO17" s="288">
        <v>13</v>
      </c>
      <c r="AP17" s="112">
        <v>1865.25</v>
      </c>
      <c r="AQ17" s="112">
        <v>0</v>
      </c>
      <c r="AR17" s="112">
        <v>2387.52</v>
      </c>
      <c r="AS17" s="112">
        <v>2686.1856984000001</v>
      </c>
      <c r="AT17" s="112">
        <v>6938.955698400001</v>
      </c>
      <c r="AW17" s="288">
        <f t="shared" si="4"/>
        <v>13</v>
      </c>
      <c r="AX17" s="105">
        <f t="shared" si="5"/>
        <v>32821.198453067678</v>
      </c>
      <c r="AY17" s="105">
        <v>1881</v>
      </c>
      <c r="AZ17" s="105">
        <f>AT17</f>
        <v>6938.955698400001</v>
      </c>
      <c r="BA17" s="105">
        <f>SUM(AX17:AZ17)</f>
        <v>41641.154151467679</v>
      </c>
      <c r="BC17" s="288">
        <f t="shared" si="8"/>
        <v>13</v>
      </c>
      <c r="BD17" s="112">
        <f t="shared" si="9"/>
        <v>41641.154151467679</v>
      </c>
      <c r="BE17" s="112">
        <f t="shared" ca="1" si="0"/>
        <v>1687110.6239103663</v>
      </c>
      <c r="BF17" s="112">
        <f t="shared" ca="1" si="10"/>
        <v>1728751.7780618339</v>
      </c>
      <c r="BH17" s="112">
        <f ca="1"/>
        <v>1728751.7780618339</v>
      </c>
      <c r="BI17" t="str">
        <f t="shared" ca="1" si="11"/>
        <v>ok</v>
      </c>
      <c r="BL17" s="388" t="s">
        <v>20</v>
      </c>
      <c r="BM17" s="390" t="s">
        <v>700</v>
      </c>
      <c r="BN17" s="392">
        <f ca="1">'Premissas Gerais'!D11</f>
        <v>3.2378011383116245E-10</v>
      </c>
    </row>
    <row r="18" spans="2:66">
      <c r="B18" s="288">
        <v>14</v>
      </c>
      <c r="C18" s="112">
        <v>848304.40401382442</v>
      </c>
      <c r="D18" s="112">
        <v>536766.84918730264</v>
      </c>
      <c r="E18" s="112">
        <v>79103.11840923928</v>
      </c>
      <c r="F18" s="112">
        <v>5445.12</v>
      </c>
      <c r="G18" s="112">
        <v>30499.08</v>
      </c>
      <c r="H18" s="112">
        <f ca="1"/>
        <v>74142.248400000011</v>
      </c>
      <c r="I18" s="112">
        <f ca="1"/>
        <v>112849.80389999998</v>
      </c>
      <c r="J18" s="112">
        <f ca="1"/>
        <v>1687110.6239103663</v>
      </c>
      <c r="L18" s="288">
        <v>14</v>
      </c>
      <c r="M18" s="112">
        <v>21429.982665546006</v>
      </c>
      <c r="N18" s="112">
        <v>98907.612302520021</v>
      </c>
      <c r="O18" s="112">
        <v>164846.02050420005</v>
      </c>
      <c r="P18" s="112">
        <v>0</v>
      </c>
      <c r="Q18" s="112">
        <f t="shared" si="1"/>
        <v>285183.6154722661</v>
      </c>
      <c r="S18" s="288">
        <f t="shared" si="2"/>
        <v>14</v>
      </c>
      <c r="T18" s="112">
        <v>334704.94061713933</v>
      </c>
      <c r="V18" s="288">
        <f t="shared" si="3"/>
        <v>14</v>
      </c>
      <c r="W18" s="112">
        <v>324302.16000000009</v>
      </c>
      <c r="Y18" s="288">
        <v>14</v>
      </c>
      <c r="Z18" s="112">
        <v>243530.12147905384</v>
      </c>
      <c r="AA18" s="112">
        <f ca="1"/>
        <v>0</v>
      </c>
      <c r="AD18" s="288">
        <v>14</v>
      </c>
      <c r="AE18" s="112">
        <v>32821.198453067678</v>
      </c>
      <c r="AO18" s="288">
        <v>14</v>
      </c>
      <c r="AP18" s="112">
        <v>1865.25</v>
      </c>
      <c r="AQ18" s="112">
        <v>0</v>
      </c>
      <c r="AR18" s="112">
        <v>2387.52</v>
      </c>
      <c r="AS18" s="112">
        <v>2686.1856984000001</v>
      </c>
      <c r="AT18" s="112">
        <v>6938.955698400001</v>
      </c>
      <c r="AW18" s="288">
        <f t="shared" si="4"/>
        <v>14</v>
      </c>
      <c r="AX18" s="105">
        <f t="shared" si="5"/>
        <v>32821.198453067678</v>
      </c>
      <c r="AY18" s="105">
        <v>1881</v>
      </c>
      <c r="AZ18" s="105">
        <f t="shared" si="6"/>
        <v>6938.955698400001</v>
      </c>
      <c r="BA18" s="105">
        <f t="shared" si="7"/>
        <v>41641.154151467679</v>
      </c>
      <c r="BC18" s="288">
        <f t="shared" si="8"/>
        <v>14</v>
      </c>
      <c r="BD18" s="112">
        <f t="shared" si="9"/>
        <v>41641.154151467679</v>
      </c>
      <c r="BE18" s="112">
        <f t="shared" ca="1" si="0"/>
        <v>1687110.6239103663</v>
      </c>
      <c r="BF18" s="112">
        <f t="shared" ca="1" si="10"/>
        <v>1728751.7780618339</v>
      </c>
      <c r="BH18" s="112">
        <f ca="1"/>
        <v>1728751.7780618339</v>
      </c>
      <c r="BI18" t="str">
        <f t="shared" ca="1" si="11"/>
        <v>ok</v>
      </c>
      <c r="BL18" s="388" t="s">
        <v>709</v>
      </c>
      <c r="BM18" s="390" t="s">
        <v>700</v>
      </c>
      <c r="BN18" s="396">
        <f ca="1">'Demonstrações Financeiras '!D82</f>
        <v>0.11869735884109511</v>
      </c>
    </row>
    <row r="19" spans="2:66">
      <c r="B19" s="288">
        <v>15</v>
      </c>
      <c r="C19" s="112">
        <v>848304.40401382442</v>
      </c>
      <c r="D19" s="112">
        <v>536766.84918730264</v>
      </c>
      <c r="E19" s="112">
        <v>79103.11840923928</v>
      </c>
      <c r="F19" s="112">
        <v>5445.12</v>
      </c>
      <c r="G19" s="112">
        <v>30499.08</v>
      </c>
      <c r="H19" s="112">
        <f ca="1"/>
        <v>74142.248400000011</v>
      </c>
      <c r="I19" s="112">
        <f ca="1"/>
        <v>112849.80389999998</v>
      </c>
      <c r="J19" s="112">
        <f ca="1"/>
        <v>1687110.6239103663</v>
      </c>
      <c r="L19" s="288">
        <v>15</v>
      </c>
      <c r="M19" s="112">
        <v>21429.982665546006</v>
      </c>
      <c r="N19" s="112">
        <v>98907.612302520021</v>
      </c>
      <c r="O19" s="112">
        <v>164846.02050420005</v>
      </c>
      <c r="P19" s="112">
        <v>0</v>
      </c>
      <c r="Q19" s="112">
        <f t="shared" si="1"/>
        <v>285183.6154722661</v>
      </c>
      <c r="S19" s="288">
        <f t="shared" si="2"/>
        <v>15</v>
      </c>
      <c r="T19" s="112">
        <v>334704.94061713933</v>
      </c>
      <c r="V19" s="288">
        <f t="shared" si="3"/>
        <v>15</v>
      </c>
      <c r="W19" s="112">
        <v>259441.72800000006</v>
      </c>
      <c r="Y19" s="288">
        <v>15</v>
      </c>
      <c r="Z19" s="112">
        <v>243530.12147905384</v>
      </c>
      <c r="AA19" s="112">
        <f ca="1"/>
        <v>0</v>
      </c>
      <c r="AD19" s="288">
        <v>15</v>
      </c>
      <c r="AE19" s="112">
        <v>32821.198453067678</v>
      </c>
      <c r="AO19" s="288">
        <v>15</v>
      </c>
      <c r="AP19" s="112">
        <v>1865.25</v>
      </c>
      <c r="AQ19" s="112">
        <v>0</v>
      </c>
      <c r="AR19" s="112">
        <v>2387.52</v>
      </c>
      <c r="AS19" s="112">
        <v>2686.1856984000001</v>
      </c>
      <c r="AT19" s="112">
        <v>6938.955698400001</v>
      </c>
      <c r="AW19" s="288">
        <f t="shared" si="4"/>
        <v>15</v>
      </c>
      <c r="AX19" s="105">
        <f t="shared" si="5"/>
        <v>32821.198453067678</v>
      </c>
      <c r="AY19" s="105">
        <v>1881</v>
      </c>
      <c r="AZ19" s="105">
        <f t="shared" si="6"/>
        <v>6938.955698400001</v>
      </c>
      <c r="BA19" s="105">
        <f t="shared" si="7"/>
        <v>41641.154151467679</v>
      </c>
      <c r="BC19" s="288">
        <f t="shared" si="8"/>
        <v>15</v>
      </c>
      <c r="BD19" s="112">
        <f t="shared" si="9"/>
        <v>41641.154151467679</v>
      </c>
      <c r="BE19" s="112">
        <f t="shared" ca="1" si="0"/>
        <v>1687110.6239103663</v>
      </c>
      <c r="BF19" s="112">
        <f t="shared" ca="1" si="10"/>
        <v>1728751.7780618339</v>
      </c>
      <c r="BH19" s="112">
        <f ca="1"/>
        <v>1728751.7780618339</v>
      </c>
      <c r="BI19" t="str">
        <f t="shared" ca="1" si="11"/>
        <v>ok</v>
      </c>
      <c r="BL19" s="388" t="s">
        <v>710</v>
      </c>
      <c r="BM19" s="390" t="s">
        <v>227</v>
      </c>
      <c r="BN19" s="396">
        <f ca="1">'Premissas Gerais'!D15</f>
        <v>0.36417791896779872</v>
      </c>
    </row>
    <row r="20" spans="2:66">
      <c r="B20" s="288">
        <v>16</v>
      </c>
      <c r="C20" s="112">
        <v>848304.40401382442</v>
      </c>
      <c r="D20" s="112">
        <v>536766.84918730264</v>
      </c>
      <c r="E20" s="112">
        <v>79103.11840923928</v>
      </c>
      <c r="F20" s="112">
        <v>5445.12</v>
      </c>
      <c r="G20" s="112">
        <v>30499.08</v>
      </c>
      <c r="H20" s="112">
        <f ca="1"/>
        <v>74142.248400000011</v>
      </c>
      <c r="I20" s="112">
        <f ca="1"/>
        <v>112849.80389999998</v>
      </c>
      <c r="J20" s="112">
        <f ca="1"/>
        <v>1687110.6239103663</v>
      </c>
      <c r="L20" s="288">
        <v>16</v>
      </c>
      <c r="M20" s="112">
        <v>21429.982665546006</v>
      </c>
      <c r="N20" s="112">
        <v>98907.612302520021</v>
      </c>
      <c r="O20" s="112">
        <v>164846.02050420005</v>
      </c>
      <c r="P20" s="112">
        <v>0</v>
      </c>
      <c r="Q20" s="112">
        <f t="shared" si="1"/>
        <v>285183.6154722661</v>
      </c>
      <c r="S20" s="288">
        <f t="shared" si="2"/>
        <v>16</v>
      </c>
      <c r="T20" s="112">
        <v>334704.94061713933</v>
      </c>
      <c r="V20" s="288">
        <f t="shared" si="3"/>
        <v>16</v>
      </c>
      <c r="W20" s="112">
        <v>259441.72800000006</v>
      </c>
      <c r="Y20" s="288">
        <v>16</v>
      </c>
      <c r="Z20" s="112">
        <v>243530.12147905384</v>
      </c>
      <c r="AA20" s="112">
        <f ca="1"/>
        <v>0</v>
      </c>
      <c r="AD20" s="288">
        <v>16</v>
      </c>
      <c r="AE20" s="112">
        <v>32821.198453067678</v>
      </c>
      <c r="AO20" s="288">
        <v>16</v>
      </c>
      <c r="AP20" s="112">
        <v>1865.25</v>
      </c>
      <c r="AQ20" s="112">
        <v>0</v>
      </c>
      <c r="AR20" s="112">
        <v>2387.52</v>
      </c>
      <c r="AS20" s="112">
        <v>2686.1856984000001</v>
      </c>
      <c r="AT20" s="112">
        <v>6938.955698400001</v>
      </c>
      <c r="AW20" s="288">
        <f t="shared" si="4"/>
        <v>16</v>
      </c>
      <c r="AX20" s="105">
        <f t="shared" si="5"/>
        <v>32821.198453067678</v>
      </c>
      <c r="AY20" s="105">
        <v>1881</v>
      </c>
      <c r="AZ20" s="105">
        <f t="shared" si="6"/>
        <v>6938.955698400001</v>
      </c>
      <c r="BA20" s="105">
        <f t="shared" si="7"/>
        <v>41641.154151467679</v>
      </c>
      <c r="BC20" s="288">
        <f t="shared" si="8"/>
        <v>16</v>
      </c>
      <c r="BD20" s="112">
        <f t="shared" si="9"/>
        <v>41641.154151467679</v>
      </c>
      <c r="BE20" s="112">
        <f t="shared" ca="1" si="0"/>
        <v>1687110.6239103663</v>
      </c>
      <c r="BF20" s="112">
        <f t="shared" ca="1" si="10"/>
        <v>1728751.7780618339</v>
      </c>
      <c r="BH20" s="112">
        <f ca="1"/>
        <v>1728751.7780618339</v>
      </c>
      <c r="BI20" t="str">
        <f t="shared" ca="1" si="11"/>
        <v>ok</v>
      </c>
      <c r="BL20" s="388" t="s">
        <v>38</v>
      </c>
      <c r="BM20" s="390" t="s">
        <v>227</v>
      </c>
      <c r="BN20" s="396">
        <f ca="1">'Demonstrações Financeiras '!D29</f>
        <v>0.14126427676361447</v>
      </c>
    </row>
    <row r="21" spans="2:66">
      <c r="B21" s="288">
        <v>17</v>
      </c>
      <c r="C21" s="112">
        <v>848304.40401382442</v>
      </c>
      <c r="D21" s="112">
        <v>536766.84918730264</v>
      </c>
      <c r="E21" s="112">
        <v>79103.11840923928</v>
      </c>
      <c r="F21" s="112">
        <v>5445.12</v>
      </c>
      <c r="G21" s="112">
        <v>30499.08</v>
      </c>
      <c r="H21" s="112">
        <f ca="1"/>
        <v>74142.248400000011</v>
      </c>
      <c r="I21" s="112">
        <f ca="1"/>
        <v>112849.80389999998</v>
      </c>
      <c r="J21" s="112">
        <f ca="1"/>
        <v>1687110.6239103663</v>
      </c>
      <c r="L21" s="288">
        <v>17</v>
      </c>
      <c r="M21" s="112">
        <v>21429.982665546006</v>
      </c>
      <c r="N21" s="112">
        <v>98907.612302520021</v>
      </c>
      <c r="O21" s="112">
        <v>164846.02050420005</v>
      </c>
      <c r="P21" s="112">
        <v>0</v>
      </c>
      <c r="Q21" s="112">
        <f t="shared" si="1"/>
        <v>285183.6154722661</v>
      </c>
      <c r="S21" s="288">
        <f t="shared" si="2"/>
        <v>17</v>
      </c>
      <c r="T21" s="112">
        <v>334704.94061713933</v>
      </c>
      <c r="V21" s="288">
        <f t="shared" si="3"/>
        <v>17</v>
      </c>
      <c r="W21" s="112">
        <v>259441.72800000006</v>
      </c>
      <c r="Y21" s="288">
        <v>17</v>
      </c>
      <c r="Z21" s="112">
        <v>243530.12147905384</v>
      </c>
      <c r="AA21" s="112">
        <f ca="1"/>
        <v>0</v>
      </c>
      <c r="AD21" s="288">
        <v>17</v>
      </c>
      <c r="AE21" s="112">
        <v>32821.198453067678</v>
      </c>
      <c r="AO21" s="288">
        <v>17</v>
      </c>
      <c r="AP21" s="112">
        <v>1865.25</v>
      </c>
      <c r="AQ21" s="112">
        <v>0</v>
      </c>
      <c r="AR21" s="112">
        <v>2387.52</v>
      </c>
      <c r="AS21" s="112">
        <v>2686.1856984000001</v>
      </c>
      <c r="AT21" s="112">
        <v>6938.955698400001</v>
      </c>
      <c r="AW21" s="288">
        <f t="shared" si="4"/>
        <v>17</v>
      </c>
      <c r="AX21" s="105">
        <f t="shared" si="5"/>
        <v>32821.198453067678</v>
      </c>
      <c r="AY21" s="105">
        <v>1881</v>
      </c>
      <c r="AZ21" s="105">
        <f t="shared" si="6"/>
        <v>6938.955698400001</v>
      </c>
      <c r="BA21" s="105">
        <f t="shared" si="7"/>
        <v>41641.154151467679</v>
      </c>
      <c r="BC21" s="288">
        <f t="shared" si="8"/>
        <v>17</v>
      </c>
      <c r="BD21" s="112">
        <f t="shared" si="9"/>
        <v>41641.154151467679</v>
      </c>
      <c r="BE21" s="112">
        <f t="shared" ca="1" si="0"/>
        <v>1687110.6239103663</v>
      </c>
      <c r="BF21" s="112">
        <f t="shared" ca="1" si="10"/>
        <v>1728751.7780618339</v>
      </c>
      <c r="BH21" s="112">
        <f ca="1"/>
        <v>1728751.7780618339</v>
      </c>
      <c r="BI21" t="str">
        <f t="shared" ca="1" si="11"/>
        <v>ok</v>
      </c>
      <c r="BL21" s="388" t="s">
        <v>23</v>
      </c>
      <c r="BM21" s="390" t="s">
        <v>698</v>
      </c>
      <c r="BN21" s="399">
        <f ca="1">'Premissas Gerais'!D12</f>
        <v>10</v>
      </c>
    </row>
    <row r="22" spans="2:66">
      <c r="B22" s="288">
        <v>18</v>
      </c>
      <c r="C22" s="112">
        <v>848304.40401382442</v>
      </c>
      <c r="D22" s="112">
        <v>536766.84918730264</v>
      </c>
      <c r="E22" s="112">
        <v>79103.11840923928</v>
      </c>
      <c r="F22" s="112">
        <v>5445.12</v>
      </c>
      <c r="G22" s="112">
        <v>30499.08</v>
      </c>
      <c r="H22" s="112">
        <f ca="1"/>
        <v>74142.248400000011</v>
      </c>
      <c r="I22" s="112">
        <f ca="1"/>
        <v>112849.80389999998</v>
      </c>
      <c r="J22" s="112">
        <f ca="1"/>
        <v>1687110.6239103663</v>
      </c>
      <c r="L22" s="288">
        <v>18</v>
      </c>
      <c r="M22" s="112">
        <v>21429.982665546006</v>
      </c>
      <c r="N22" s="112">
        <v>98907.612302520021</v>
      </c>
      <c r="O22" s="112">
        <v>164846.02050420005</v>
      </c>
      <c r="P22" s="112">
        <v>0</v>
      </c>
      <c r="Q22" s="112">
        <f t="shared" si="1"/>
        <v>285183.6154722661</v>
      </c>
      <c r="S22" s="288">
        <f t="shared" si="2"/>
        <v>18</v>
      </c>
      <c r="T22" s="112">
        <v>334704.94061713933</v>
      </c>
      <c r="V22" s="288">
        <f t="shared" si="3"/>
        <v>18</v>
      </c>
      <c r="W22" s="112">
        <v>259441.72800000006</v>
      </c>
      <c r="Y22" s="288">
        <v>18</v>
      </c>
      <c r="Z22" s="112">
        <v>243530.12147905384</v>
      </c>
      <c r="AA22" s="112">
        <f ca="1"/>
        <v>0</v>
      </c>
      <c r="AD22" s="288">
        <v>18</v>
      </c>
      <c r="AE22" s="112">
        <v>32821.198453067678</v>
      </c>
      <c r="AO22" s="288">
        <v>18</v>
      </c>
      <c r="AP22" s="112">
        <v>1865.25</v>
      </c>
      <c r="AQ22" s="112">
        <v>0</v>
      </c>
      <c r="AR22" s="112">
        <v>2387.52</v>
      </c>
      <c r="AS22" s="112">
        <v>2686.1856984000001</v>
      </c>
      <c r="AT22" s="112">
        <v>6938.955698400001</v>
      </c>
      <c r="AW22" s="288">
        <f t="shared" si="4"/>
        <v>18</v>
      </c>
      <c r="AX22" s="105">
        <f t="shared" si="5"/>
        <v>32821.198453067678</v>
      </c>
      <c r="AY22" s="105">
        <v>1881</v>
      </c>
      <c r="AZ22" s="105">
        <f t="shared" si="6"/>
        <v>6938.955698400001</v>
      </c>
      <c r="BA22" s="105">
        <f t="shared" si="7"/>
        <v>41641.154151467679</v>
      </c>
      <c r="BC22" s="288">
        <f t="shared" si="8"/>
        <v>18</v>
      </c>
      <c r="BD22" s="112">
        <f t="shared" si="9"/>
        <v>41641.154151467679</v>
      </c>
      <c r="BE22" s="112">
        <f t="shared" ca="1" si="0"/>
        <v>1687110.6239103663</v>
      </c>
      <c r="BF22" s="112">
        <f t="shared" ca="1" si="10"/>
        <v>1728751.7780618339</v>
      </c>
      <c r="BH22" s="112">
        <f ca="1"/>
        <v>1728751.7780618339</v>
      </c>
      <c r="BI22" t="str">
        <f t="shared" ca="1" si="11"/>
        <v>ok</v>
      </c>
    </row>
    <row r="23" spans="2:66">
      <c r="B23" s="288">
        <v>19</v>
      </c>
      <c r="C23" s="112">
        <v>848304.40401382442</v>
      </c>
      <c r="D23" s="112">
        <v>536766.84918730264</v>
      </c>
      <c r="E23" s="112">
        <v>79103.11840923928</v>
      </c>
      <c r="F23" s="112">
        <v>5445.12</v>
      </c>
      <c r="G23" s="112">
        <v>30499.08</v>
      </c>
      <c r="H23" s="112">
        <f ca="1"/>
        <v>74142.248400000011</v>
      </c>
      <c r="I23" s="112">
        <f ca="1"/>
        <v>112849.80389999998</v>
      </c>
      <c r="J23" s="112">
        <f ca="1"/>
        <v>1687110.6239103663</v>
      </c>
      <c r="L23" s="288">
        <v>19</v>
      </c>
      <c r="M23" s="112">
        <v>21429.982665546006</v>
      </c>
      <c r="N23" s="112">
        <v>98907.612302520021</v>
      </c>
      <c r="O23" s="112">
        <v>164846.02050420005</v>
      </c>
      <c r="P23" s="112">
        <v>0</v>
      </c>
      <c r="Q23" s="112">
        <f t="shared" si="1"/>
        <v>285183.6154722661</v>
      </c>
      <c r="S23" s="288">
        <f t="shared" si="2"/>
        <v>19</v>
      </c>
      <c r="T23" s="112">
        <v>334704.94061713933</v>
      </c>
      <c r="V23" s="288">
        <f t="shared" si="3"/>
        <v>19</v>
      </c>
      <c r="W23" s="112">
        <v>259441.72800000006</v>
      </c>
      <c r="Y23" s="288">
        <v>19</v>
      </c>
      <c r="Z23" s="112">
        <v>243530.12147905384</v>
      </c>
      <c r="AA23" s="112">
        <f ca="1"/>
        <v>0</v>
      </c>
      <c r="AD23" s="288">
        <v>19</v>
      </c>
      <c r="AE23" s="112">
        <v>32821.198453067678</v>
      </c>
      <c r="AO23" s="288">
        <v>19</v>
      </c>
      <c r="AP23" s="112">
        <v>1865.25</v>
      </c>
      <c r="AQ23" s="112">
        <v>0</v>
      </c>
      <c r="AR23" s="112">
        <v>2387.52</v>
      </c>
      <c r="AS23" s="112">
        <v>2686.1856984000001</v>
      </c>
      <c r="AT23" s="112">
        <v>6938.955698400001</v>
      </c>
      <c r="AW23" s="288">
        <f t="shared" si="4"/>
        <v>19</v>
      </c>
      <c r="AX23" s="105">
        <f t="shared" si="5"/>
        <v>32821.198453067678</v>
      </c>
      <c r="AY23" s="105">
        <v>1881</v>
      </c>
      <c r="AZ23" s="105">
        <f t="shared" si="6"/>
        <v>6938.955698400001</v>
      </c>
      <c r="BA23" s="105">
        <f t="shared" si="7"/>
        <v>41641.154151467679</v>
      </c>
      <c r="BC23" s="288">
        <f t="shared" si="8"/>
        <v>19</v>
      </c>
      <c r="BD23" s="112">
        <f t="shared" si="9"/>
        <v>41641.154151467679</v>
      </c>
      <c r="BE23" s="112">
        <f t="shared" ca="1" si="0"/>
        <v>1687110.6239103663</v>
      </c>
      <c r="BF23" s="112">
        <f t="shared" ca="1" si="10"/>
        <v>1728751.7780618339</v>
      </c>
      <c r="BH23" s="112">
        <f ca="1"/>
        <v>1728751.7780618339</v>
      </c>
      <c r="BI23" t="str">
        <f t="shared" ca="1" si="11"/>
        <v>ok</v>
      </c>
    </row>
    <row r="24" spans="2:66">
      <c r="B24" s="288">
        <v>20</v>
      </c>
      <c r="C24" s="112">
        <v>848304.40401382442</v>
      </c>
      <c r="D24" s="112">
        <v>536766.84918730264</v>
      </c>
      <c r="E24" s="112">
        <v>79103.11840923928</v>
      </c>
      <c r="F24" s="112">
        <v>5445.12</v>
      </c>
      <c r="G24" s="112">
        <v>30499.08</v>
      </c>
      <c r="H24" s="112">
        <f ca="1"/>
        <v>74142.248400000011</v>
      </c>
      <c r="I24" s="112">
        <f ca="1"/>
        <v>112849.80389999998</v>
      </c>
      <c r="J24" s="112">
        <f ca="1"/>
        <v>1687110.6239103663</v>
      </c>
      <c r="L24" s="288">
        <v>20</v>
      </c>
      <c r="M24" s="112">
        <v>21429.982665546006</v>
      </c>
      <c r="N24" s="112">
        <v>98907.612302520021</v>
      </c>
      <c r="O24" s="112">
        <v>164846.02050420005</v>
      </c>
      <c r="P24" s="112">
        <v>0</v>
      </c>
      <c r="Q24" s="112">
        <f t="shared" si="1"/>
        <v>285183.6154722661</v>
      </c>
      <c r="S24" s="288">
        <f t="shared" si="2"/>
        <v>20</v>
      </c>
      <c r="T24" s="112">
        <v>334704.94061713933</v>
      </c>
      <c r="V24" s="288">
        <f t="shared" si="3"/>
        <v>20</v>
      </c>
      <c r="W24" s="112">
        <v>259441.72800000006</v>
      </c>
      <c r="Y24" s="288">
        <v>20</v>
      </c>
      <c r="Z24" s="112">
        <v>243530.12147905384</v>
      </c>
      <c r="AA24" s="112">
        <f ca="1"/>
        <v>0</v>
      </c>
      <c r="AD24" s="288">
        <v>20</v>
      </c>
      <c r="AE24" s="112">
        <v>32821.198453067678</v>
      </c>
      <c r="AO24" s="288">
        <v>20</v>
      </c>
      <c r="AP24" s="112">
        <v>1865.25</v>
      </c>
      <c r="AQ24" s="112">
        <v>0</v>
      </c>
      <c r="AR24" s="112">
        <v>2387.52</v>
      </c>
      <c r="AS24" s="112">
        <v>2686.1856984000001</v>
      </c>
      <c r="AT24" s="112">
        <v>6938.955698400001</v>
      </c>
      <c r="AW24" s="288">
        <f t="shared" si="4"/>
        <v>20</v>
      </c>
      <c r="AX24" s="105">
        <f t="shared" si="5"/>
        <v>32821.198453067678</v>
      </c>
      <c r="AY24" s="105">
        <v>1881</v>
      </c>
      <c r="AZ24" s="105">
        <f t="shared" si="6"/>
        <v>6938.955698400001</v>
      </c>
      <c r="BA24" s="105">
        <f t="shared" si="7"/>
        <v>41641.154151467679</v>
      </c>
      <c r="BC24" s="288">
        <f t="shared" si="8"/>
        <v>20</v>
      </c>
      <c r="BD24" s="112">
        <f t="shared" si="9"/>
        <v>41641.154151467679</v>
      </c>
      <c r="BE24" s="112">
        <f t="shared" ca="1" si="0"/>
        <v>1687110.6239103663</v>
      </c>
      <c r="BF24" s="112">
        <f t="shared" ca="1" si="10"/>
        <v>1728751.7780618339</v>
      </c>
      <c r="BH24" s="112">
        <f ca="1"/>
        <v>1728751.7780618339</v>
      </c>
      <c r="BI24" t="str">
        <f t="shared" ca="1" si="11"/>
        <v>ok</v>
      </c>
    </row>
    <row r="25" spans="2:66">
      <c r="B25" s="288">
        <v>21</v>
      </c>
      <c r="C25" s="112">
        <v>848304.40401382442</v>
      </c>
      <c r="D25" s="112">
        <v>536766.84918730264</v>
      </c>
      <c r="E25" s="112">
        <v>79103.11840923928</v>
      </c>
      <c r="F25" s="112">
        <v>5445.12</v>
      </c>
      <c r="G25" s="112">
        <v>30499.08</v>
      </c>
      <c r="H25" s="112">
        <f ca="1"/>
        <v>74142.248400000011</v>
      </c>
      <c r="I25" s="112">
        <f ca="1"/>
        <v>112849.80389999998</v>
      </c>
      <c r="J25" s="112">
        <f ca="1"/>
        <v>1687110.6239103663</v>
      </c>
      <c r="L25" s="288">
        <v>21</v>
      </c>
      <c r="M25" s="112">
        <v>21429.982665546006</v>
      </c>
      <c r="N25" s="112">
        <v>98907.612302520021</v>
      </c>
      <c r="O25" s="112">
        <v>164846.02050420005</v>
      </c>
      <c r="P25" s="112">
        <v>0</v>
      </c>
      <c r="Q25" s="112">
        <f t="shared" si="1"/>
        <v>285183.6154722661</v>
      </c>
      <c r="S25" s="288">
        <f t="shared" si="2"/>
        <v>21</v>
      </c>
      <c r="T25" s="112">
        <v>334704.94061713933</v>
      </c>
      <c r="V25" s="288">
        <f t="shared" si="3"/>
        <v>21</v>
      </c>
      <c r="W25" s="112">
        <v>259441.72800000006</v>
      </c>
      <c r="Y25" s="288">
        <v>21</v>
      </c>
      <c r="Z25" s="112">
        <v>243530.12147905384</v>
      </c>
      <c r="AA25" s="112">
        <f ca="1"/>
        <v>0</v>
      </c>
      <c r="AD25" s="288">
        <v>21</v>
      </c>
      <c r="AE25" s="112">
        <v>32821.198453067678</v>
      </c>
      <c r="AO25" s="288">
        <v>21</v>
      </c>
      <c r="AP25" s="112">
        <v>1865.25</v>
      </c>
      <c r="AQ25" s="112">
        <v>0</v>
      </c>
      <c r="AR25" s="112">
        <v>2387.52</v>
      </c>
      <c r="AS25" s="112">
        <v>2686.1856984000001</v>
      </c>
      <c r="AT25" s="112">
        <v>6938.955698400001</v>
      </c>
      <c r="AW25" s="288">
        <f t="shared" si="4"/>
        <v>21</v>
      </c>
      <c r="AX25" s="105">
        <f t="shared" si="5"/>
        <v>32821.198453067678</v>
      </c>
      <c r="AY25" s="105">
        <v>1881</v>
      </c>
      <c r="AZ25" s="105">
        <f t="shared" si="6"/>
        <v>6938.955698400001</v>
      </c>
      <c r="BA25" s="105">
        <f t="shared" si="7"/>
        <v>41641.154151467679</v>
      </c>
      <c r="BC25" s="288">
        <f t="shared" si="8"/>
        <v>21</v>
      </c>
      <c r="BD25" s="112">
        <f t="shared" si="9"/>
        <v>41641.154151467679</v>
      </c>
      <c r="BE25" s="112">
        <f t="shared" ca="1" si="0"/>
        <v>1687110.6239103663</v>
      </c>
      <c r="BF25" s="112">
        <f t="shared" ca="1" si="10"/>
        <v>1728751.7780618339</v>
      </c>
      <c r="BH25" s="112">
        <f ca="1"/>
        <v>1728751.7780618339</v>
      </c>
      <c r="BI25" t="str">
        <f t="shared" ca="1" si="11"/>
        <v>ok</v>
      </c>
    </row>
    <row r="26" spans="2:66">
      <c r="B26" s="288">
        <v>22</v>
      </c>
      <c r="C26" s="112">
        <v>848304.40401382442</v>
      </c>
      <c r="D26" s="112">
        <v>536766.84918730264</v>
      </c>
      <c r="E26" s="112">
        <v>79103.11840923928</v>
      </c>
      <c r="F26" s="112">
        <v>5445.12</v>
      </c>
      <c r="G26" s="112">
        <v>30499.08</v>
      </c>
      <c r="H26" s="112">
        <f ca="1"/>
        <v>74142.248400000011</v>
      </c>
      <c r="I26" s="112">
        <f ca="1"/>
        <v>112849.80389999998</v>
      </c>
      <c r="J26" s="112">
        <f ca="1"/>
        <v>1687110.6239103663</v>
      </c>
      <c r="L26" s="288">
        <v>22</v>
      </c>
      <c r="M26" s="112">
        <v>21429.982665546006</v>
      </c>
      <c r="N26" s="112">
        <v>98907.612302520021</v>
      </c>
      <c r="O26" s="112">
        <v>164846.02050420005</v>
      </c>
      <c r="P26" s="112">
        <v>0</v>
      </c>
      <c r="Q26" s="112">
        <f t="shared" si="1"/>
        <v>285183.6154722661</v>
      </c>
      <c r="S26" s="288">
        <f t="shared" si="2"/>
        <v>22</v>
      </c>
      <c r="T26" s="112">
        <v>334704.94061713933</v>
      </c>
      <c r="V26" s="288">
        <f t="shared" si="3"/>
        <v>22</v>
      </c>
      <c r="W26" s="112">
        <v>259441.72800000006</v>
      </c>
      <c r="Y26" s="288">
        <v>22</v>
      </c>
      <c r="Z26" s="112">
        <v>243530.12147905384</v>
      </c>
      <c r="AA26" s="112">
        <f ca="1"/>
        <v>0</v>
      </c>
      <c r="AD26" s="288">
        <v>22</v>
      </c>
      <c r="AE26" s="112">
        <v>32821.198453067678</v>
      </c>
      <c r="AO26" s="288">
        <v>22</v>
      </c>
      <c r="AP26" s="112">
        <v>1865.25</v>
      </c>
      <c r="AQ26" s="112">
        <v>0</v>
      </c>
      <c r="AR26" s="112">
        <v>2387.52</v>
      </c>
      <c r="AS26" s="112">
        <v>2686.1856984000001</v>
      </c>
      <c r="AT26" s="112">
        <v>6938.955698400001</v>
      </c>
      <c r="AW26" s="288">
        <f t="shared" si="4"/>
        <v>22</v>
      </c>
      <c r="AX26" s="105">
        <f t="shared" si="5"/>
        <v>32821.198453067678</v>
      </c>
      <c r="AY26" s="105">
        <v>1881</v>
      </c>
      <c r="AZ26" s="105">
        <f t="shared" si="6"/>
        <v>6938.955698400001</v>
      </c>
      <c r="BA26" s="105">
        <f t="shared" si="7"/>
        <v>41641.154151467679</v>
      </c>
      <c r="BC26" s="288">
        <f t="shared" si="8"/>
        <v>22</v>
      </c>
      <c r="BD26" s="112">
        <f t="shared" si="9"/>
        <v>41641.154151467679</v>
      </c>
      <c r="BE26" s="112">
        <f t="shared" ca="1" si="0"/>
        <v>1687110.6239103663</v>
      </c>
      <c r="BF26" s="112">
        <f t="shared" ca="1" si="10"/>
        <v>1728751.7780618339</v>
      </c>
      <c r="BH26" s="112">
        <f ca="1"/>
        <v>1728751.7780618339</v>
      </c>
      <c r="BI26" t="str">
        <f t="shared" ca="1" si="11"/>
        <v>ok</v>
      </c>
    </row>
    <row r="27" spans="2:66">
      <c r="B27" s="288">
        <v>23</v>
      </c>
      <c r="C27" s="112">
        <v>848304.40401382442</v>
      </c>
      <c r="D27" s="112">
        <v>536766.84918730264</v>
      </c>
      <c r="E27" s="112">
        <v>79103.11840923928</v>
      </c>
      <c r="F27" s="112">
        <v>5445.12</v>
      </c>
      <c r="G27" s="112">
        <v>30499.08</v>
      </c>
      <c r="H27" s="112">
        <f ca="1"/>
        <v>74142.248400000011</v>
      </c>
      <c r="I27" s="112">
        <f ca="1"/>
        <v>112849.80389999998</v>
      </c>
      <c r="J27" s="112">
        <f ca="1"/>
        <v>1687110.6239103663</v>
      </c>
      <c r="L27" s="288">
        <v>23</v>
      </c>
      <c r="M27" s="112">
        <v>21429.982665546006</v>
      </c>
      <c r="N27" s="112">
        <v>98907.612302520021</v>
      </c>
      <c r="O27" s="112">
        <v>164846.02050420005</v>
      </c>
      <c r="P27" s="112">
        <v>0</v>
      </c>
      <c r="Q27" s="112">
        <f t="shared" si="1"/>
        <v>285183.6154722661</v>
      </c>
      <c r="S27" s="288">
        <f t="shared" si="2"/>
        <v>23</v>
      </c>
      <c r="T27" s="112">
        <v>334704.94061713933</v>
      </c>
      <c r="V27" s="288">
        <f t="shared" si="3"/>
        <v>23</v>
      </c>
      <c r="W27" s="112">
        <v>259441.72800000006</v>
      </c>
      <c r="Y27" s="288">
        <v>23</v>
      </c>
      <c r="Z27" s="112">
        <v>243530.12147905384</v>
      </c>
      <c r="AA27" s="112">
        <f ca="1"/>
        <v>0</v>
      </c>
      <c r="AD27" s="288">
        <v>23</v>
      </c>
      <c r="AE27" s="112">
        <v>32821.198453067678</v>
      </c>
      <c r="AO27" s="288">
        <v>23</v>
      </c>
      <c r="AP27" s="112">
        <v>1865.25</v>
      </c>
      <c r="AQ27" s="112">
        <v>0</v>
      </c>
      <c r="AR27" s="112">
        <v>2387.52</v>
      </c>
      <c r="AS27" s="112">
        <v>2686.1856984000001</v>
      </c>
      <c r="AT27" s="112">
        <v>6938.955698400001</v>
      </c>
      <c r="AW27" s="288">
        <f t="shared" si="4"/>
        <v>23</v>
      </c>
      <c r="AX27" s="105">
        <f t="shared" si="5"/>
        <v>32821.198453067678</v>
      </c>
      <c r="AY27" s="105">
        <v>1881</v>
      </c>
      <c r="AZ27" s="105">
        <f t="shared" si="6"/>
        <v>6938.955698400001</v>
      </c>
      <c r="BA27" s="105">
        <f t="shared" si="7"/>
        <v>41641.154151467679</v>
      </c>
      <c r="BC27" s="288">
        <f t="shared" si="8"/>
        <v>23</v>
      </c>
      <c r="BD27" s="112">
        <f t="shared" si="9"/>
        <v>41641.154151467679</v>
      </c>
      <c r="BE27" s="112">
        <f t="shared" ca="1" si="0"/>
        <v>1687110.6239103663</v>
      </c>
      <c r="BF27" s="112">
        <f t="shared" ca="1" si="10"/>
        <v>1728751.7780618339</v>
      </c>
      <c r="BH27" s="112">
        <f ca="1"/>
        <v>1728751.7780618339</v>
      </c>
      <c r="BI27" t="str">
        <f t="shared" ca="1" si="11"/>
        <v>ok</v>
      </c>
    </row>
    <row r="28" spans="2:66">
      <c r="B28" s="288">
        <v>24</v>
      </c>
      <c r="C28" s="112">
        <v>848304.40401382442</v>
      </c>
      <c r="D28" s="112">
        <v>536766.84918730264</v>
      </c>
      <c r="E28" s="112">
        <v>79103.11840923928</v>
      </c>
      <c r="F28" s="112">
        <v>5445.12</v>
      </c>
      <c r="G28" s="112">
        <v>30499.08</v>
      </c>
      <c r="H28" s="112">
        <f ca="1"/>
        <v>74142.248400000011</v>
      </c>
      <c r="I28" s="112">
        <f ca="1"/>
        <v>112849.80389999998</v>
      </c>
      <c r="J28" s="112">
        <f ca="1"/>
        <v>1687110.6239103663</v>
      </c>
      <c r="L28" s="288">
        <v>24</v>
      </c>
      <c r="M28" s="112">
        <v>21429.982665546006</v>
      </c>
      <c r="N28" s="112">
        <v>98907.612302520021</v>
      </c>
      <c r="O28" s="112">
        <v>164846.02050420005</v>
      </c>
      <c r="P28" s="112">
        <v>0</v>
      </c>
      <c r="Q28" s="112">
        <f t="shared" si="1"/>
        <v>285183.6154722661</v>
      </c>
      <c r="S28" s="288">
        <f t="shared" si="2"/>
        <v>24</v>
      </c>
      <c r="T28" s="112">
        <v>334704.94061713933</v>
      </c>
      <c r="V28" s="288">
        <f t="shared" si="3"/>
        <v>24</v>
      </c>
      <c r="W28" s="112">
        <v>259441.72800000006</v>
      </c>
      <c r="Y28" s="288">
        <v>24</v>
      </c>
      <c r="Z28" s="112">
        <v>243530.12147905384</v>
      </c>
      <c r="AA28" s="112">
        <f ca="1"/>
        <v>0</v>
      </c>
      <c r="AD28" s="288">
        <v>24</v>
      </c>
      <c r="AE28" s="112">
        <v>32821.198453067678</v>
      </c>
      <c r="AO28" s="288">
        <v>24</v>
      </c>
      <c r="AP28" s="112">
        <v>1865.25</v>
      </c>
      <c r="AQ28" s="112">
        <v>0</v>
      </c>
      <c r="AR28" s="112">
        <v>2387.52</v>
      </c>
      <c r="AS28" s="112">
        <v>2686.1856984000001</v>
      </c>
      <c r="AT28" s="112">
        <v>6938.955698400001</v>
      </c>
      <c r="AW28" s="288">
        <f t="shared" si="4"/>
        <v>24</v>
      </c>
      <c r="AX28" s="105">
        <f t="shared" si="5"/>
        <v>32821.198453067678</v>
      </c>
      <c r="AY28" s="105">
        <v>1881</v>
      </c>
      <c r="AZ28" s="105">
        <f t="shared" si="6"/>
        <v>6938.955698400001</v>
      </c>
      <c r="BA28" s="105">
        <f t="shared" si="7"/>
        <v>41641.154151467679</v>
      </c>
      <c r="BC28" s="288">
        <f t="shared" si="8"/>
        <v>24</v>
      </c>
      <c r="BD28" s="112">
        <f t="shared" si="9"/>
        <v>41641.154151467679</v>
      </c>
      <c r="BE28" s="112">
        <f t="shared" ca="1" si="0"/>
        <v>1687110.6239103663</v>
      </c>
      <c r="BF28" s="112">
        <f t="shared" ca="1" si="10"/>
        <v>1728751.7780618339</v>
      </c>
      <c r="BH28" s="112">
        <f ca="1"/>
        <v>1728751.7780618339</v>
      </c>
      <c r="BI28" t="str">
        <f t="shared" ca="1" si="11"/>
        <v>ok</v>
      </c>
    </row>
    <row r="29" spans="2:66">
      <c r="B29" s="288">
        <v>25</v>
      </c>
      <c r="C29" s="112">
        <v>848304.40401382442</v>
      </c>
      <c r="D29" s="112">
        <v>536766.84918730264</v>
      </c>
      <c r="E29" s="112">
        <v>79103.11840923928</v>
      </c>
      <c r="F29" s="112">
        <v>5445.12</v>
      </c>
      <c r="G29" s="112">
        <v>30499.08</v>
      </c>
      <c r="H29" s="112">
        <f ca="1"/>
        <v>74142.248400000011</v>
      </c>
      <c r="I29" s="112">
        <f ca="1"/>
        <v>112849.80389999998</v>
      </c>
      <c r="J29" s="112">
        <f ca="1"/>
        <v>1687110.6239103663</v>
      </c>
      <c r="L29" s="288">
        <v>25</v>
      </c>
      <c r="M29" s="112">
        <v>21429.982665546006</v>
      </c>
      <c r="N29" s="112">
        <v>98907.612302520021</v>
      </c>
      <c r="O29" s="112">
        <v>164846.02050420005</v>
      </c>
      <c r="P29" s="112">
        <v>0</v>
      </c>
      <c r="Q29" s="112">
        <f t="shared" si="1"/>
        <v>285183.6154722661</v>
      </c>
      <c r="S29" s="288">
        <f t="shared" si="2"/>
        <v>25</v>
      </c>
      <c r="T29" s="112">
        <v>334704.94061713933</v>
      </c>
      <c r="V29" s="288">
        <f t="shared" si="3"/>
        <v>25</v>
      </c>
      <c r="W29" s="112">
        <v>259441.72800000006</v>
      </c>
      <c r="Y29" s="288">
        <v>25</v>
      </c>
      <c r="Z29" s="112">
        <v>243530.12147905384</v>
      </c>
      <c r="AA29" s="112">
        <f ca="1"/>
        <v>0</v>
      </c>
      <c r="AD29" s="288">
        <v>25</v>
      </c>
      <c r="AE29" s="112">
        <v>32821.198453067678</v>
      </c>
      <c r="AO29" s="288">
        <v>25</v>
      </c>
      <c r="AP29" s="112">
        <v>1865.25</v>
      </c>
      <c r="AQ29" s="112">
        <v>0</v>
      </c>
      <c r="AR29" s="112">
        <v>2387.52</v>
      </c>
      <c r="AS29" s="112">
        <v>2686.1856984000001</v>
      </c>
      <c r="AT29" s="112">
        <v>6938.955698400001</v>
      </c>
      <c r="AW29" s="288">
        <f t="shared" si="4"/>
        <v>25</v>
      </c>
      <c r="AX29" s="105">
        <f t="shared" si="5"/>
        <v>32821.198453067678</v>
      </c>
      <c r="AY29" s="105">
        <v>1881</v>
      </c>
      <c r="AZ29" s="105">
        <f t="shared" si="6"/>
        <v>6938.955698400001</v>
      </c>
      <c r="BA29" s="105">
        <f t="shared" si="7"/>
        <v>41641.154151467679</v>
      </c>
      <c r="BC29" s="288">
        <f t="shared" si="8"/>
        <v>25</v>
      </c>
      <c r="BD29" s="112">
        <f t="shared" si="9"/>
        <v>41641.154151467679</v>
      </c>
      <c r="BE29" s="112">
        <f t="shared" ca="1" si="0"/>
        <v>1687110.6239103663</v>
      </c>
      <c r="BF29" s="112">
        <f t="shared" ca="1" si="10"/>
        <v>1728751.7780618339</v>
      </c>
      <c r="BH29" s="112">
        <f ca="1"/>
        <v>1728751.7780618339</v>
      </c>
      <c r="BI29" t="str">
        <f t="shared" ca="1" si="11"/>
        <v>ok</v>
      </c>
    </row>
    <row r="30" spans="2:66">
      <c r="B30" s="288">
        <v>26</v>
      </c>
      <c r="C30" s="112">
        <v>848304.40401382442</v>
      </c>
      <c r="D30" s="112">
        <v>536766.84918730264</v>
      </c>
      <c r="E30" s="112">
        <v>79103.11840923928</v>
      </c>
      <c r="F30" s="112">
        <v>5445.12</v>
      </c>
      <c r="G30" s="112">
        <v>30499.08</v>
      </c>
      <c r="H30" s="112">
        <f ca="1"/>
        <v>74142.248400000011</v>
      </c>
      <c r="I30" s="112">
        <f ca="1"/>
        <v>112849.80389999998</v>
      </c>
      <c r="J30" s="112">
        <f ca="1"/>
        <v>1687110.6239103663</v>
      </c>
      <c r="L30" s="288">
        <v>26</v>
      </c>
      <c r="M30" s="112">
        <v>21429.982665546006</v>
      </c>
      <c r="N30" s="112">
        <v>98907.612302520021</v>
      </c>
      <c r="O30" s="112">
        <v>164846.02050420005</v>
      </c>
      <c r="P30" s="112">
        <v>0</v>
      </c>
      <c r="Q30" s="112">
        <f t="shared" si="1"/>
        <v>285183.6154722661</v>
      </c>
      <c r="S30" s="288">
        <f t="shared" si="2"/>
        <v>26</v>
      </c>
      <c r="T30" s="112">
        <v>334704.94061713933</v>
      </c>
      <c r="V30" s="288">
        <f t="shared" si="3"/>
        <v>26</v>
      </c>
      <c r="W30" s="112">
        <v>259441.72800000006</v>
      </c>
      <c r="Y30" s="288">
        <v>26</v>
      </c>
      <c r="Z30" s="112">
        <v>243530.12147905384</v>
      </c>
      <c r="AA30" s="112">
        <f ca="1"/>
        <v>0</v>
      </c>
      <c r="AD30" s="288">
        <v>26</v>
      </c>
      <c r="AE30" s="112">
        <v>32821.198453067678</v>
      </c>
      <c r="AO30" s="288">
        <v>26</v>
      </c>
      <c r="AP30" s="112">
        <v>1865.25</v>
      </c>
      <c r="AQ30" s="112">
        <v>0</v>
      </c>
      <c r="AR30" s="112">
        <v>2387.52</v>
      </c>
      <c r="AS30" s="112">
        <v>2686.1856984000001</v>
      </c>
      <c r="AT30" s="112">
        <v>6938.955698400001</v>
      </c>
      <c r="AW30" s="288">
        <f t="shared" si="4"/>
        <v>26</v>
      </c>
      <c r="AX30" s="105">
        <f t="shared" si="5"/>
        <v>32821.198453067678</v>
      </c>
      <c r="AY30" s="105">
        <v>1881</v>
      </c>
      <c r="AZ30" s="105">
        <f t="shared" si="6"/>
        <v>6938.955698400001</v>
      </c>
      <c r="BA30" s="105">
        <f t="shared" si="7"/>
        <v>41641.154151467679</v>
      </c>
      <c r="BC30" s="288">
        <f t="shared" si="8"/>
        <v>26</v>
      </c>
      <c r="BD30" s="112">
        <f t="shared" si="9"/>
        <v>41641.154151467679</v>
      </c>
      <c r="BE30" s="112">
        <f t="shared" ca="1" si="0"/>
        <v>1687110.6239103663</v>
      </c>
      <c r="BF30" s="112">
        <f t="shared" ca="1" si="10"/>
        <v>1728751.7780618339</v>
      </c>
      <c r="BH30" s="112">
        <f ca="1"/>
        <v>1728751.7780618339</v>
      </c>
      <c r="BI30" t="str">
        <f t="shared" ca="1" si="11"/>
        <v>ok</v>
      </c>
    </row>
    <row r="31" spans="2:66">
      <c r="B31" s="288">
        <v>27</v>
      </c>
      <c r="C31" s="112">
        <v>848304.40401382442</v>
      </c>
      <c r="D31" s="112">
        <v>536766.84918730264</v>
      </c>
      <c r="E31" s="112">
        <v>79103.11840923928</v>
      </c>
      <c r="F31" s="112">
        <v>5445.12</v>
      </c>
      <c r="G31" s="112">
        <v>30499.08</v>
      </c>
      <c r="H31" s="112">
        <f ca="1"/>
        <v>74142.248400000011</v>
      </c>
      <c r="I31" s="112">
        <f ca="1"/>
        <v>112849.80389999998</v>
      </c>
      <c r="J31" s="112">
        <f ca="1"/>
        <v>1687110.6239103663</v>
      </c>
      <c r="L31" s="288">
        <v>27</v>
      </c>
      <c r="M31" s="112">
        <v>21429.982665546006</v>
      </c>
      <c r="N31" s="112">
        <v>98907.612302520021</v>
      </c>
      <c r="O31" s="112">
        <v>164846.02050420005</v>
      </c>
      <c r="P31" s="112">
        <v>0</v>
      </c>
      <c r="Q31" s="112">
        <f t="shared" si="1"/>
        <v>285183.6154722661</v>
      </c>
      <c r="S31" s="288">
        <f t="shared" si="2"/>
        <v>27</v>
      </c>
      <c r="T31" s="112">
        <v>334704.94061713933</v>
      </c>
      <c r="V31" s="288">
        <f t="shared" si="3"/>
        <v>27</v>
      </c>
      <c r="W31" s="112">
        <v>259441.72800000006</v>
      </c>
      <c r="Y31" s="288">
        <v>27</v>
      </c>
      <c r="Z31" s="112">
        <v>121765.06073952692</v>
      </c>
      <c r="AA31" s="112">
        <f ca="1"/>
        <v>0</v>
      </c>
      <c r="AD31" s="288">
        <v>27</v>
      </c>
      <c r="AE31" s="112">
        <v>32821.198453067678</v>
      </c>
      <c r="AO31" s="288">
        <v>27</v>
      </c>
      <c r="AP31" s="112">
        <v>1865.25</v>
      </c>
      <c r="AQ31" s="112">
        <v>0</v>
      </c>
      <c r="AR31" s="112">
        <v>2387.52</v>
      </c>
      <c r="AS31" s="112">
        <v>2686.1856984000001</v>
      </c>
      <c r="AT31" s="112">
        <v>6938.955698400001</v>
      </c>
      <c r="AW31" s="288">
        <f t="shared" si="4"/>
        <v>27</v>
      </c>
      <c r="AX31" s="105">
        <f t="shared" si="5"/>
        <v>32821.198453067678</v>
      </c>
      <c r="AY31" s="105">
        <v>1881</v>
      </c>
      <c r="AZ31" s="105">
        <f t="shared" si="6"/>
        <v>6938.955698400001</v>
      </c>
      <c r="BA31" s="105">
        <f t="shared" si="7"/>
        <v>41641.154151467679</v>
      </c>
      <c r="BC31" s="288">
        <f t="shared" si="8"/>
        <v>27</v>
      </c>
      <c r="BD31" s="112">
        <f t="shared" si="9"/>
        <v>41641.154151467679</v>
      </c>
      <c r="BE31" s="112">
        <f t="shared" ca="1" si="0"/>
        <v>1687110.6239103663</v>
      </c>
      <c r="BF31" s="112">
        <f t="shared" ca="1" si="10"/>
        <v>1728751.7780618339</v>
      </c>
      <c r="BH31" s="112">
        <f ca="1"/>
        <v>1728751.7780618339</v>
      </c>
      <c r="BI31" t="str">
        <f t="shared" ca="1" si="11"/>
        <v>ok</v>
      </c>
    </row>
    <row r="32" spans="2:66">
      <c r="B32" s="288">
        <v>28</v>
      </c>
      <c r="C32" s="112">
        <v>848304.40401382442</v>
      </c>
      <c r="D32" s="112">
        <v>536766.84918730264</v>
      </c>
      <c r="E32" s="112">
        <v>79103.11840923928</v>
      </c>
      <c r="F32" s="112">
        <v>5445.12</v>
      </c>
      <c r="G32" s="112">
        <v>30499.08</v>
      </c>
      <c r="H32" s="112">
        <f ca="1"/>
        <v>74142.248400000011</v>
      </c>
      <c r="I32" s="112">
        <f ca="1"/>
        <v>112849.80389999998</v>
      </c>
      <c r="J32" s="112">
        <f ca="1"/>
        <v>1687110.6239103663</v>
      </c>
      <c r="L32" s="288">
        <v>28</v>
      </c>
      <c r="M32" s="112">
        <v>21429.982665546006</v>
      </c>
      <c r="N32" s="112">
        <v>98907.612302520021</v>
      </c>
      <c r="O32" s="112">
        <v>164846.02050420005</v>
      </c>
      <c r="P32" s="112">
        <v>0</v>
      </c>
      <c r="Q32" s="112">
        <f t="shared" si="1"/>
        <v>285183.6154722661</v>
      </c>
      <c r="S32" s="288">
        <f t="shared" si="2"/>
        <v>28</v>
      </c>
      <c r="T32" s="112">
        <v>334704.94061713933</v>
      </c>
      <c r="V32" s="288">
        <f t="shared" si="3"/>
        <v>28</v>
      </c>
      <c r="W32" s="112">
        <v>259441.72800000006</v>
      </c>
      <c r="Y32" s="288">
        <v>28</v>
      </c>
      <c r="Z32" s="112">
        <v>0</v>
      </c>
      <c r="AA32" s="112">
        <f ca="1"/>
        <v>0</v>
      </c>
      <c r="AD32" s="288">
        <v>28</v>
      </c>
      <c r="AE32" s="112">
        <v>32821.198453067678</v>
      </c>
      <c r="AO32" s="288">
        <v>28</v>
      </c>
      <c r="AP32" s="112">
        <v>1865.25</v>
      </c>
      <c r="AQ32" s="112">
        <v>0</v>
      </c>
      <c r="AR32" s="112">
        <v>2387.52</v>
      </c>
      <c r="AS32" s="112">
        <v>2686.1856984000001</v>
      </c>
      <c r="AT32" s="112">
        <v>6938.955698400001</v>
      </c>
      <c r="AW32" s="288">
        <f t="shared" si="4"/>
        <v>28</v>
      </c>
      <c r="AX32" s="105">
        <f t="shared" si="5"/>
        <v>32821.198453067678</v>
      </c>
      <c r="AY32" s="105">
        <v>1881</v>
      </c>
      <c r="AZ32" s="105">
        <f t="shared" si="6"/>
        <v>6938.955698400001</v>
      </c>
      <c r="BA32" s="105">
        <f t="shared" si="7"/>
        <v>41641.154151467679</v>
      </c>
      <c r="BC32" s="288">
        <f t="shared" si="8"/>
        <v>28</v>
      </c>
      <c r="BD32" s="112">
        <f t="shared" si="9"/>
        <v>41641.154151467679</v>
      </c>
      <c r="BE32" s="112">
        <f t="shared" ca="1" si="0"/>
        <v>1687110.6239103663</v>
      </c>
      <c r="BF32" s="112">
        <f t="shared" ca="1" si="10"/>
        <v>1728751.7780618339</v>
      </c>
      <c r="BH32" s="112">
        <f ca="1"/>
        <v>1728751.7780618339</v>
      </c>
      <c r="BI32" t="str">
        <f t="shared" ca="1" si="11"/>
        <v>ok</v>
      </c>
    </row>
    <row r="33" spans="2:61">
      <c r="B33" s="288">
        <v>29</v>
      </c>
      <c r="C33" s="112">
        <v>848304.40401382442</v>
      </c>
      <c r="D33" s="112">
        <v>536766.84918730264</v>
      </c>
      <c r="E33" s="112">
        <v>79103.11840923928</v>
      </c>
      <c r="F33" s="112">
        <v>5445.12</v>
      </c>
      <c r="G33" s="112">
        <v>30499.08</v>
      </c>
      <c r="H33" s="112">
        <f ca="1"/>
        <v>74142.248400000011</v>
      </c>
      <c r="I33" s="112">
        <f ca="1"/>
        <v>112849.80389999998</v>
      </c>
      <c r="J33" s="112">
        <f ca="1"/>
        <v>1687110.6239103663</v>
      </c>
      <c r="L33" s="288">
        <v>29</v>
      </c>
      <c r="M33" s="112">
        <v>21429.982665546006</v>
      </c>
      <c r="N33" s="112">
        <v>98907.612302520021</v>
      </c>
      <c r="O33" s="112">
        <v>164846.02050420005</v>
      </c>
      <c r="P33" s="112">
        <v>0</v>
      </c>
      <c r="Q33" s="112">
        <f t="shared" si="1"/>
        <v>285183.6154722661</v>
      </c>
      <c r="S33" s="288">
        <f t="shared" si="2"/>
        <v>29</v>
      </c>
      <c r="T33" s="112">
        <v>334704.94061713933</v>
      </c>
      <c r="V33" s="288">
        <f t="shared" si="3"/>
        <v>29</v>
      </c>
      <c r="W33" s="112">
        <v>259441.72800000006</v>
      </c>
      <c r="Y33" s="288">
        <v>29</v>
      </c>
      <c r="Z33" s="112">
        <v>0</v>
      </c>
      <c r="AA33" s="112">
        <f ca="1"/>
        <v>0</v>
      </c>
      <c r="AD33" s="288">
        <v>29</v>
      </c>
      <c r="AE33" s="112">
        <v>32821.198453067678</v>
      </c>
      <c r="AO33" s="288">
        <v>29</v>
      </c>
      <c r="AP33" s="112">
        <v>1865.25</v>
      </c>
      <c r="AQ33" s="112">
        <v>0</v>
      </c>
      <c r="AR33" s="112">
        <v>2387.52</v>
      </c>
      <c r="AS33" s="112">
        <v>2686.1856984000001</v>
      </c>
      <c r="AT33" s="112">
        <v>6938.955698400001</v>
      </c>
      <c r="AW33" s="288">
        <f t="shared" si="4"/>
        <v>29</v>
      </c>
      <c r="AX33" s="105">
        <f t="shared" si="5"/>
        <v>32821.198453067678</v>
      </c>
      <c r="AY33" s="105">
        <v>1881</v>
      </c>
      <c r="AZ33" s="105">
        <f t="shared" si="6"/>
        <v>6938.955698400001</v>
      </c>
      <c r="BA33" s="105">
        <f t="shared" si="7"/>
        <v>41641.154151467679</v>
      </c>
      <c r="BC33" s="288">
        <f t="shared" si="8"/>
        <v>29</v>
      </c>
      <c r="BD33" s="112">
        <f t="shared" si="9"/>
        <v>41641.154151467679</v>
      </c>
      <c r="BE33" s="112">
        <f t="shared" ca="1" si="0"/>
        <v>1687110.6239103663</v>
      </c>
      <c r="BF33" s="112">
        <f t="shared" ca="1" si="10"/>
        <v>1728751.7780618339</v>
      </c>
      <c r="BH33" s="112">
        <f ca="1"/>
        <v>1728751.7780618339</v>
      </c>
      <c r="BI33" t="str">
        <f t="shared" ca="1" si="11"/>
        <v>ok</v>
      </c>
    </row>
    <row r="34" spans="2:61">
      <c r="B34" s="288">
        <v>30</v>
      </c>
      <c r="C34" s="112">
        <v>848304.40401382442</v>
      </c>
      <c r="D34" s="112">
        <v>536766.84918730264</v>
      </c>
      <c r="E34" s="112">
        <v>79103.11840923928</v>
      </c>
      <c r="F34" s="112">
        <v>5445.12</v>
      </c>
      <c r="G34" s="112">
        <v>30499.08</v>
      </c>
      <c r="H34" s="112">
        <f ca="1"/>
        <v>74142.248400000011</v>
      </c>
      <c r="I34" s="112">
        <f ca="1"/>
        <v>112849.80389999998</v>
      </c>
      <c r="J34" s="112">
        <f ca="1"/>
        <v>1687110.6239103663</v>
      </c>
      <c r="L34" s="288">
        <v>30</v>
      </c>
      <c r="M34" s="112">
        <v>21429.982665546006</v>
      </c>
      <c r="N34" s="112">
        <v>98907.612302520021</v>
      </c>
      <c r="O34" s="112">
        <v>164846.02050420005</v>
      </c>
      <c r="P34" s="112">
        <v>0</v>
      </c>
      <c r="Q34" s="112">
        <f t="shared" si="1"/>
        <v>285183.6154722661</v>
      </c>
      <c r="S34" s="288">
        <f t="shared" si="2"/>
        <v>30</v>
      </c>
      <c r="T34" s="112">
        <v>334704.94061713933</v>
      </c>
      <c r="V34" s="288">
        <f t="shared" si="3"/>
        <v>30</v>
      </c>
      <c r="W34" s="112">
        <v>259441.72800000006</v>
      </c>
      <c r="Y34" s="288">
        <v>30</v>
      </c>
      <c r="Z34" s="112">
        <v>0</v>
      </c>
      <c r="AA34" s="112">
        <f ca="1"/>
        <v>0</v>
      </c>
      <c r="AD34" s="288">
        <v>30</v>
      </c>
      <c r="AE34" s="112">
        <v>32821.198453067678</v>
      </c>
      <c r="AO34" s="288">
        <v>30</v>
      </c>
      <c r="AP34" s="112">
        <v>1865.25</v>
      </c>
      <c r="AQ34" s="112">
        <v>0</v>
      </c>
      <c r="AR34" s="112">
        <v>2387.52</v>
      </c>
      <c r="AS34" s="112">
        <v>2686.1856984000001</v>
      </c>
      <c r="AT34" s="112">
        <v>6938.955698400001</v>
      </c>
      <c r="AW34" s="288">
        <f t="shared" si="4"/>
        <v>30</v>
      </c>
      <c r="AX34" s="105">
        <f t="shared" si="5"/>
        <v>32821.198453067678</v>
      </c>
      <c r="AY34" s="105">
        <v>1881</v>
      </c>
      <c r="AZ34" s="105">
        <f t="shared" si="6"/>
        <v>6938.955698400001</v>
      </c>
      <c r="BA34" s="105">
        <f t="shared" si="7"/>
        <v>41641.154151467679</v>
      </c>
      <c r="BC34" s="288">
        <f t="shared" si="8"/>
        <v>30</v>
      </c>
      <c r="BD34" s="112">
        <f t="shared" si="9"/>
        <v>41641.154151467679</v>
      </c>
      <c r="BE34" s="112">
        <f t="shared" ca="1" si="0"/>
        <v>1687110.6239103663</v>
      </c>
      <c r="BF34" s="112">
        <f t="shared" ca="1" si="10"/>
        <v>1728751.7780618339</v>
      </c>
      <c r="BH34" s="112">
        <f ca="1"/>
        <v>1728751.7780618339</v>
      </c>
      <c r="BI34" t="str">
        <f t="shared" ca="1" si="11"/>
        <v>ok</v>
      </c>
    </row>
    <row r="35" spans="2:61">
      <c r="B35" s="288">
        <v>31</v>
      </c>
      <c r="C35" s="112">
        <v>848304.40401382442</v>
      </c>
      <c r="D35" s="112">
        <v>536766.84918730264</v>
      </c>
      <c r="E35" s="112">
        <v>79103.11840923928</v>
      </c>
      <c r="F35" s="112">
        <v>5445.12</v>
      </c>
      <c r="G35" s="112">
        <v>30499.08</v>
      </c>
      <c r="H35" s="112">
        <f ca="1"/>
        <v>74142.248400000011</v>
      </c>
      <c r="I35" s="112">
        <f ca="1"/>
        <v>112849.80389999998</v>
      </c>
      <c r="J35" s="112">
        <f ca="1"/>
        <v>1687110.6239103663</v>
      </c>
      <c r="L35" s="288">
        <v>31</v>
      </c>
      <c r="M35" s="112">
        <v>21429.982665546006</v>
      </c>
      <c r="N35" s="112">
        <v>98907.612302520021</v>
      </c>
      <c r="O35" s="112">
        <v>164846.02050420005</v>
      </c>
      <c r="P35" s="112">
        <v>0</v>
      </c>
      <c r="Q35" s="112">
        <f t="shared" si="1"/>
        <v>285183.6154722661</v>
      </c>
      <c r="S35" s="288">
        <f t="shared" si="2"/>
        <v>31</v>
      </c>
      <c r="T35" s="112">
        <v>334704.94061713933</v>
      </c>
      <c r="V35" s="288">
        <f t="shared" si="3"/>
        <v>31</v>
      </c>
      <c r="W35" s="112">
        <v>259441.72800000006</v>
      </c>
      <c r="Y35" s="288">
        <v>31</v>
      </c>
      <c r="Z35" s="112">
        <v>0</v>
      </c>
      <c r="AA35" s="112">
        <f ca="1"/>
        <v>0</v>
      </c>
      <c r="AD35" s="288">
        <v>31</v>
      </c>
      <c r="AE35" s="112">
        <v>32821.198453067678</v>
      </c>
      <c r="AO35" s="288">
        <v>31</v>
      </c>
      <c r="AP35" s="112">
        <v>1865.25</v>
      </c>
      <c r="AQ35" s="112">
        <v>0</v>
      </c>
      <c r="AR35" s="112">
        <v>2387.52</v>
      </c>
      <c r="AS35" s="112">
        <v>2686.1856984000001</v>
      </c>
      <c r="AT35" s="112">
        <v>6938.955698400001</v>
      </c>
      <c r="AW35" s="288">
        <f t="shared" si="4"/>
        <v>31</v>
      </c>
      <c r="AX35" s="105">
        <f t="shared" si="5"/>
        <v>32821.198453067678</v>
      </c>
      <c r="AY35" s="105">
        <v>1881</v>
      </c>
      <c r="AZ35" s="105">
        <f t="shared" si="6"/>
        <v>6938.955698400001</v>
      </c>
      <c r="BA35" s="105">
        <f t="shared" si="7"/>
        <v>41641.154151467679</v>
      </c>
      <c r="BC35" s="288">
        <f t="shared" si="8"/>
        <v>31</v>
      </c>
      <c r="BD35" s="112">
        <f t="shared" si="9"/>
        <v>41641.154151467679</v>
      </c>
      <c r="BE35" s="112">
        <f t="shared" ca="1" si="0"/>
        <v>1687110.6239103663</v>
      </c>
      <c r="BF35" s="112">
        <f t="shared" ca="1" si="10"/>
        <v>1728751.7780618339</v>
      </c>
      <c r="BH35" s="112">
        <f ca="1"/>
        <v>1728751.7780618339</v>
      </c>
      <c r="BI35" t="str">
        <f t="shared" ca="1" si="11"/>
        <v>ok</v>
      </c>
    </row>
    <row r="36" spans="2:61">
      <c r="B36" s="288">
        <v>32</v>
      </c>
      <c r="C36" s="112">
        <v>848304.40401382442</v>
      </c>
      <c r="D36" s="112">
        <v>536766.84918730264</v>
      </c>
      <c r="E36" s="112">
        <v>79103.11840923928</v>
      </c>
      <c r="F36" s="112">
        <v>5445.12</v>
      </c>
      <c r="G36" s="112">
        <v>30499.08</v>
      </c>
      <c r="H36" s="112">
        <f ca="1"/>
        <v>74142.248400000011</v>
      </c>
      <c r="I36" s="112">
        <f ca="1"/>
        <v>112849.80389999998</v>
      </c>
      <c r="J36" s="112">
        <f ca="1"/>
        <v>1687110.6239103663</v>
      </c>
      <c r="L36" s="288">
        <v>32</v>
      </c>
      <c r="M36" s="112">
        <v>21429.982665546006</v>
      </c>
      <c r="N36" s="112">
        <v>98907.612302520021</v>
      </c>
      <c r="O36" s="112">
        <v>164846.02050420005</v>
      </c>
      <c r="P36" s="112">
        <v>0</v>
      </c>
      <c r="Q36" s="112">
        <f t="shared" si="1"/>
        <v>285183.6154722661</v>
      </c>
      <c r="S36" s="288">
        <f t="shared" si="2"/>
        <v>32</v>
      </c>
      <c r="T36" s="112">
        <v>334704.94061713933</v>
      </c>
      <c r="V36" s="288">
        <f t="shared" si="3"/>
        <v>32</v>
      </c>
      <c r="W36" s="112">
        <v>259441.72800000006</v>
      </c>
      <c r="Y36" s="288">
        <v>32</v>
      </c>
      <c r="Z36" s="112">
        <v>0</v>
      </c>
      <c r="AA36" s="112">
        <f ca="1"/>
        <v>0</v>
      </c>
      <c r="AD36" s="288">
        <v>32</v>
      </c>
      <c r="AE36" s="112">
        <v>32821.198453067678</v>
      </c>
      <c r="AO36" s="288">
        <v>32</v>
      </c>
      <c r="AP36" s="112">
        <v>1865.25</v>
      </c>
      <c r="AQ36" s="112">
        <v>0</v>
      </c>
      <c r="AR36" s="112">
        <v>2387.52</v>
      </c>
      <c r="AS36" s="112">
        <v>2686.1856984000001</v>
      </c>
      <c r="AT36" s="112">
        <v>6938.955698400001</v>
      </c>
      <c r="AW36" s="288">
        <f t="shared" si="4"/>
        <v>32</v>
      </c>
      <c r="AX36" s="105">
        <f t="shared" si="5"/>
        <v>32821.198453067678</v>
      </c>
      <c r="AY36" s="105">
        <v>1881</v>
      </c>
      <c r="AZ36" s="105">
        <f t="shared" si="6"/>
        <v>6938.955698400001</v>
      </c>
      <c r="BA36" s="105">
        <f t="shared" si="7"/>
        <v>41641.154151467679</v>
      </c>
      <c r="BC36" s="288">
        <f t="shared" si="8"/>
        <v>32</v>
      </c>
      <c r="BD36" s="112">
        <f t="shared" si="9"/>
        <v>41641.154151467679</v>
      </c>
      <c r="BE36" s="112">
        <f t="shared" ca="1" si="0"/>
        <v>1687110.6239103663</v>
      </c>
      <c r="BF36" s="112">
        <f t="shared" ca="1" si="10"/>
        <v>1728751.7780618339</v>
      </c>
      <c r="BH36" s="112">
        <f ca="1"/>
        <v>1728751.7780618339</v>
      </c>
      <c r="BI36" t="str">
        <f t="shared" ca="1" si="11"/>
        <v>ok</v>
      </c>
    </row>
    <row r="37" spans="2:61">
      <c r="B37" s="288">
        <v>33</v>
      </c>
      <c r="C37" s="112">
        <v>848304.40401382442</v>
      </c>
      <c r="D37" s="112">
        <v>536766.84918730264</v>
      </c>
      <c r="E37" s="112">
        <v>79103.11840923928</v>
      </c>
      <c r="F37" s="112">
        <v>5445.12</v>
      </c>
      <c r="G37" s="112">
        <v>30499.08</v>
      </c>
      <c r="H37" s="112">
        <f ca="1"/>
        <v>74142.248400000011</v>
      </c>
      <c r="I37" s="112">
        <f ca="1"/>
        <v>112849.80389999998</v>
      </c>
      <c r="J37" s="112">
        <f ca="1"/>
        <v>1687110.6239103663</v>
      </c>
      <c r="L37" s="288">
        <v>33</v>
      </c>
      <c r="M37" s="112">
        <v>21429.982665546006</v>
      </c>
      <c r="N37" s="112">
        <v>98907.612302520021</v>
      </c>
      <c r="O37" s="112">
        <v>164846.02050420005</v>
      </c>
      <c r="P37" s="112">
        <v>0</v>
      </c>
      <c r="Q37" s="112">
        <f t="shared" si="1"/>
        <v>285183.6154722661</v>
      </c>
      <c r="S37" s="288">
        <f t="shared" si="2"/>
        <v>33</v>
      </c>
      <c r="T37" s="112">
        <v>334704.94061713933</v>
      </c>
      <c r="V37" s="288">
        <f t="shared" si="3"/>
        <v>33</v>
      </c>
      <c r="W37" s="112">
        <v>259441.72800000006</v>
      </c>
      <c r="Y37" s="288">
        <v>33</v>
      </c>
      <c r="Z37" s="112">
        <v>0</v>
      </c>
      <c r="AA37" s="112">
        <f ca="1"/>
        <v>0</v>
      </c>
      <c r="AD37" s="288">
        <v>33</v>
      </c>
      <c r="AE37" s="112">
        <v>32821.198453067678</v>
      </c>
      <c r="AO37" s="288">
        <v>33</v>
      </c>
      <c r="AP37" s="112">
        <v>1865.25</v>
      </c>
      <c r="AQ37" s="112">
        <v>0</v>
      </c>
      <c r="AR37" s="112">
        <v>2387.52</v>
      </c>
      <c r="AS37" s="112">
        <v>2686.1856984000001</v>
      </c>
      <c r="AT37" s="112">
        <v>6938.955698400001</v>
      </c>
      <c r="AW37" s="288">
        <f t="shared" si="4"/>
        <v>33</v>
      </c>
      <c r="AX37" s="105">
        <f t="shared" si="5"/>
        <v>32821.198453067678</v>
      </c>
      <c r="AY37" s="105">
        <v>1881</v>
      </c>
      <c r="AZ37" s="105">
        <f t="shared" si="6"/>
        <v>6938.955698400001</v>
      </c>
      <c r="BA37" s="105">
        <f t="shared" si="7"/>
        <v>41641.154151467679</v>
      </c>
      <c r="BC37" s="288">
        <f t="shared" si="8"/>
        <v>33</v>
      </c>
      <c r="BD37" s="112">
        <f t="shared" si="9"/>
        <v>41641.154151467679</v>
      </c>
      <c r="BE37" s="112">
        <f t="shared" ca="1" si="0"/>
        <v>1687110.6239103663</v>
      </c>
      <c r="BF37" s="112">
        <f t="shared" ca="1" si="10"/>
        <v>1728751.7780618339</v>
      </c>
      <c r="BH37" s="112">
        <f ca="1"/>
        <v>1728751.7780618339</v>
      </c>
      <c r="BI37" t="str">
        <f t="shared" ca="1" si="11"/>
        <v>ok</v>
      </c>
    </row>
    <row r="38" spans="2:61">
      <c r="B38" s="288">
        <v>34</v>
      </c>
      <c r="C38" s="112">
        <v>848304.40401382442</v>
      </c>
      <c r="D38" s="112">
        <v>536766.84918730264</v>
      </c>
      <c r="E38" s="112">
        <v>79103.11840923928</v>
      </c>
      <c r="F38" s="112">
        <v>5445.12</v>
      </c>
      <c r="G38" s="112">
        <v>30499.08</v>
      </c>
      <c r="H38" s="112">
        <f ca="1"/>
        <v>74142.248400000011</v>
      </c>
      <c r="I38" s="112">
        <f ca="1"/>
        <v>112849.80389999998</v>
      </c>
      <c r="J38" s="112">
        <f ca="1"/>
        <v>1687110.6239103663</v>
      </c>
      <c r="L38" s="288">
        <v>34</v>
      </c>
      <c r="M38" s="112">
        <v>21429.982665546006</v>
      </c>
      <c r="N38" s="112">
        <v>98907.612302520021</v>
      </c>
      <c r="O38" s="112">
        <v>164846.02050420005</v>
      </c>
      <c r="P38" s="112">
        <v>0</v>
      </c>
      <c r="Q38" s="112">
        <f t="shared" si="1"/>
        <v>285183.6154722661</v>
      </c>
      <c r="S38" s="288">
        <f t="shared" si="2"/>
        <v>34</v>
      </c>
      <c r="T38" s="112">
        <v>334704.94061713933</v>
      </c>
      <c r="V38" s="288">
        <f t="shared" si="3"/>
        <v>34</v>
      </c>
      <c r="W38" s="112">
        <v>259441.72800000006</v>
      </c>
      <c r="Y38" s="288">
        <v>34</v>
      </c>
      <c r="Z38" s="112">
        <v>0</v>
      </c>
      <c r="AA38" s="112">
        <f ca="1"/>
        <v>0</v>
      </c>
      <c r="AD38" s="288">
        <v>34</v>
      </c>
      <c r="AE38" s="112">
        <v>32821.198453067678</v>
      </c>
      <c r="AO38" s="288">
        <v>34</v>
      </c>
      <c r="AP38" s="112">
        <v>1865.25</v>
      </c>
      <c r="AQ38" s="112">
        <v>0</v>
      </c>
      <c r="AR38" s="112">
        <v>2387.52</v>
      </c>
      <c r="AS38" s="112">
        <v>2686.1856984000001</v>
      </c>
      <c r="AT38" s="112">
        <v>6938.955698400001</v>
      </c>
      <c r="AW38" s="288">
        <f t="shared" si="4"/>
        <v>34</v>
      </c>
      <c r="AX38" s="105">
        <f t="shared" si="5"/>
        <v>32821.198453067678</v>
      </c>
      <c r="AY38" s="105">
        <v>1881</v>
      </c>
      <c r="AZ38" s="105">
        <f t="shared" si="6"/>
        <v>6938.955698400001</v>
      </c>
      <c r="BA38" s="105">
        <f t="shared" si="7"/>
        <v>41641.154151467679</v>
      </c>
      <c r="BC38" s="288">
        <f t="shared" si="8"/>
        <v>34</v>
      </c>
      <c r="BD38" s="112">
        <f t="shared" si="9"/>
        <v>41641.154151467679</v>
      </c>
      <c r="BE38" s="112">
        <f t="shared" ca="1" si="0"/>
        <v>1687110.6239103663</v>
      </c>
      <c r="BF38" s="112">
        <f t="shared" ca="1" si="10"/>
        <v>1728751.7780618339</v>
      </c>
      <c r="BH38" s="112">
        <f ca="1"/>
        <v>1728751.7780618339</v>
      </c>
      <c r="BI38" t="str">
        <f t="shared" ca="1" si="11"/>
        <v>ok</v>
      </c>
    </row>
    <row r="39" spans="2:61">
      <c r="B39" s="288">
        <v>35</v>
      </c>
      <c r="C39" s="112">
        <v>848304.40401382442</v>
      </c>
      <c r="D39" s="112">
        <v>536766.84918730264</v>
      </c>
      <c r="E39" s="112">
        <v>79103.11840923928</v>
      </c>
      <c r="F39" s="112">
        <v>5445.12</v>
      </c>
      <c r="G39" s="112">
        <v>30499.08</v>
      </c>
      <c r="H39" s="112">
        <f ca="1"/>
        <v>74142.248400000011</v>
      </c>
      <c r="I39" s="112">
        <f ca="1"/>
        <v>112849.80389999998</v>
      </c>
      <c r="J39" s="112">
        <f ca="1"/>
        <v>1687110.6239103663</v>
      </c>
      <c r="L39" s="288">
        <v>35</v>
      </c>
      <c r="M39" s="112">
        <v>21429.982665546006</v>
      </c>
      <c r="N39" s="112">
        <v>98907.612302520021</v>
      </c>
      <c r="O39" s="112">
        <v>164846.02050420005</v>
      </c>
      <c r="P39" s="112">
        <v>0</v>
      </c>
      <c r="Q39" s="112">
        <f t="shared" si="1"/>
        <v>285183.6154722661</v>
      </c>
      <c r="S39" s="288">
        <f t="shared" si="2"/>
        <v>35</v>
      </c>
      <c r="T39" s="112">
        <v>334704.94061713933</v>
      </c>
      <c r="V39" s="288">
        <f t="shared" si="3"/>
        <v>35</v>
      </c>
      <c r="W39" s="112">
        <v>259441.72800000006</v>
      </c>
      <c r="Y39" s="288">
        <v>35</v>
      </c>
      <c r="Z39" s="112">
        <v>0</v>
      </c>
      <c r="AA39" s="112">
        <f ca="1"/>
        <v>0</v>
      </c>
      <c r="AD39" s="288">
        <v>35</v>
      </c>
      <c r="AE39" s="112">
        <v>32821.198453067678</v>
      </c>
      <c r="AO39" s="288">
        <v>35</v>
      </c>
      <c r="AP39" s="112">
        <v>1865.25</v>
      </c>
      <c r="AQ39" s="112">
        <v>0</v>
      </c>
      <c r="AR39" s="112">
        <v>2387.52</v>
      </c>
      <c r="AS39" s="112">
        <v>2686.1856984000001</v>
      </c>
      <c r="AT39" s="112">
        <v>6938.955698400001</v>
      </c>
      <c r="AW39" s="288">
        <f t="shared" si="4"/>
        <v>35</v>
      </c>
      <c r="AX39" s="105">
        <f t="shared" si="5"/>
        <v>32821.198453067678</v>
      </c>
      <c r="AY39" s="105">
        <v>1881</v>
      </c>
      <c r="AZ39" s="105">
        <f t="shared" si="6"/>
        <v>6938.955698400001</v>
      </c>
      <c r="BA39" s="105">
        <f t="shared" si="7"/>
        <v>41641.154151467679</v>
      </c>
      <c r="BC39" s="288">
        <f t="shared" si="8"/>
        <v>35</v>
      </c>
      <c r="BD39" s="112">
        <f t="shared" si="9"/>
        <v>41641.154151467679</v>
      </c>
      <c r="BE39" s="112">
        <f t="shared" ca="1" si="0"/>
        <v>1687110.6239103663</v>
      </c>
      <c r="BF39" s="112">
        <f t="shared" ca="1" si="10"/>
        <v>1728751.7780618339</v>
      </c>
      <c r="BH39" s="112">
        <f ca="1"/>
        <v>1728751.7780618339</v>
      </c>
      <c r="BI39" t="str">
        <f t="shared" ca="1" si="11"/>
        <v>ok</v>
      </c>
    </row>
    <row r="40" spans="2:61">
      <c r="Y40" s="288" t="str">
        <v>Total</v>
      </c>
      <c r="Z40" s="112">
        <v>7461626.9400000023</v>
      </c>
      <c r="AA40" s="112">
        <f ca="1"/>
        <v>0</v>
      </c>
      <c r="AD40" s="288" t="s">
        <v>82</v>
      </c>
      <c r="AE40" s="112">
        <f>SUM(AE5:AE39)</f>
        <v>1017150.5414904658</v>
      </c>
    </row>
    <row r="41" spans="2:61">
      <c r="J41" s="105">
        <f ca="1">AVERAGE(J5:J39)/12</f>
        <v>132558.6918786717</v>
      </c>
      <c r="BE41" t="s">
        <v>711</v>
      </c>
      <c r="BF41" s="105">
        <f ca="1">AVERAGE(BF5:BF39)</f>
        <v>1629365.9810056512</v>
      </c>
    </row>
    <row r="42" spans="2:61">
      <c r="BE42" t="s">
        <v>712</v>
      </c>
      <c r="BF42" s="105">
        <f ca="1">BF41/12</f>
        <v>135780.4984171376</v>
      </c>
    </row>
  </sheetData>
  <sheetProtection password="C655" sheet="1" objects="1" scenarios="1"/>
  <customSheetViews>
    <customSheetView guid="{30D5658C-25B6-44C0-9599-95A19C107C6A}" topLeftCell="J1">
      <selection activeCell="Y6" sqref="Y6"/>
      <pageMargins left="0" right="0" top="0" bottom="0" header="0" footer="0"/>
    </customSheetView>
  </customSheetView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85" zoomScaleNormal="85" workbookViewId="0">
      <selection activeCell="AF37" sqref="AF37"/>
    </sheetView>
  </sheetViews>
  <sheetFormatPr defaultRowHeight="15"/>
  <cols>
    <col min="1" max="1" width="8.85546875" style="377"/>
  </cols>
  <sheetData>
    <row r="1" spans="2:19" s="377" customFormat="1"/>
    <row r="2" spans="2:19" s="377" customFormat="1" ht="18.75">
      <c r="B2" s="379" t="s">
        <v>713</v>
      </c>
    </row>
    <row r="3" spans="2:19" s="377" customFormat="1"/>
    <row r="6" spans="2:19" ht="18.75">
      <c r="C6" s="380" t="s">
        <v>714</v>
      </c>
      <c r="S6" s="380" t="s">
        <v>715</v>
      </c>
    </row>
    <row r="31" spans="3:3" ht="18.75">
      <c r="C31" s="380" t="s">
        <v>716</v>
      </c>
    </row>
  </sheetData>
  <sheetProtection password="C655"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Premissas Gerais</vt:lpstr>
      <vt:lpstr>Demonstrações Financeiras </vt:lpstr>
      <vt:lpstr>Seguros</vt:lpstr>
      <vt:lpstr>WACC</vt:lpstr>
      <vt:lpstr>Capex</vt:lpstr>
      <vt:lpstr>Financiamento</vt:lpstr>
      <vt:lpstr>Tributação</vt:lpstr>
      <vt:lpstr>TABELAS</vt:lpstr>
      <vt:lpstr>GRÁFICOS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Sá</dc:creator>
  <cp:keywords/>
  <dc:description/>
  <cp:lastModifiedBy>Eduardo Sá</cp:lastModifiedBy>
  <cp:revision/>
  <dcterms:created xsi:type="dcterms:W3CDTF">2024-09-09T11:32:24Z</dcterms:created>
  <dcterms:modified xsi:type="dcterms:W3CDTF">2025-07-03T16:28:18Z</dcterms:modified>
  <cp:category/>
  <cp:contentStatus/>
</cp:coreProperties>
</file>